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rudra\Downloads\"/>
    </mc:Choice>
  </mc:AlternateContent>
  <xr:revisionPtr revIDLastSave="0" documentId="13_ncr:1_{99BD2CBB-83D3-4147-9B6A-74C16158569C}" xr6:coauthVersionLast="47" xr6:coauthVersionMax="47" xr10:uidLastSave="{00000000-0000-0000-0000-000000000000}"/>
  <bookViews>
    <workbookView xWindow="-108" yWindow="-108" windowWidth="23256" windowHeight="14616" tabRatio="820" activeTab="11" xr2:uid="{5FE3972C-6839-4A82-A386-39BA58A3069A}"/>
  </bookViews>
  <sheets>
    <sheet name="Problem 1" sheetId="1" r:id="rId1"/>
    <sheet name="Problem 2 " sheetId="2" r:id="rId2"/>
    <sheet name="Problem 3 " sheetId="3" r:id="rId3"/>
    <sheet name="Problem 4 " sheetId="4" r:id="rId4"/>
    <sheet name="Problem 5" sheetId="5" r:id="rId5"/>
    <sheet name="Problem 6" sheetId="6" r:id="rId6"/>
    <sheet name="Problem 7 " sheetId="7" r:id="rId7"/>
    <sheet name="Problem 8 " sheetId="8" r:id="rId8"/>
    <sheet name="Problem 9" sheetId="9" r:id="rId9"/>
    <sheet name="Problem 10" sheetId="10" r:id="rId10"/>
    <sheet name="Problem 11" sheetId="11" r:id="rId11"/>
    <sheet name="Problem 12 " sheetId="12" r:id="rId12"/>
  </sheets>
  <definedNames>
    <definedName name="_xlchart.v1.0" hidden="1">'Problem 11'!$D$34</definedName>
    <definedName name="_xlchart.v1.1" hidden="1">'Problem 11'!$D$35:$D$44</definedName>
    <definedName name="_xlchart.v1.2" hidden="1">'Problem 11'!$E$34</definedName>
    <definedName name="_xlchart.v1.3" hidden="1">'Problem 11'!$E$35:$E$44</definedName>
    <definedName name="solver_eng" localSheetId="0" hidden="1">1</definedName>
    <definedName name="solver_neg" localSheetId="0" hidden="1">1</definedName>
    <definedName name="solver_num" localSheetId="0" hidden="1">0</definedName>
    <definedName name="solver_opt" localSheetId="0" hidden="1">'Problem 1'!$G$16</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10" l="1"/>
  <c r="K17" i="7" l="1"/>
  <c r="K26" i="7"/>
  <c r="C40" i="10"/>
  <c r="C39" i="10"/>
  <c r="C38" i="10"/>
  <c r="G23" i="12"/>
  <c r="G25" i="12" s="1"/>
  <c r="G24" i="12"/>
  <c r="G22" i="12"/>
  <c r="D25" i="12"/>
  <c r="E25" i="12"/>
  <c r="F25" i="12"/>
  <c r="C25" i="12"/>
  <c r="D32" i="10"/>
  <c r="D33" i="10"/>
  <c r="D34" i="10"/>
  <c r="E34" i="10" s="1"/>
  <c r="D35" i="10"/>
  <c r="D31" i="10"/>
  <c r="D36" i="10" s="1"/>
  <c r="C35" i="10"/>
  <c r="C32" i="10"/>
  <c r="C33" i="10"/>
  <c r="C34" i="10"/>
  <c r="C31" i="10"/>
  <c r="E25" i="10"/>
  <c r="E21" i="10"/>
  <c r="E22" i="10"/>
  <c r="E23" i="10"/>
  <c r="E24" i="10"/>
  <c r="E20" i="10"/>
  <c r="D25" i="10"/>
  <c r="C25" i="10"/>
  <c r="D38" i="12"/>
  <c r="G9" i="12"/>
  <c r="F29" i="12" s="1"/>
  <c r="E29" i="11"/>
  <c r="F19" i="11"/>
  <c r="E19" i="11"/>
  <c r="F18" i="11"/>
  <c r="E18" i="11"/>
  <c r="E11" i="11" s="1"/>
  <c r="F17" i="11"/>
  <c r="E17" i="11"/>
  <c r="E25" i="11" s="1"/>
  <c r="F12" i="11"/>
  <c r="E12" i="11"/>
  <c r="E21" i="11" l="1"/>
  <c r="E30" i="11" s="1"/>
  <c r="E28" i="12"/>
  <c r="D28" i="12"/>
  <c r="D30" i="12"/>
  <c r="D29" i="12"/>
  <c r="D36" i="12" s="1"/>
  <c r="C30" i="12"/>
  <c r="F28" i="12"/>
  <c r="E30" i="12"/>
  <c r="C28" i="12"/>
  <c r="C29" i="12"/>
  <c r="G29" i="12" s="1"/>
  <c r="E29" i="12"/>
  <c r="F30" i="12"/>
  <c r="E33" i="10"/>
  <c r="E35" i="10"/>
  <c r="E36" i="10"/>
  <c r="E32" i="10"/>
  <c r="C36" i="10"/>
  <c r="E31" i="10"/>
  <c r="E31" i="11" l="1"/>
  <c r="E32" i="11"/>
  <c r="E24" i="11"/>
  <c r="E26" i="11" s="1"/>
  <c r="G30" i="12"/>
  <c r="F31" i="12"/>
  <c r="D37" i="12"/>
  <c r="D40" i="12"/>
  <c r="D31" i="12"/>
  <c r="C31" i="12"/>
  <c r="G28" i="12"/>
  <c r="E31" i="12"/>
  <c r="D33" i="12" s="1"/>
  <c r="D35" i="12" l="1"/>
  <c r="G31" i="12"/>
  <c r="D41" i="12"/>
  <c r="D39" i="12"/>
  <c r="D34" i="12"/>
  <c r="F114" i="9" l="1"/>
  <c r="F115" i="9" s="1"/>
  <c r="F62" i="9"/>
  <c r="F63" i="9" s="1"/>
  <c r="F18" i="8" l="1"/>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7" i="8"/>
  <c r="K18" i="7"/>
  <c r="K16" i="7"/>
  <c r="K14" i="7"/>
  <c r="K12" i="7"/>
  <c r="K13" i="7"/>
  <c r="L27" i="7"/>
  <c r="K27" i="7"/>
  <c r="K9" i="7"/>
  <c r="K11" i="7"/>
  <c r="K10" i="7"/>
  <c r="G12" i="7"/>
  <c r="G13" i="7"/>
  <c r="G14" i="7"/>
  <c r="G15" i="7"/>
  <c r="G16" i="7"/>
  <c r="G17" i="7"/>
  <c r="G18" i="7"/>
  <c r="G19" i="7"/>
  <c r="G20" i="7"/>
  <c r="G21" i="7"/>
  <c r="G22" i="7"/>
  <c r="G23" i="7"/>
  <c r="G24" i="7"/>
  <c r="G25" i="7"/>
  <c r="G26" i="7"/>
  <c r="G27" i="7"/>
  <c r="G28" i="7"/>
  <c r="F12" i="7"/>
  <c r="F13" i="7"/>
  <c r="F14" i="7"/>
  <c r="F15" i="7"/>
  <c r="F16" i="7"/>
  <c r="F17" i="7"/>
  <c r="F18" i="7"/>
  <c r="F19" i="7"/>
  <c r="F20" i="7"/>
  <c r="F21" i="7"/>
  <c r="F22" i="7"/>
  <c r="F23" i="7"/>
  <c r="F24" i="7"/>
  <c r="F25" i="7"/>
  <c r="F26" i="7"/>
  <c r="F27" i="7"/>
  <c r="F28" i="7"/>
  <c r="E12" i="7"/>
  <c r="E13" i="7"/>
  <c r="E14" i="7"/>
  <c r="E15" i="7"/>
  <c r="E16" i="7"/>
  <c r="E17" i="7"/>
  <c r="E18" i="7"/>
  <c r="E19" i="7"/>
  <c r="E20" i="7"/>
  <c r="E21" i="7"/>
  <c r="E22" i="7"/>
  <c r="E23" i="7"/>
  <c r="E24" i="7"/>
  <c r="E25" i="7"/>
  <c r="E26" i="7"/>
  <c r="E27" i="7"/>
  <c r="E28" i="7"/>
  <c r="G11" i="7"/>
  <c r="F11" i="7"/>
  <c r="E11" i="7"/>
  <c r="D12" i="7"/>
  <c r="D13" i="7"/>
  <c r="D14" i="7"/>
  <c r="D15" i="7"/>
  <c r="D16" i="7"/>
  <c r="D17" i="7"/>
  <c r="D18" i="7"/>
  <c r="D19" i="7"/>
  <c r="D20" i="7"/>
  <c r="D21" i="7"/>
  <c r="D22" i="7"/>
  <c r="D23" i="7"/>
  <c r="D24" i="7"/>
  <c r="D25" i="7"/>
  <c r="D26" i="7"/>
  <c r="D27" i="7"/>
  <c r="D28" i="7"/>
  <c r="B29" i="7"/>
  <c r="D11" i="7" s="1"/>
  <c r="C12" i="7"/>
  <c r="C13" i="7"/>
  <c r="C14" i="7"/>
  <c r="C15" i="7"/>
  <c r="C16" i="7"/>
  <c r="C17" i="7"/>
  <c r="C18" i="7"/>
  <c r="C19" i="7"/>
  <c r="C20" i="7"/>
  <c r="C21" i="7"/>
  <c r="C22" i="7"/>
  <c r="C23" i="7"/>
  <c r="C24" i="7"/>
  <c r="C25" i="7"/>
  <c r="C26" i="7"/>
  <c r="C27" i="7"/>
  <c r="C28" i="7"/>
  <c r="A29" i="7"/>
  <c r="C11" i="7" s="1"/>
  <c r="K15" i="7" l="1"/>
  <c r="K19" i="7"/>
  <c r="K20" i="7" s="1"/>
  <c r="K24" i="7" l="1"/>
  <c r="L63" i="6" l="1"/>
  <c r="L64" i="6"/>
  <c r="L44" i="6"/>
  <c r="L54" i="6"/>
  <c r="L53" i="6"/>
  <c r="L43" i="6"/>
  <c r="L33" i="6"/>
  <c r="L32" i="6"/>
  <c r="L24" i="6"/>
  <c r="L23" i="6"/>
  <c r="L22" i="6"/>
  <c r="M60" i="5" l="1"/>
  <c r="M59" i="5"/>
  <c r="G41" i="1"/>
  <c r="O43" i="4"/>
  <c r="O42" i="4"/>
  <c r="O34" i="4"/>
  <c r="O21" i="4"/>
  <c r="O20" i="4"/>
  <c r="C101" i="3"/>
  <c r="C102" i="3" s="1"/>
  <c r="C91" i="3"/>
  <c r="C92" i="3" s="1"/>
  <c r="C80" i="3"/>
  <c r="C81" i="3" s="1"/>
  <c r="C72" i="3"/>
  <c r="C71" i="3"/>
  <c r="C70" i="3"/>
  <c r="G62" i="2"/>
  <c r="G63" i="2"/>
  <c r="G64" i="2"/>
  <c r="G65" i="2"/>
  <c r="G66" i="2"/>
  <c r="G61" i="2"/>
  <c r="F62" i="2"/>
  <c r="F63" i="2"/>
  <c r="F64" i="2"/>
  <c r="F65" i="2"/>
  <c r="F66" i="2"/>
  <c r="F61" i="2"/>
  <c r="C58" i="2"/>
  <c r="C56" i="2"/>
  <c r="E37" i="2"/>
  <c r="G38" i="2"/>
  <c r="G39" i="2"/>
  <c r="G40" i="2"/>
  <c r="G41" i="2"/>
  <c r="G42" i="2"/>
  <c r="G37" i="2"/>
  <c r="F38" i="2"/>
  <c r="F39" i="2"/>
  <c r="F40" i="2"/>
  <c r="F41" i="2"/>
  <c r="F42" i="2"/>
  <c r="F37" i="2"/>
  <c r="P41" i="2"/>
  <c r="P38" i="2"/>
  <c r="P39" i="2"/>
  <c r="P40" i="2"/>
  <c r="P42" i="2"/>
  <c r="P37" i="2"/>
  <c r="O38" i="2"/>
  <c r="O39" i="2"/>
  <c r="O40" i="2"/>
  <c r="O41" i="2"/>
  <c r="O42" i="2"/>
  <c r="O37" i="2"/>
  <c r="R32" i="2"/>
  <c r="R30" i="2"/>
  <c r="H32" i="2"/>
  <c r="H30" i="2"/>
  <c r="E66" i="2"/>
  <c r="E65" i="2"/>
  <c r="E64" i="2"/>
  <c r="E63" i="2"/>
  <c r="E62" i="2"/>
  <c r="E61" i="2"/>
  <c r="N42" i="2"/>
  <c r="E42" i="2"/>
  <c r="N41" i="2"/>
  <c r="E41" i="2"/>
  <c r="N40" i="2"/>
  <c r="E40" i="2"/>
  <c r="N39" i="2"/>
  <c r="E39" i="2"/>
  <c r="N38" i="2"/>
  <c r="E38" i="2"/>
  <c r="N37" i="2"/>
  <c r="H24" i="2"/>
  <c r="H22" i="2"/>
  <c r="H20" i="2"/>
  <c r="H19" i="2"/>
  <c r="L17" i="2"/>
  <c r="L16" i="2"/>
  <c r="H17" i="2"/>
  <c r="I17" i="2"/>
  <c r="J17" i="2"/>
  <c r="G17" i="2"/>
  <c r="H16" i="2"/>
  <c r="I16" i="2"/>
  <c r="J16" i="2"/>
  <c r="G16" i="2"/>
  <c r="H15" i="2"/>
  <c r="I15" i="2"/>
  <c r="J15" i="2"/>
  <c r="G15" i="2"/>
  <c r="H14" i="2"/>
  <c r="I14" i="2"/>
  <c r="J14" i="2"/>
  <c r="G14" i="2"/>
  <c r="L13" i="2"/>
  <c r="H13" i="2"/>
  <c r="I13" i="2"/>
  <c r="J13" i="2"/>
  <c r="G13" i="2"/>
  <c r="J8" i="2"/>
  <c r="J7" i="2"/>
  <c r="H8" i="2"/>
  <c r="H7" i="2"/>
  <c r="H21" i="2" l="1"/>
  <c r="G81" i="1" l="1"/>
  <c r="G80" i="1"/>
  <c r="G72" i="1"/>
  <c r="G71" i="1"/>
  <c r="G70" i="1"/>
  <c r="G40" i="1" l="1"/>
  <c r="G32" i="1" l="1"/>
  <c r="G31" i="1"/>
</calcChain>
</file>

<file path=xl/sharedStrings.xml><?xml version="1.0" encoding="utf-8"?>
<sst xmlns="http://schemas.openxmlformats.org/spreadsheetml/2006/main" count="2207" uniqueCount="629">
  <si>
    <t>score of 100 if all factors measured were as favorable as possible. Areas with a score of 60 or greater are considered to be prime for</t>
  </si>
  <si>
    <t>appreciation, and areas with a score of below 50 may see housing values erode. Two fo the factors evaluated were the recession</t>
  </si>
  <si>
    <t>resistance of the area and its affordability. Both of these factors were rated using a scale ranging from 0 (low score) to 10</t>
  </si>
  <si>
    <t>(high score). The data is shown for a sample of 20 cities</t>
  </si>
  <si>
    <t>a. Develop a regression equation that can be used to predict the score given the recession rating. At 0.05 level of</t>
  </si>
  <si>
    <t xml:space="preserve">    significance, test for a significant relationship.</t>
  </si>
  <si>
    <t>b. Did the estimated regression equation developed above provide a good fit for the data? Explain.</t>
  </si>
  <si>
    <t>c. Develop a regression equation that can be used to predict the score given the recession ratingand the affordability rating.</t>
  </si>
  <si>
    <t xml:space="preserve">    At 0.05 level of significance, test for overall significance</t>
  </si>
  <si>
    <t>Metro Area</t>
  </si>
  <si>
    <t>RecRes</t>
  </si>
  <si>
    <t>Afford</t>
  </si>
  <si>
    <t>Score</t>
  </si>
  <si>
    <t>Tuscon</t>
  </si>
  <si>
    <t>Fort Worth</t>
  </si>
  <si>
    <t>San Antonio</t>
  </si>
  <si>
    <t>Richmond</t>
  </si>
  <si>
    <t>Indianapolis</t>
  </si>
  <si>
    <t>Philadelphia</t>
  </si>
  <si>
    <t>Atlanta</t>
  </si>
  <si>
    <t>Phoenix</t>
  </si>
  <si>
    <t>Cincinnati</t>
  </si>
  <si>
    <t>Miami</t>
  </si>
  <si>
    <t>Hartford</t>
  </si>
  <si>
    <t>Birmingham</t>
  </si>
  <si>
    <t>San Diego</t>
  </si>
  <si>
    <t>Raleigh</t>
  </si>
  <si>
    <t>Oklahoma City</t>
  </si>
  <si>
    <t>Orange County</t>
  </si>
  <si>
    <t>Denver</t>
  </si>
  <si>
    <t>Los Angeles</t>
  </si>
  <si>
    <t>Detroit</t>
  </si>
  <si>
    <t>New Orleans</t>
  </si>
  <si>
    <t>in the smelting operation. The baked density of the anode is an important quality characteristic, as it</t>
  </si>
  <si>
    <t xml:space="preserve">may affect the anode life. One of the process engineer suspects that firing temperature in the ring </t>
  </si>
  <si>
    <t xml:space="preserve">furnace affects the baked density. An experiment was run at four different temperature levels, and six  </t>
  </si>
  <si>
    <t xml:space="preserve">anodes were baked at each temperature level. The data from the experiment is given below. </t>
  </si>
  <si>
    <t>a. Does the firing temperature in the ring furnace affect the mean baked anode density?</t>
  </si>
  <si>
    <t>b. What firing temperature would you recommend?</t>
  </si>
  <si>
    <t>500degC</t>
  </si>
  <si>
    <t>525degC</t>
  </si>
  <si>
    <t>550degC</t>
  </si>
  <si>
    <t>575degC</t>
  </si>
  <si>
    <t>A regional airline transfers passengers from small airports to a larger regional hub airport. The airline's
data analyst was assigned to estimate the revenue (in thousands of dollars) generated by each of the
 22 small airports based on two variables: the distance from each airport (in miles) to the hub and the 
population (in hundreds) of the cities in which each of the 22 airports is located. The data is given: 
a. produce three scatter plots: Revenue Vs. Distance; Revenue Vs. population; Distance Vs. Population.
b. For the 22 airports, is there a strong correlation between airport distance from the regional hub 
     and city population?
c. Does there appear to be a problem with high leverage points? Justify your answer.
d. Fit a first order rregression model relating revenue to distance and population size.
Comment on the quality of the fit of the model to the data.
e. Do the two estimated slopes appear to have the appropriate aign? If not, explain why?</t>
  </si>
  <si>
    <t>Airport</t>
  </si>
  <si>
    <t>Revenue</t>
  </si>
  <si>
    <t>Distance</t>
  </si>
  <si>
    <t xml:space="preserve">Population </t>
  </si>
  <si>
    <t>Age</t>
  </si>
  <si>
    <t>Repairs</t>
  </si>
  <si>
    <t>Index finger length (cm)</t>
  </si>
  <si>
    <t>Gender</t>
  </si>
  <si>
    <t>MBA GPA</t>
  </si>
  <si>
    <t>UnderGPA</t>
  </si>
  <si>
    <t>GMAT</t>
  </si>
  <si>
    <t>Work</t>
  </si>
  <si>
    <t>Degree</t>
  </si>
  <si>
    <t>The data shows the digital mode talk time in hours and the battery capacity in milliampere-hours</t>
  </si>
  <si>
    <t>of cellphones.</t>
  </si>
  <si>
    <t>Compute the coefficient of correlation</t>
  </si>
  <si>
    <t>At the 0.05 level of significance, is there a significant relationship between the battery capacity and</t>
  </si>
  <si>
    <t>the digital mode talk time?</t>
  </si>
  <si>
    <t>What conclusions can you reach about the relationship between the battery capacity and</t>
  </si>
  <si>
    <t>the digital mode talk time? (use formula, graphical and tools&gt;data analysis)</t>
  </si>
  <si>
    <t>Talk</t>
  </si>
  <si>
    <t>Battery</t>
  </si>
  <si>
    <t xml:space="preserve">Time </t>
  </si>
  <si>
    <t xml:space="preserve">Capacity </t>
  </si>
  <si>
    <t>Location</t>
  </si>
  <si>
    <t>Food</t>
  </si>
  <si>
    <t>Décor</t>
  </si>
  <si>
    <t>Service</t>
  </si>
  <si>
    <t>Price</t>
  </si>
  <si>
    <t>Urban</t>
  </si>
  <si>
    <t>Suburban</t>
  </si>
  <si>
    <t>Problem 8.</t>
  </si>
  <si>
    <r>
      <t>1.</t>
    </r>
    <r>
      <rPr>
        <sz val="7"/>
        <color theme="1"/>
        <rFont val="Times New Roman"/>
        <family val="1"/>
      </rPr>
      <t xml:space="preserve">       </t>
    </r>
    <r>
      <rPr>
        <sz val="11"/>
        <color theme="1"/>
        <rFont val="Calibri"/>
        <family val="2"/>
        <scheme val="minor"/>
      </rPr>
      <t>Perform a multiple linear regression (MLR) with 3 independent variables</t>
    </r>
  </si>
  <si>
    <r>
      <t>2.</t>
    </r>
    <r>
      <rPr>
        <sz val="7"/>
        <color theme="1"/>
        <rFont val="Times New Roman"/>
        <family val="1"/>
      </rPr>
      <t xml:space="preserve">       </t>
    </r>
    <r>
      <rPr>
        <sz val="11"/>
        <color theme="1"/>
        <rFont val="Calibri"/>
        <family val="2"/>
        <scheme val="minor"/>
      </rPr>
      <t>Perform one MLR for urban and one MLR for suburban</t>
    </r>
  </si>
  <si>
    <r>
      <t>3.</t>
    </r>
    <r>
      <rPr>
        <sz val="7"/>
        <color theme="1"/>
        <rFont val="Times New Roman"/>
        <family val="1"/>
      </rPr>
      <t xml:space="preserve">       </t>
    </r>
    <r>
      <rPr>
        <sz val="11"/>
        <color theme="1"/>
        <rFont val="Calibri"/>
        <family val="2"/>
        <scheme val="minor"/>
      </rPr>
      <t>Perform CI and PI for urban and suburban with values of each independent variable =20</t>
    </r>
  </si>
  <si>
    <r>
      <t>4.</t>
    </r>
    <r>
      <rPr>
        <sz val="7"/>
        <color theme="1"/>
        <rFont val="Times New Roman"/>
        <family val="1"/>
      </rPr>
      <t xml:space="preserve">       </t>
    </r>
    <r>
      <rPr>
        <sz val="11"/>
        <color theme="1"/>
        <rFont val="Calibri"/>
        <family val="2"/>
        <scheme val="minor"/>
      </rPr>
      <t>Add all the independent variables and perform a simple linear regression (SLR)</t>
    </r>
  </si>
  <si>
    <r>
      <t>5.</t>
    </r>
    <r>
      <rPr>
        <sz val="7"/>
        <color theme="1"/>
        <rFont val="Times New Roman"/>
        <family val="1"/>
      </rPr>
      <t xml:space="preserve">       </t>
    </r>
    <r>
      <rPr>
        <sz val="11"/>
        <color theme="1"/>
        <rFont val="Calibri"/>
        <family val="2"/>
        <scheme val="minor"/>
      </rPr>
      <t>Perform one SLR for urban and one SLR for suburban</t>
    </r>
  </si>
  <si>
    <r>
      <t>6.</t>
    </r>
    <r>
      <rPr>
        <sz val="7"/>
        <color theme="1"/>
        <rFont val="Times New Roman"/>
        <family val="1"/>
      </rPr>
      <t xml:space="preserve">       </t>
    </r>
    <r>
      <rPr>
        <sz val="11"/>
        <color theme="1"/>
        <rFont val="Calibri"/>
        <family val="2"/>
        <scheme val="minor"/>
      </rPr>
      <t>Perform CI and PI for urban and suburban for independent variable =50</t>
    </r>
  </si>
  <si>
    <t>Brand</t>
  </si>
  <si>
    <t>Tar</t>
  </si>
  <si>
    <t>Nicotine</t>
  </si>
  <si>
    <t>CO</t>
  </si>
  <si>
    <t>Alpine</t>
  </si>
  <si>
    <t>Benson&amp;Hedges</t>
  </si>
  <si>
    <t>BullDurham</t>
  </si>
  <si>
    <t>CamelLights</t>
  </si>
  <si>
    <t>Carlton</t>
  </si>
  <si>
    <t>Chesterfield</t>
  </si>
  <si>
    <t>GoldenLights</t>
  </si>
  <si>
    <t>Kent</t>
  </si>
  <si>
    <t>Kool</t>
  </si>
  <si>
    <t>L&amp;M</t>
  </si>
  <si>
    <t>LarkLights</t>
  </si>
  <si>
    <t>Marlboro</t>
  </si>
  <si>
    <t>Merit</t>
  </si>
  <si>
    <t>MultiFilter</t>
  </si>
  <si>
    <t>NewportLights</t>
  </si>
  <si>
    <t>Now</t>
  </si>
  <si>
    <t>OldGold</t>
  </si>
  <si>
    <t>PallMallLight</t>
  </si>
  <si>
    <t>SalemUltra</t>
  </si>
  <si>
    <t>Tareyton</t>
  </si>
  <si>
    <t>Trues</t>
  </si>
  <si>
    <t>ViceroyRichLight</t>
  </si>
  <si>
    <t>VirginiaSlims</t>
  </si>
  <si>
    <t>WinstonLights</t>
  </si>
  <si>
    <t xml:space="preserve">A GMAC MBA new-matriculants  survey provided the following data. </t>
  </si>
  <si>
    <t>a. Construct a joint probability table for the experiment consisting of student’s age and whether the student applied to one or more schools.</t>
  </si>
  <si>
    <t>b. What is the probability that a randomly selected applicant is 23 and under?</t>
  </si>
  <si>
    <t>c.  What is the probability that a randomly selected applicant is older than 26?</t>
  </si>
  <si>
    <t>d. What is the probability that a randomly selected applicant applied to more than one school?</t>
  </si>
  <si>
    <t>e. What is the probability that a person is 24-26 years old or applied to more than one school?</t>
  </si>
  <si>
    <t>shown in the table below. Assume the data is normally distributed.</t>
  </si>
  <si>
    <t>a. Test the hypothesis that the mean hardness of the saltwater quenching process equals the mean hardness for the oil quenching</t>
  </si>
  <si>
    <t>process. Write the Null and Alternate hypotheses and Use alpha = 0.05</t>
  </si>
  <si>
    <t>b. What is the  95% Conficence inteval on the difference in the mean hardness.</t>
  </si>
  <si>
    <t>c. Does the normality assumption valid?</t>
  </si>
  <si>
    <t>Saltwater</t>
  </si>
  <si>
    <t>Oil</t>
  </si>
  <si>
    <t>Two different hardening processes a. Saltwater Quenching and b. Oil Quenching are used on samples of a particular type of metal alloy. The results are</t>
  </si>
  <si>
    <t>The following table shows the raw results of a national survey of 200 executives.</t>
  </si>
  <si>
    <t xml:space="preserve"> They were asked to identify the geographic locale of their company and the company's industrial type. </t>
  </si>
  <si>
    <t>Table</t>
  </si>
  <si>
    <t>Industry</t>
  </si>
  <si>
    <t>Northeast</t>
  </si>
  <si>
    <t>Southeast</t>
  </si>
  <si>
    <t>Midwest</t>
  </si>
  <si>
    <t>West</t>
  </si>
  <si>
    <t>Finance</t>
  </si>
  <si>
    <t>Manufacturing</t>
  </si>
  <si>
    <t>Communications</t>
  </si>
  <si>
    <t>a. If the respondent is randomly selected from these data, what is the probability that this executive is from the Midwest?</t>
  </si>
  <si>
    <t>b. What is the probability that the respondent is from the communication industry or from the Northeast?</t>
  </si>
  <si>
    <t>c. What is the probability that the respondent is from the Southeast or from the finance industry?</t>
  </si>
  <si>
    <t>d. What is the joint probability that the respondent is in the manufacturing industry and from Southeast?</t>
  </si>
  <si>
    <t>e. What is the joint probability that the respondent is from West and in the Finance Industry?</t>
  </si>
  <si>
    <t>f. What is the joint probability that the respondent is in the Manufacturing and in the Communication Industry?</t>
  </si>
  <si>
    <t>g. If the respondent is from Midwest, what is the probability he or she in the manufacturing industry?</t>
  </si>
  <si>
    <t>h. If the respondent is in the communication industry, what is the probability he or she from the West?</t>
  </si>
  <si>
    <t>i. If the respondent is from Northeast, what is the probability he or she from the Midwest?</t>
  </si>
  <si>
    <t>Smart Money magazine evaluated 65 metropolitan areas to detrmine where the homesales are headed. An ideal city would get a</t>
  </si>
  <si>
    <t>An aluminium producer manufactures carbon anodes and bakes them in a ring furnace prior to use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</si>
  <si>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</si>
  <si>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</si>
  <si>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</si>
  <si>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</si>
  <si>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</si>
  <si>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</si>
  <si>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</si>
  <si>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</si>
  <si>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</si>
  <si>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</si>
  <si>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</si>
  <si>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</si>
  <si>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</si>
  <si>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</si>
  <si>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</si>
  <si>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</si>
  <si>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</si>
  <si>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</si>
  <si>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</si>
  <si>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</si>
  <si>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</si>
  <si>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</si>
  <si>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</si>
  <si>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</si>
  <si>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a</t>
  </si>
  <si>
    <t>n</t>
  </si>
  <si>
    <t>b1</t>
  </si>
  <si>
    <t>Y=b1*x+b0</t>
  </si>
  <si>
    <t>b0=</t>
  </si>
  <si>
    <t>Y=1.562*x+50.60954</t>
  </si>
  <si>
    <t>Null</t>
  </si>
  <si>
    <t>h0</t>
  </si>
  <si>
    <t>beta1=0</t>
  </si>
  <si>
    <t>Alternate</t>
  </si>
  <si>
    <t>h1</t>
  </si>
  <si>
    <t>beta1!=0</t>
  </si>
  <si>
    <t>t=(b1-beta1)/sb1</t>
  </si>
  <si>
    <t xml:space="preserve"> b1 = regression slope</t>
  </si>
  <si>
    <t xml:space="preserve">         coefficient</t>
  </si>
  <si>
    <t>t stat</t>
  </si>
  <si>
    <t xml:space="preserve"> beta1 = hypothesized slope</t>
  </si>
  <si>
    <t>p value</t>
  </si>
  <si>
    <t xml:space="preserve"> Sb1 = standard</t>
  </si>
  <si>
    <t>Since p value is larger than alpha we fail to reject the null hypothesis</t>
  </si>
  <si>
    <t xml:space="preserve">          error of the slope</t>
  </si>
  <si>
    <t>No linear relationship between score and recession rating</t>
  </si>
  <si>
    <t>Linear relationship between score and recession rating</t>
  </si>
  <si>
    <t>Since p value is smaller than alpha we reject the null hypothesis</t>
  </si>
  <si>
    <t>Therefore there is  linear relationship between score and recession rating</t>
  </si>
  <si>
    <t>Hence we can use recession rating(independent variable) to predict the value of score(dependent variable)</t>
  </si>
  <si>
    <t>b)</t>
  </si>
  <si>
    <t>The estimate equation line did provide a good fit for the data as the score varaible has a linear relationship with recessing ratings. (b1 regression slope coefficient was used to prove the linear relationship exists between the two variables</t>
  </si>
  <si>
    <t>According to the coefficient of determination ( r square ) =0.431, we can infer that 43.1% variation in score is explained by Recres variable.</t>
  </si>
  <si>
    <t>c)</t>
  </si>
  <si>
    <t>b2=</t>
  </si>
  <si>
    <t>Y=b1*x+b0+b2*x^2</t>
  </si>
  <si>
    <t>Y=1.899*x1+2.61*x2+33.48</t>
  </si>
  <si>
    <t>No overall significance</t>
  </si>
  <si>
    <t>Overall significance exista</t>
  </si>
  <si>
    <t>f=MSR/MSE</t>
  </si>
  <si>
    <t>F STAT</t>
  </si>
  <si>
    <t>Therefore there is evidence that overall RecRes and Afford do effect the scores.</t>
  </si>
  <si>
    <t xml:space="preserve">FROM MINITAB </t>
  </si>
  <si>
    <t>Sheet2</t>
  </si>
  <si>
    <t>Regression Analysis: Score versus Afford, RecRes</t>
  </si>
  <si>
    <t>Regression Equation</t>
  </si>
  <si>
    <t>=</t>
  </si>
  <si>
    <t>33.48 + 2.611 Afford + 1.900 RecRes</t>
  </si>
  <si>
    <t>Term</t>
  </si>
  <si>
    <t>Coef</t>
  </si>
  <si>
    <t>SE Coef</t>
  </si>
  <si>
    <t>T-Value</t>
  </si>
  <si>
    <t>P-Value</t>
  </si>
  <si>
    <t>VIF</t>
  </si>
  <si>
    <t>Constant</t>
  </si>
  <si>
    <t>Model Summary</t>
  </si>
  <si>
    <t>S</t>
  </si>
  <si>
    <t>R-sq</t>
  </si>
  <si>
    <t>R-sq(adj)</t>
  </si>
  <si>
    <t>R-sq(pred)</t>
  </si>
  <si>
    <t>Analysis of Variance</t>
  </si>
  <si>
    <t>Source</t>
  </si>
  <si>
    <t>DF</t>
  </si>
  <si>
    <t>Adj SS</t>
  </si>
  <si>
    <t>Adj MS</t>
  </si>
  <si>
    <t>F-Value</t>
  </si>
  <si>
    <t>  Afford</t>
  </si>
  <si>
    <t>  RecRes</t>
  </si>
  <si>
    <t>Error</t>
  </si>
  <si>
    <t>  Lack-of-Fit</t>
  </si>
  <si>
    <t>  Pure Error</t>
  </si>
  <si>
    <t>Fits and Diagnostics for Unusual Observations</t>
  </si>
  <si>
    <t>Obs</t>
  </si>
  <si>
    <t>Fit</t>
  </si>
  <si>
    <t>Resid</t>
  </si>
  <si>
    <t>Std Resid</t>
  </si>
  <si>
    <t>R</t>
  </si>
  <si>
    <t>R  Large residual</t>
  </si>
  <si>
    <t>FROM MINITAB</t>
  </si>
  <si>
    <t>Regression Analysis: Score versus RecRes</t>
  </si>
  <si>
    <t>50.61 + 1.562 RecRes</t>
  </si>
  <si>
    <t>Anova: Single Factor</t>
  </si>
  <si>
    <t>SUMMARY</t>
  </si>
  <si>
    <t>Groups</t>
  </si>
  <si>
    <t>Count</t>
  </si>
  <si>
    <t>Sum</t>
  </si>
  <si>
    <t>Average</t>
  </si>
  <si>
    <t>Variance</t>
  </si>
  <si>
    <t>Source of Variation</t>
  </si>
  <si>
    <t>F crit</t>
  </si>
  <si>
    <t>Between Groups</t>
  </si>
  <si>
    <t>Within Groups</t>
  </si>
  <si>
    <t>Using data analysis</t>
  </si>
  <si>
    <t>525 C</t>
  </si>
  <si>
    <t>500c</t>
  </si>
  <si>
    <t>575c</t>
  </si>
  <si>
    <t>550c</t>
  </si>
  <si>
    <t>xbar</t>
  </si>
  <si>
    <t>s^2</t>
  </si>
  <si>
    <t>((xbar-Xdblbar)^2</t>
  </si>
  <si>
    <t>n(xbar-Xdblbar)^2</t>
  </si>
  <si>
    <t>(n-1)*var</t>
  </si>
  <si>
    <t xml:space="preserve">Total DOF </t>
  </si>
  <si>
    <t>Treatment DOF</t>
  </si>
  <si>
    <t>mu1=mu2=mu3</t>
  </si>
  <si>
    <t># Treatments</t>
  </si>
  <si>
    <t>Error DOF</t>
  </si>
  <si>
    <t>Alt</t>
  </si>
  <si>
    <t>Atleast one of them is different</t>
  </si>
  <si>
    <t>xdbbar</t>
  </si>
  <si>
    <t>SST</t>
  </si>
  <si>
    <t>SSE</t>
  </si>
  <si>
    <t>MST</t>
  </si>
  <si>
    <t>SST/(k-1)</t>
  </si>
  <si>
    <t>MSE</t>
  </si>
  <si>
    <t>SSE/(N-k)</t>
  </si>
  <si>
    <t>F Stat</t>
  </si>
  <si>
    <t xml:space="preserve"> </t>
  </si>
  <si>
    <t>Alpha</t>
  </si>
  <si>
    <t>F Critical</t>
  </si>
  <si>
    <t>We fail to reject the null hypothesis as p value is smaller than alpha</t>
  </si>
  <si>
    <t>No the firing temperature does not affect the mean baked anode density as we cannot infer that the mean of each firing temperature is different.</t>
  </si>
  <si>
    <t>Fisher's LSD</t>
  </si>
  <si>
    <t>Bonferoni</t>
  </si>
  <si>
    <t>t alpha/2</t>
  </si>
  <si>
    <t>LSD</t>
  </si>
  <si>
    <t>Xbar</t>
  </si>
  <si>
    <t>X1b-X2b</t>
  </si>
  <si>
    <t>(X1b-X2b)+LSD</t>
  </si>
  <si>
    <t>(X1b-X2b)-LSD</t>
  </si>
  <si>
    <t>(X1b-X2b)+half width</t>
  </si>
  <si>
    <t>(X1b-X2b)-halfwidth</t>
  </si>
  <si>
    <t>X1Bar</t>
  </si>
  <si>
    <t xml:space="preserve"> zero</t>
  </si>
  <si>
    <t>X2Bar</t>
  </si>
  <si>
    <t>X1b-X3b</t>
  </si>
  <si>
    <t>X3Bar</t>
  </si>
  <si>
    <t>X1b-X4b</t>
  </si>
  <si>
    <t xml:space="preserve">X4Bar </t>
  </si>
  <si>
    <t>X2b-X3b</t>
  </si>
  <si>
    <t>zero</t>
  </si>
  <si>
    <t>X2b-X4b</t>
  </si>
  <si>
    <t>X3b-X4b</t>
  </si>
  <si>
    <t>mu1 &amp; mu2</t>
  </si>
  <si>
    <t>Mu do not differ</t>
  </si>
  <si>
    <t>mu1&amp;mu3</t>
  </si>
  <si>
    <t>mu1&amp;mu4</t>
  </si>
  <si>
    <t>mu2&amp;mu3</t>
  </si>
  <si>
    <t>mu2&amp;mu4</t>
  </si>
  <si>
    <t>mu3&amp;mu4</t>
  </si>
  <si>
    <t>Fisher's LSD method is better and more widely used as it shows which Means differ. Whereas Bonferoni usually shows all means are the same as the alpha in talpha/2 is divided by the total number of possibile outcomes (nCr)</t>
  </si>
  <si>
    <t>Critical studentized range (q)</t>
  </si>
  <si>
    <t>omega (w)</t>
  </si>
  <si>
    <t xml:space="preserve">Since, the mean of baked anode density is the same no matter what the firing temperature is we can choose any of the four firing temperature </t>
  </si>
  <si>
    <t>a)</t>
  </si>
  <si>
    <t>there is  a negative correlation between airport distance from the regional hub and city population</t>
  </si>
  <si>
    <t>d)</t>
  </si>
  <si>
    <t>Y=0.169*x1+1.094*x2+144.3885</t>
  </si>
  <si>
    <t>Therefore there is evidence that overall the independent variables do effect the revenue</t>
  </si>
  <si>
    <t>NOW LETS CHECK IF EACH INDEPENDENT VARIABLE HAS LINEAR RELATIONSHIP WITH REVENUE</t>
  </si>
  <si>
    <t>t=(b2-beta1)/sb2</t>
  </si>
  <si>
    <t>Therefore there is no  linear relationship between revnue and distance</t>
  </si>
  <si>
    <t>Hence we cannot use distance (independent variable) to predict the value of revnue (dependent variable)</t>
  </si>
  <si>
    <t>Therefore there is  linear relationship between revnue and population</t>
  </si>
  <si>
    <t>Hence we can use population(independent variable) to predict the value of revenue(dependent variable)</t>
  </si>
  <si>
    <t>One-way ANOVA: 500degC, 525degC, 550degC, 575degC</t>
  </si>
  <si>
    <t>Method</t>
  </si>
  <si>
    <t>Null hypothesis</t>
  </si>
  <si>
    <t>All means are equal</t>
  </si>
  <si>
    <t>Alternative hypothesis</t>
  </si>
  <si>
    <t>Not all means are equal</t>
  </si>
  <si>
    <t>Significance level</t>
  </si>
  <si>
    <t>α = 0.05</t>
  </si>
  <si>
    <t>Equal variances were assumed for the analysis.</t>
  </si>
  <si>
    <t>Factor Information</t>
  </si>
  <si>
    <t>Factor</t>
  </si>
  <si>
    <t>Levels</t>
  </si>
  <si>
    <t>Values</t>
  </si>
  <si>
    <t>500degC, 525degC, 550degC, 575degC</t>
  </si>
  <si>
    <t>Means</t>
  </si>
  <si>
    <t>N</t>
  </si>
  <si>
    <t>Mean</t>
  </si>
  <si>
    <t>StDev</t>
  </si>
  <si>
    <t>95% CI</t>
  </si>
  <si>
    <t>(41.4243, 41.9757)</t>
  </si>
  <si>
    <t>(41.3076, 41.8591)</t>
  </si>
  <si>
    <t>(41.174, 41.726)</t>
  </si>
  <si>
    <t>(41.058, 41.609)</t>
  </si>
  <si>
    <t>Pooled StDev = 0.323780</t>
  </si>
  <si>
    <t>Tukey Pairwise Comparisons</t>
  </si>
  <si>
    <t>Grouping Information Using the Tukey Method and 95% Confidence</t>
  </si>
  <si>
    <t>Grouping</t>
  </si>
  <si>
    <t>A</t>
  </si>
  <si>
    <t>Means that do not share a letter are significantly different.</t>
  </si>
  <si>
    <t>Tukey Simultaneous Tests for Differences of Means</t>
  </si>
  <si>
    <t>Difference of Levels</t>
  </si>
  <si>
    <t>Difference</t>
  </si>
  <si>
    <t>of Means</t>
  </si>
  <si>
    <t>SE of</t>
  </si>
  <si>
    <t>Adjusted</t>
  </si>
  <si>
    <t>525degC - 500degC</t>
  </si>
  <si>
    <t>(-0.640, 0.407)</t>
  </si>
  <si>
    <t>550degC - 500degC</t>
  </si>
  <si>
    <t>(-0.773, 0.273)</t>
  </si>
  <si>
    <t>575degC - 500degC</t>
  </si>
  <si>
    <t>(-0.890, 0.157)</t>
  </si>
  <si>
    <t>550degC - 525degC</t>
  </si>
  <si>
    <t>(-0.657, 0.390)</t>
  </si>
  <si>
    <t>575degC - 525degC</t>
  </si>
  <si>
    <t>575degC - 550degC</t>
  </si>
  <si>
    <t>Individual confidence level = 98.89%</t>
  </si>
  <si>
    <t>Fisher Pairwise Comparisons</t>
  </si>
  <si>
    <t>Grouping Information Using the Fisher LSD Method and 95% Confidence</t>
  </si>
  <si>
    <t>Fisher Individual Tests for Differences of Means</t>
  </si>
  <si>
    <t>(-0.507, 0.273)</t>
  </si>
  <si>
    <t>(-0.640, 0.140)</t>
  </si>
  <si>
    <t>(-0.757, 0.023)</t>
  </si>
  <si>
    <t>(-0.523, 0.257)</t>
  </si>
  <si>
    <t>Simultaneous confidence level = 80.83%</t>
  </si>
  <si>
    <t>Regression Analysis: Revenue versus Distance, Population</t>
  </si>
  <si>
    <t>144.4 + 0.169 Distance + 1.094 Population</t>
  </si>
  <si>
    <t>Population</t>
  </si>
  <si>
    <t>  Distance</t>
  </si>
  <si>
    <t>  Population</t>
  </si>
  <si>
    <t>X</t>
  </si>
  <si>
    <t>X  Unusual X</t>
  </si>
  <si>
    <t>A)</t>
  </si>
  <si>
    <t>Y=2.4733*x+114.8525</t>
  </si>
  <si>
    <t>B)</t>
  </si>
  <si>
    <t>The sample regression line is Y=2.4733*x+114.8525.  The slope b1=2.4733, there is an increase of 2.4733 repair cost  for one increase in age years.  Here the slope is linear and positive. So there is a positive linear relationship between x and y. The Y-intercept b0=114.8525. The Y-intercept is the point where y-axis and regression line intersect. So for x=0  the temp Y= 114.8525 i.e for every step Y is added with a value of 114.8525.</t>
  </si>
  <si>
    <t>R^2</t>
  </si>
  <si>
    <t>R^2= CoV(X,Y)^2 /(VarX * VarY)</t>
  </si>
  <si>
    <t>According to the coefficient of determination ( r square ) =0.565, we can infer that 56.5% variation in repairs cost  is explained by age variable.</t>
  </si>
  <si>
    <t>Therefore there is  linear relationship between age and cost of repair</t>
  </si>
  <si>
    <t>Hence we can use age(independent variable) to predict the value of repair(dependent variable)</t>
  </si>
  <si>
    <t>e)</t>
  </si>
  <si>
    <t>Regression Analysis: Repairs versus Age</t>
  </si>
  <si>
    <t>114.9 + 2.473 Age</t>
  </si>
  <si>
    <t>  Age</t>
  </si>
  <si>
    <t>from Mintab</t>
  </si>
  <si>
    <t>Prediction for Repairs</t>
  </si>
  <si>
    <t>Settings</t>
  </si>
  <si>
    <t>Variable</t>
  </si>
  <si>
    <t>Setting</t>
  </si>
  <si>
    <t>Prediction</t>
  </si>
  <si>
    <t>SE Fit</t>
  </si>
  <si>
    <t>95% PI</t>
  </si>
  <si>
    <t>(390.089, 433.218)</t>
  </si>
  <si>
    <t>(318.125, 505.182)</t>
  </si>
  <si>
    <t>We can predict that the cost of repairs  for 120 months old car seat will be between (318.125, 505.182) with 95% confidence</t>
  </si>
  <si>
    <t>Height CM</t>
  </si>
  <si>
    <t>from minitab</t>
  </si>
  <si>
    <t>Regression Analysis: Height CM versus Index finger length (cm), Gender</t>
  </si>
  <si>
    <t>Categorical predictor coding</t>
  </si>
  <si>
    <t>(1, 0)</t>
  </si>
  <si>
    <t>137.72 + 3.778 Index finger length (cm)</t>
  </si>
  <si>
    <t>149.88 + 3.778 Index finger length (cm)</t>
  </si>
  <si>
    <t>  1</t>
  </si>
  <si>
    <t>  Index finger length (cm)</t>
  </si>
  <si>
    <t>  Gender</t>
  </si>
  <si>
    <t>Therefore there is  linear relationship between index finger length  and height</t>
  </si>
  <si>
    <t>Hence we can use index length(independent variable) to predict the value of height(dependent variable)</t>
  </si>
  <si>
    <t>Prediction for Height CM</t>
  </si>
  <si>
    <t>137.72 + 3.778 Index finger length (cm) + 0.000000 Gender_0 + 12.16 Gender_1</t>
  </si>
  <si>
    <t>(172.278, 176.595)</t>
  </si>
  <si>
    <t>(162.556, 186.318)</t>
  </si>
  <si>
    <t>FOR GENDER 0 (FEMALE)</t>
  </si>
  <si>
    <t>(160.574, 163.981)</t>
  </si>
  <si>
    <t>(150.471, 174.085)</t>
  </si>
  <si>
    <t>FOR GENDER 1 (MALE)</t>
  </si>
  <si>
    <t>We can predict that the height of  male with a index length of 6.5cm will be between (162.556, 186.318) with 95% confidence</t>
  </si>
  <si>
    <t>We can predict that the height of  female with a index length of 6.5cm will be between ((150.471, 174.085) with 95% confidence</t>
  </si>
  <si>
    <t>No linear relationship between height and index length</t>
  </si>
  <si>
    <t>Linear relationship between height and index length</t>
  </si>
  <si>
    <t>Regression Analysis: MBA GPA versus UnderGPA, GMAT, Work</t>
  </si>
  <si>
    <t>0.47 + 0.063 UnderGPA + 0.01128 GMAT + 0.0926 Work</t>
  </si>
  <si>
    <t>  UnderGPA</t>
  </si>
  <si>
    <t>  GMAT</t>
  </si>
  <si>
    <t>  Work</t>
  </si>
  <si>
    <t>C)</t>
  </si>
  <si>
    <t>Therefore there is evidence that overall the independent variables do effect the MBA GPA</t>
  </si>
  <si>
    <t>NOW LETS CHECK IF EACH INDEPENDENT VARIABLE HAS LINEAR RELATIONSHIP WITH MBA GPA</t>
  </si>
  <si>
    <t>No linear relationship between MBA GPA and GMAT</t>
  </si>
  <si>
    <t>Linear relationship between MBA GPA and GMAT</t>
  </si>
  <si>
    <t>Linear relationship between MBA GPA and undergpa</t>
  </si>
  <si>
    <t>No linear relationship between MBA GPA and under gpa</t>
  </si>
  <si>
    <t>Therefore there is no  linear relationship between MBA gpa and undergrad gpa</t>
  </si>
  <si>
    <t>Hence we cannot use undergrad gpa (independent variable) to predict the value of mba gpa (dependent variable)</t>
  </si>
  <si>
    <t>Therefore there is  linear relationship between MBA gpa and GMAT</t>
  </si>
  <si>
    <t>Hence we can use GMAT(independent variable) to predict the value of MBA GPA(dependent variable)</t>
  </si>
  <si>
    <t>No linear relationship between MBA GPA and WORK</t>
  </si>
  <si>
    <t>Linear relationship between MBA GPA and WORK</t>
  </si>
  <si>
    <t>Therefore there is  linear relationship between MBA gpa and WORK</t>
  </si>
  <si>
    <t>Hence we can use work(independent variable) to predict the value of MBA GPA(dependent variable)</t>
  </si>
  <si>
    <t>Xi-Xbar</t>
  </si>
  <si>
    <t>Yi-Ybar</t>
  </si>
  <si>
    <t>(Xi-Xbar)*(Yi-Ybar)</t>
  </si>
  <si>
    <t>(Xi-Xbar)^2</t>
  </si>
  <si>
    <t>(Yi-Ybar)^2</t>
  </si>
  <si>
    <t>ybar</t>
  </si>
  <si>
    <t>CoV (X,Y)</t>
  </si>
  <si>
    <t>VarX</t>
  </si>
  <si>
    <t>VarY</t>
  </si>
  <si>
    <t>SG</t>
  </si>
  <si>
    <t>Standard error of b1</t>
  </si>
  <si>
    <t>H0:</t>
  </si>
  <si>
    <t>beta1=</t>
  </si>
  <si>
    <t>There is no linear relationship</t>
  </si>
  <si>
    <t>H1:</t>
  </si>
  <si>
    <t>beta1not=</t>
  </si>
  <si>
    <t xml:space="preserve">There is linear relationship </t>
  </si>
  <si>
    <t>t actual</t>
  </si>
  <si>
    <t>dof</t>
  </si>
  <si>
    <t>t critical</t>
  </si>
  <si>
    <t>We fail to reject the null hypothesis as the t actual lies between t critical in a two tail test</t>
  </si>
  <si>
    <t>There is no linear relationship betwee talk time and battery capacity</t>
  </si>
  <si>
    <t>coefficient of correlation</t>
  </si>
  <si>
    <t>Regression Analysis: Time versus Capacity</t>
  </si>
  <si>
    <t>Time</t>
  </si>
  <si>
    <t>1.527 + 0.000993 Capacity</t>
  </si>
  <si>
    <t>Capacity</t>
  </si>
  <si>
    <t>  Capacity</t>
  </si>
  <si>
    <t>Perform a multiple linear regression (MLR) with 3 independent variables</t>
  </si>
  <si>
    <t>Using minitab</t>
  </si>
  <si>
    <t>Regression Analysis: Price versus Décor, Food, Service</t>
  </si>
  <si>
    <t>-10.94 + 0.924 Décor + 0.018 Food + 1.670 Service</t>
  </si>
  <si>
    <t>  Décor</t>
  </si>
  <si>
    <t>  Food</t>
  </si>
  <si>
    <t>  Service</t>
  </si>
  <si>
    <t>Perform one MLR for urban and one MLR for suburban</t>
  </si>
  <si>
    <t>Regression Analysis: Price versus Service, Décor, Food</t>
  </si>
  <si>
    <t>-17.51 + 2.297 Service + 1.288 Décor - 0.351 Food</t>
  </si>
  <si>
    <t xml:space="preserve">URBAN </t>
  </si>
  <si>
    <t>-13.00 + 1.379 Service + 0.793 Décor + 0.316 Food</t>
  </si>
  <si>
    <t>SUBURBAN</t>
  </si>
  <si>
    <t>Perform CI and PI for urban and suburban with values of each independent variable =20</t>
  </si>
  <si>
    <t>Prediction for Price</t>
  </si>
  <si>
    <t>(34.9058, 38.6224)</t>
  </si>
  <si>
    <t>(26.9467, 46.5815)</t>
  </si>
  <si>
    <t>(44.1552, 50.1607)</t>
  </si>
  <si>
    <t>(33.8131, 60.5028)</t>
  </si>
  <si>
    <t>combine</t>
  </si>
  <si>
    <t>Regression Analysis: Price versus combine</t>
  </si>
  <si>
    <t>-13.66 + 0.893 combine</t>
  </si>
  <si>
    <t>  combine</t>
  </si>
  <si>
    <t xml:space="preserve"> Add all the independent variables and perform a simple linear regression (SLR)</t>
  </si>
  <si>
    <t>i)</t>
  </si>
  <si>
    <t>Perform one SLR for urban and one SLR for suburban</t>
  </si>
  <si>
    <t>-26.29 + 1.187 combine</t>
  </si>
  <si>
    <t>-13.16 + 0.8196 combine</t>
  </si>
  <si>
    <t>f)</t>
  </si>
  <si>
    <t>Perform CI and PI for urban and suburban for combination of independent variable =50</t>
  </si>
  <si>
    <t>(25.9157, 29.7298)</t>
  </si>
  <si>
    <t>(18.0092, 37.6363)</t>
  </si>
  <si>
    <t>(30.4003, 35.7359)</t>
  </si>
  <si>
    <t>(19.2455, 46.8907)</t>
  </si>
  <si>
    <t>Regression Analysis: Nicotine versus Tar</t>
  </si>
  <si>
    <t>0.1309 + 0.06103 Tar</t>
  </si>
  <si>
    <t>  Tar</t>
  </si>
  <si>
    <r>
      <t>Let us consider </t>
    </r>
    <r>
      <rPr>
        <b/>
        <i/>
        <sz val="10"/>
        <color rgb="FF333333"/>
        <rFont val="Arial"/>
        <family val="2"/>
      </rPr>
      <t>x</t>
    </r>
    <r>
      <rPr>
        <b/>
        <sz val="10"/>
        <color rgb="FF333333"/>
        <rFont val="Arial"/>
        <family val="2"/>
      </rPr>
      <t> denotes the level of tar, and </t>
    </r>
    <r>
      <rPr>
        <b/>
        <i/>
        <sz val="10"/>
        <color rgb="FF333333"/>
        <rFont val="Arial"/>
        <family val="2"/>
      </rPr>
      <t>y</t>
    </r>
    <r>
      <rPr>
        <b/>
        <sz val="10"/>
        <color rgb="FF333333"/>
        <rFont val="Arial"/>
        <family val="2"/>
      </rPr>
      <t> denotes the level of nicotine</t>
    </r>
  </si>
  <si>
    <t>Therefore there is  linear relationship between nicotine and tar</t>
  </si>
  <si>
    <t>Regression Analysis: Nicotine versus CO</t>
  </si>
  <si>
    <t>0.0099 + 0.06917 CO</t>
  </si>
  <si>
    <t>  CO</t>
  </si>
  <si>
    <t>Let us consider x denotes CO, and y denotes the level of nicotine</t>
  </si>
  <si>
    <t xml:space="preserve">a) </t>
  </si>
  <si>
    <t>Therefore there is  linear relationship between nicotine and CO</t>
  </si>
  <si>
    <t>No linear relationship between nictotine and Tar</t>
  </si>
  <si>
    <t>Linear relationship between nictotine and Tar</t>
  </si>
  <si>
    <t>No linear relationship between nictotine and CO</t>
  </si>
  <si>
    <t>Linear relationship between nictotine and CO</t>
  </si>
  <si>
    <t>USING DATA ANALYSIS</t>
  </si>
  <si>
    <t>To check if the variances are equal or unequal we run f test</t>
  </si>
  <si>
    <t>Null: s1^2/s2^2=1</t>
  </si>
  <si>
    <t>stdev</t>
  </si>
  <si>
    <t>Alt: s1^2/s2^2 !=1</t>
  </si>
  <si>
    <t>average</t>
  </si>
  <si>
    <t>F stat</t>
  </si>
  <si>
    <t>F critical</t>
  </si>
  <si>
    <t>We fail to reject null hypothesis as fstat lies between f critical</t>
  </si>
  <si>
    <t>Therefore the variances are equal</t>
  </si>
  <si>
    <t>sp^2</t>
  </si>
  <si>
    <t>alpha</t>
  </si>
  <si>
    <t>t</t>
  </si>
  <si>
    <t>Mu1!=Mu2</t>
  </si>
  <si>
    <t>Mu1=Mu2</t>
  </si>
  <si>
    <t>t-Test: Two-Sample Assuming Equal Variances</t>
  </si>
  <si>
    <t>Pooled Variance</t>
  </si>
  <si>
    <t>Hypothesized Mean Difference</t>
  </si>
  <si>
    <t>P(T&lt;=t) one-tail</t>
  </si>
  <si>
    <t>t Critical one-tail</t>
  </si>
  <si>
    <t>P(T&lt;=t) two-tail</t>
  </si>
  <si>
    <t>t Critical two-tail</t>
  </si>
  <si>
    <t>We fail to reject the null hypothesis as p value is larger than alpha</t>
  </si>
  <si>
    <t>halfwidth</t>
  </si>
  <si>
    <t>LCI</t>
  </si>
  <si>
    <t>UCI</t>
  </si>
  <si>
    <t>Two-Sample T-Test and CI: Saltwater, Oil</t>
  </si>
  <si>
    <t>μ₁: population mean of Saltwater</t>
  </si>
  <si>
    <t>µ₂: population mean of Oil</t>
  </si>
  <si>
    <t>Difference: μ₁ - µ₂</t>
  </si>
  <si>
    <t>Equal variances are not assumed for this analysis.</t>
  </si>
  <si>
    <t>Descriptive Statistics</t>
  </si>
  <si>
    <t>Sample</t>
  </si>
  <si>
    <t>SE Mean</t>
  </si>
  <si>
    <t>Estimation for Difference</t>
  </si>
  <si>
    <t>95% CI for</t>
  </si>
  <si>
    <t>(-6.73, 3.13)</t>
  </si>
  <si>
    <t>Test</t>
  </si>
  <si>
    <t>H₀: μ₁ - µ₂ = 0</t>
  </si>
  <si>
    <t>H₁: μ₁ - µ₂ ≠ 0</t>
  </si>
  <si>
    <t>USING MINITAB</t>
  </si>
  <si>
    <t>total</t>
  </si>
  <si>
    <t>p(midwest)</t>
  </si>
  <si>
    <t>p(com or NE)</t>
  </si>
  <si>
    <t>P(SE or finance)</t>
  </si>
  <si>
    <t>p(man and SE)</t>
  </si>
  <si>
    <t>E)</t>
  </si>
  <si>
    <t>P(W and Finance)</t>
  </si>
  <si>
    <t>p(man and comm)</t>
  </si>
  <si>
    <t>g)</t>
  </si>
  <si>
    <t>h)</t>
  </si>
  <si>
    <t>p(man / midwest)</t>
  </si>
  <si>
    <t>p( west/ comm)</t>
  </si>
  <si>
    <t>p(midwest/northeast)</t>
  </si>
  <si>
    <t>24-26</t>
  </si>
  <si>
    <t>23 and under</t>
  </si>
  <si>
    <t>27-30</t>
  </si>
  <si>
    <t>31-35</t>
  </si>
  <si>
    <t>36 &amp; over</t>
  </si>
  <si>
    <t>yes</t>
  </si>
  <si>
    <t>no</t>
  </si>
  <si>
    <t>applied to multiple schools</t>
  </si>
  <si>
    <t>GROUP</t>
  </si>
  <si>
    <t>joint probability ---&gt; marginal probability</t>
  </si>
  <si>
    <t>p( 23 and under)</t>
  </si>
  <si>
    <t>p(26+)</t>
  </si>
  <si>
    <t>p(1+ school)</t>
  </si>
  <si>
    <t>p(24-26 or 1+school)</t>
  </si>
  <si>
    <t>r square</t>
  </si>
  <si>
    <t>SCATTER PLOT OF FITS VS TIME</t>
  </si>
  <si>
    <t>SCATTERPLOT OF CAPACITY VS TIME</t>
  </si>
  <si>
    <t>Y=b0+b1*x1^2+b2*x2^2+b3*x3^2</t>
  </si>
  <si>
    <t>Y=-10.435+0.179*x1+0.9241*x2+1.6697*x3</t>
  </si>
  <si>
    <t>X Variable 1</t>
  </si>
  <si>
    <t>D)</t>
  </si>
  <si>
    <t>Y=b0+b1*x</t>
  </si>
  <si>
    <t>Y=-13.6561+0.8932*x1</t>
  </si>
  <si>
    <t>The sample regression line isY=-10.435+0.179*x1+0.9241*x2+1.6697*x3.  The slope b1=0.179, there is an increase of 0.179 price  for one increase in food, similarly b2=0.9241, there is an increase of 0.9241times price for 1 increase in decor, and b3= 1.66, hence there is an increase of 1.66 times in price with a single increase in service.  Here the slope is linear and positive. So there is a positive linear relationship between x and y. The Y-intercept b0=10.435. The Y-intercept is the point where y-axis and regression line intersect. So for x=0  the price=10.435 i.e for every step Y is added with a value of 10.435</t>
  </si>
  <si>
    <t>The sample regression line isY=-13.6561+0.8932*x1.  The slope b1=0.8932, there is an increase of 0.8932 price  for one increase in combination of variables.  Here the slope is linear and positive. So there is a positive linear relationship between x and y. The Y-intercept b0=13.6561. The Y-intercept is the point where y-axis and regression line intersect. So for x=0  the price=13.6561 i.e for every step Y is added with a value of 13.6561</t>
  </si>
  <si>
    <t>Yes there appears to be a problem with the leverage points from the above scatterplots. As all of the scatterplots have a outlier or an extereme point</t>
  </si>
  <si>
    <t>Because of which the regression line on scatter plot does not give the right trend line</t>
  </si>
  <si>
    <t>Linear relationship between population and revenue</t>
  </si>
  <si>
    <t>No linear relationship between population and revenue</t>
  </si>
  <si>
    <t>Linear relationship between distance and revenue</t>
  </si>
  <si>
    <t>No linear relationship between distance and revenue</t>
  </si>
  <si>
    <t>From the above calculations we can observe that  the revenue is higher when distance is larger. But there is no significance relationship as the p value is larger than alpha, so distance is non-significant. Whereas, population is significant as the p value is smaller than alpha and it has a positive slope with respect to revenue.</t>
  </si>
  <si>
    <t>According to the scatter plot and histogram the sampling distribution  of the mean is close to a normal. Another assumption being if the population data is normal, the sample will also be normal.Hence to run t stastics (or other inferential statstics) on the sample we need to rely on the assumption of normality of sample data.</t>
  </si>
  <si>
    <t>Since the p value is smaller than alpha and index finger length can be used to predict actual hieght, we can conclude that Yes the prediction might be useful as the male gender uploading their information would not be aware of the linear relationship between index length and height, and might end up uploading right index finger length and then lie about their height. In such scenarios, the false claims can be corrected</t>
  </si>
  <si>
    <t>HENCE we can conclude that it is not appropriate to use battery capacity to predict talk time hours</t>
  </si>
  <si>
    <t>the model is valid</t>
  </si>
  <si>
    <t>distance has  a negative slope with revenue but a positive coefficient in regression line equation. Nevertheless, it is non-significant in estimation of revenue.</t>
  </si>
  <si>
    <t>the mean of hardening processes are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</si>
</sst>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8" x14ac:knownFonts="1">
    <font>
      <sz val="11"/>
      <color theme="1"/>
      <name val="Calibri"/>
      <family val="2"/>
      <scheme val="minor"/>
    </font>
    <font>
      <b/>
      <sz val="11"/>
      <color theme="1"/>
      <name val="Calibri"/>
      <family val="2"/>
      <scheme val="minor"/>
    </font>
    <font>
      <sz val="20"/>
      <color theme="1"/>
      <name val="Calibri"/>
      <family val="2"/>
      <scheme val="minor"/>
    </font>
    <font>
      <b/>
      <sz val="12"/>
      <color theme="1"/>
      <name val="Times New Roman"/>
      <family val="1"/>
    </font>
    <font>
      <sz val="10"/>
      <color theme="1"/>
      <name val="Times New Roman"/>
      <family val="1"/>
    </font>
    <font>
      <sz val="12"/>
      <color theme="1"/>
      <name val="Times New Roman"/>
      <family val="1"/>
    </font>
    <font>
      <b/>
      <sz val="14"/>
      <color theme="1"/>
      <name val="Arial"/>
      <family val="2"/>
    </font>
    <font>
      <sz val="14"/>
      <color theme="1"/>
      <name val="Calibri"/>
      <family val="2"/>
      <scheme val="minor"/>
    </font>
    <font>
      <b/>
      <sz val="12"/>
      <color theme="1"/>
      <name val="Arial"/>
      <family val="2"/>
    </font>
    <font>
      <b/>
      <sz val="14"/>
      <color theme="1"/>
      <name val="Calibri"/>
      <family val="2"/>
      <scheme val="minor"/>
    </font>
    <font>
      <b/>
      <sz val="11"/>
      <name val="Arial"/>
      <family val="2"/>
    </font>
    <font>
      <b/>
      <sz val="10"/>
      <color theme="1"/>
      <name val="Arial"/>
      <family val="2"/>
    </font>
    <font>
      <b/>
      <sz val="16"/>
      <color theme="1"/>
      <name val="Calibri"/>
      <family val="2"/>
      <scheme val="minor"/>
    </font>
    <font>
      <b/>
      <sz val="11"/>
      <color theme="1"/>
      <name val="Arial"/>
      <family val="2"/>
    </font>
    <font>
      <b/>
      <sz val="10"/>
      <name val="Arial"/>
      <family val="2"/>
    </font>
    <font>
      <sz val="7"/>
      <color theme="1"/>
      <name val="Times New Roman"/>
      <family val="1"/>
    </font>
    <font>
      <b/>
      <sz val="12"/>
      <color rgb="FF222B33"/>
      <name val="Arial"/>
      <family val="2"/>
    </font>
    <font>
      <sz val="12"/>
      <color rgb="FF222B33"/>
      <name val="Arial"/>
      <family val="2"/>
    </font>
    <font>
      <i/>
      <sz val="11"/>
      <color theme="1"/>
      <name val="Calibri"/>
      <family val="2"/>
      <scheme val="minor"/>
    </font>
    <font>
      <sz val="10"/>
      <color theme="1"/>
      <name val="Calibri"/>
      <family val="2"/>
      <scheme val="minor"/>
    </font>
    <font>
      <sz val="13.5"/>
      <color theme="1"/>
      <name val="Calibri"/>
      <family val="2"/>
      <scheme val="minor"/>
    </font>
    <font>
      <sz val="10"/>
      <color rgb="FF056EB2"/>
      <name val="Segoe UI"/>
      <family val="2"/>
    </font>
    <font>
      <sz val="7"/>
      <color rgb="FF000000"/>
      <name val="Calibri"/>
      <family val="2"/>
      <scheme val="minor"/>
    </font>
    <font>
      <sz val="8"/>
      <color rgb="FF000000"/>
      <name val="Segoe UI"/>
      <family val="2"/>
    </font>
    <font>
      <sz val="10"/>
      <color theme="1"/>
      <name val="Arial"/>
      <family val="2"/>
    </font>
    <font>
      <sz val="10"/>
      <name val="Arial"/>
      <family val="2"/>
    </font>
    <font>
      <sz val="12"/>
      <color theme="1"/>
      <name val="Arial"/>
      <family val="2"/>
    </font>
    <font>
      <sz val="10"/>
      <color rgb="FF056EB2"/>
      <name val="Segoe UI"/>
      <family val="2"/>
    </font>
    <font>
      <sz val="8"/>
      <color rgb="FF000000"/>
      <name val="Segoe UI"/>
      <family val="2"/>
    </font>
    <font>
      <sz val="9"/>
      <color rgb="FF000000"/>
      <name val="Calibri"/>
      <family val="2"/>
      <scheme val="minor"/>
    </font>
    <font>
      <b/>
      <sz val="10"/>
      <color rgb="FF000000"/>
      <name val="Calibri"/>
      <family val="2"/>
      <scheme val="minor"/>
    </font>
    <font>
      <b/>
      <sz val="10"/>
      <color theme="1"/>
      <name val="Calibri"/>
      <family val="2"/>
      <scheme val="minor"/>
    </font>
    <font>
      <sz val="12"/>
      <color theme="1"/>
      <name val="Calibri"/>
      <family val="2"/>
      <scheme val="minor"/>
    </font>
    <font>
      <sz val="10"/>
      <color rgb="FF056EB2"/>
      <name val="Segoe UI"/>
      <family val="2"/>
    </font>
    <font>
      <sz val="8"/>
      <color rgb="FF000000"/>
      <name val="Segoe UI"/>
      <family val="2"/>
    </font>
    <font>
      <sz val="10"/>
      <color rgb="FF333333"/>
      <name val="Arial"/>
      <family val="2"/>
    </font>
    <font>
      <b/>
      <sz val="10"/>
      <color rgb="FF333333"/>
      <name val="Arial"/>
      <family val="2"/>
    </font>
    <font>
      <b/>
      <i/>
      <sz val="10"/>
      <color rgb="FF333333"/>
      <name val="Arial"/>
      <family val="2"/>
    </font>
    <font>
      <b/>
      <sz val="7"/>
      <color rgb="FF000000"/>
      <name val="Calibri"/>
      <family val="2"/>
      <scheme val="minor"/>
    </font>
    <font>
      <b/>
      <sz val="9"/>
      <color rgb="FF000000"/>
      <name val="Calibri"/>
      <family val="2"/>
      <scheme val="minor"/>
    </font>
    <font>
      <b/>
      <sz val="9"/>
      <color rgb="FF000000"/>
      <name val="Segoe UI"/>
      <family val="2"/>
    </font>
    <font>
      <b/>
      <sz val="10"/>
      <color rgb="FF000000"/>
      <name val="Segoe UI"/>
      <family val="2"/>
    </font>
    <font>
      <b/>
      <sz val="12"/>
      <color theme="1"/>
      <name val="Calibri"/>
      <family val="2"/>
      <scheme val="minor"/>
    </font>
    <font>
      <b/>
      <sz val="11"/>
      <color rgb="FF000000"/>
      <name val="Calibri"/>
      <family val="2"/>
      <scheme val="minor"/>
    </font>
    <font>
      <b/>
      <i/>
      <sz val="11"/>
      <color theme="1"/>
      <name val="Calibri"/>
      <family val="2"/>
      <scheme val="minor"/>
    </font>
    <font>
      <b/>
      <sz val="9"/>
      <color theme="1"/>
      <name val="Calibri"/>
      <family val="2"/>
      <scheme val="minor"/>
    </font>
    <font>
      <sz val="10"/>
      <color rgb="FF000000"/>
      <name val="Calibri"/>
      <family val="2"/>
      <scheme val="minor"/>
    </font>
    <font>
      <b/>
      <sz val="11"/>
      <color rgb="FFFF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0"/>
        <bgColor theme="4" tint="0.79998168889431442"/>
      </patternFill>
    </fill>
    <fill>
      <patternFill patternType="solid">
        <fgColor theme="5" tint="0.59999389629810485"/>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style="medium">
        <color indexed="64"/>
      </right>
      <top/>
      <bottom/>
      <diagonal/>
    </border>
    <border>
      <left/>
      <right/>
      <top/>
      <bottom style="medium">
        <color rgb="FF383838"/>
      </bottom>
      <diagonal/>
    </border>
    <border>
      <left style="thin">
        <color rgb="FF000000"/>
      </left>
      <right style="thin">
        <color rgb="FF000000"/>
      </right>
      <top/>
      <bottom/>
      <diagonal/>
    </border>
  </borders>
  <cellStyleXfs count="3">
    <xf numFmtId="0" fontId="0" fillId="0" borderId="0"/>
    <xf numFmtId="0" fontId="24" fillId="0" borderId="0"/>
    <xf numFmtId="0" fontId="25" fillId="0" borderId="0"/>
  </cellStyleXfs>
  <cellXfs count="158">
    <xf numFmtId="0" fontId="0" fillId="0" borderId="0" xfId="0"/>
    <xf numFmtId="0" fontId="2" fillId="0" borderId="0" xfId="0" applyFont="1" applyAlignment="1">
      <alignment vertical="center"/>
    </xf>
    <xf numFmtId="0" fontId="2" fillId="0" borderId="0" xfId="0" applyFont="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horizontal="center" vertical="center"/>
    </xf>
    <xf numFmtId="0" fontId="5" fillId="0" borderId="4" xfId="0" applyFont="1" applyBorder="1" applyAlignment="1">
      <alignment horizontal="center" vertical="center"/>
    </xf>
    <xf numFmtId="0" fontId="6" fillId="2" borderId="0" xfId="0" applyFont="1" applyFill="1" applyAlignment="1">
      <alignment vertical="center"/>
    </xf>
    <xf numFmtId="0" fontId="7" fillId="0" borderId="0" xfId="0" applyFont="1"/>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0" fillId="0" borderId="0" xfId="0"/>
    <xf numFmtId="0" fontId="9" fillId="0" borderId="6" xfId="0" applyFont="1" applyBorder="1" applyAlignment="1">
      <alignment horizontal="center"/>
    </xf>
    <xf numFmtId="0" fontId="10" fillId="0" borderId="0" xfId="0" applyFont="1" applyAlignment="1">
      <alignment horizontal="center"/>
    </xf>
    <xf numFmtId="2" fontId="10" fillId="0" borderId="0" xfId="0" applyNumberFormat="1" applyFont="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0" fontId="10" fillId="0" borderId="0" xfId="0" applyFont="1" applyAlignment="1" applyProtection="1">
      <alignment horizontal="center"/>
      <protection locked="0"/>
    </xf>
    <xf numFmtId="0" fontId="1" fillId="0" borderId="0" xfId="0" applyFont="1" applyAlignment="1" applyProtection="1">
      <alignment horizontal="center"/>
      <protection locked="0"/>
    </xf>
    <xf numFmtId="0" fontId="12" fillId="0" borderId="0" xfId="0" applyFont="1" applyAlignment="1">
      <alignment vertical="center"/>
    </xf>
    <xf numFmtId="0" fontId="12" fillId="0" borderId="0" xfId="0" applyFont="1"/>
    <xf numFmtId="0" fontId="14" fillId="0" borderId="7" xfId="0" applyFont="1" applyBorder="1" applyAlignment="1">
      <alignment horizontal="center"/>
    </xf>
    <xf numFmtId="0" fontId="1" fillId="0" borderId="0" xfId="0" applyFont="1"/>
    <xf numFmtId="0" fontId="1" fillId="0" borderId="8" xfId="0" applyFont="1" applyBorder="1"/>
    <xf numFmtId="0" fontId="0" fillId="0" borderId="0" xfId="0" applyAlignment="1">
      <alignment vertical="center"/>
    </xf>
    <xf numFmtId="0" fontId="0" fillId="0" borderId="0" xfId="0" applyAlignment="1">
      <alignment horizontal="left" vertical="center" indent="4"/>
    </xf>
    <xf numFmtId="0" fontId="10" fillId="0" borderId="0" xfId="0" applyFont="1"/>
    <xf numFmtId="0" fontId="9" fillId="0" borderId="0" xfId="0" applyFont="1" applyAlignment="1">
      <alignment horizontal="left" vertical="center" indent="1"/>
    </xf>
    <xf numFmtId="0" fontId="12" fillId="0" borderId="0" xfId="0" applyFont="1" applyAlignment="1">
      <alignment horizontal="left" vertical="center" indent="2"/>
    </xf>
    <xf numFmtId="0" fontId="0" fillId="3" borderId="0" xfId="0" applyFill="1"/>
    <xf numFmtId="0" fontId="9" fillId="0" borderId="0" xfId="0" applyFont="1" applyAlignment="1">
      <alignment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6" fillId="0" borderId="0" xfId="0" applyFont="1" applyAlignment="1">
      <alignment vertical="center"/>
    </xf>
    <xf numFmtId="0" fontId="16" fillId="2" borderId="12" xfId="0" applyFont="1" applyFill="1" applyBorder="1" applyAlignment="1">
      <alignment vertical="center" wrapText="1"/>
    </xf>
    <xf numFmtId="0" fontId="17" fillId="2" borderId="12" xfId="0" applyFont="1" applyFill="1" applyBorder="1" applyAlignment="1">
      <alignment horizontal="center" vertical="center" wrapText="1"/>
    </xf>
    <xf numFmtId="0" fontId="0" fillId="0" borderId="0" xfId="0" applyFill="1" applyBorder="1" applyAlignment="1"/>
    <xf numFmtId="0" fontId="0" fillId="0" borderId="13" xfId="0" applyFill="1" applyBorder="1" applyAlignment="1"/>
    <xf numFmtId="0" fontId="18" fillId="0" borderId="7" xfId="0" applyFont="1" applyFill="1" applyBorder="1" applyAlignment="1">
      <alignment horizontal="center"/>
    </xf>
    <xf numFmtId="0" fontId="18" fillId="0" borderId="7" xfId="0" applyFont="1" applyFill="1" applyBorder="1" applyAlignment="1">
      <alignment horizontal="centerContinuous"/>
    </xf>
    <xf numFmtId="0" fontId="3" fillId="0" borderId="14" xfId="0" applyFont="1" applyFill="1" applyBorder="1" applyAlignment="1">
      <alignment horizontal="center" vertical="center" wrapText="1"/>
    </xf>
    <xf numFmtId="0" fontId="0" fillId="4" borderId="0" xfId="0" applyFill="1"/>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horizontal="left" vertical="top"/>
    </xf>
    <xf numFmtId="0" fontId="23" fillId="0" borderId="15" xfId="0" applyFont="1" applyBorder="1" applyAlignment="1">
      <alignment horizontal="left"/>
    </xf>
    <xf numFmtId="0" fontId="23" fillId="0" borderId="15" xfId="0" applyFont="1" applyBorder="1" applyAlignment="1">
      <alignment horizontal="right"/>
    </xf>
    <xf numFmtId="0" fontId="22" fillId="0" borderId="0" xfId="0" applyFont="1" applyAlignment="1">
      <alignment horizontal="right" vertical="top"/>
    </xf>
    <xf numFmtId="0" fontId="22" fillId="0" borderId="0" xfId="0" applyFont="1" applyAlignment="1">
      <alignment vertical="top"/>
    </xf>
    <xf numFmtId="10" fontId="22" fillId="0" borderId="0" xfId="0" applyNumberFormat="1" applyFont="1" applyAlignment="1">
      <alignment horizontal="right" vertical="top"/>
    </xf>
    <xf numFmtId="164" fontId="24" fillId="0" borderId="0" xfId="1" applyNumberFormat="1" applyAlignment="1">
      <alignment horizontal="left" vertical="top"/>
    </xf>
    <xf numFmtId="0" fontId="14" fillId="0" borderId="0" xfId="2" applyFont="1"/>
    <xf numFmtId="0" fontId="24" fillId="0" borderId="0" xfId="1" applyAlignment="1">
      <alignment vertical="top"/>
    </xf>
    <xf numFmtId="2" fontId="0" fillId="0" borderId="0" xfId="0" applyNumberFormat="1"/>
    <xf numFmtId="0" fontId="0" fillId="0" borderId="0" xfId="0" applyFont="1"/>
    <xf numFmtId="0" fontId="26" fillId="0" borderId="0" xfId="0" applyFont="1" applyFill="1" applyBorder="1" applyAlignment="1">
      <alignment horizontal="center" vertical="center"/>
    </xf>
    <xf numFmtId="0" fontId="24" fillId="0" borderId="0" xfId="1" applyFont="1" applyAlignment="1">
      <alignment horizontal="center" vertical="top"/>
    </xf>
    <xf numFmtId="1" fontId="24" fillId="0" borderId="0" xfId="1" applyNumberFormat="1" applyFont="1" applyAlignment="1">
      <alignment horizontal="center" vertical="top"/>
    </xf>
    <xf numFmtId="0" fontId="19" fillId="0" borderId="0" xfId="0" applyFont="1"/>
    <xf numFmtId="0" fontId="24" fillId="0" borderId="0" xfId="0" applyFont="1" applyFill="1" applyBorder="1" applyAlignment="1">
      <alignment vertical="center"/>
    </xf>
    <xf numFmtId="0" fontId="23" fillId="0" borderId="15" xfId="0" applyFont="1" applyBorder="1" applyAlignment="1">
      <alignment horizontal="center"/>
    </xf>
    <xf numFmtId="0" fontId="22" fillId="0" borderId="0" xfId="0" applyFont="1" applyAlignment="1">
      <alignment horizontal="center" vertical="top"/>
    </xf>
    <xf numFmtId="0" fontId="23" fillId="0" borderId="0" xfId="0" applyFont="1" applyAlignment="1">
      <alignment horizontal="right"/>
    </xf>
    <xf numFmtId="0" fontId="24" fillId="0" borderId="0" xfId="1" applyAlignment="1">
      <alignment horizontal="left"/>
    </xf>
    <xf numFmtId="0" fontId="23" fillId="0" borderId="15" xfId="0" applyFont="1" applyBorder="1" applyAlignment="1">
      <alignment horizontal="right"/>
    </xf>
    <xf numFmtId="0" fontId="0" fillId="0" borderId="0" xfId="0"/>
    <xf numFmtId="0" fontId="11" fillId="0" borderId="0" xfId="0"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11" fillId="3" borderId="6" xfId="0" applyFont="1" applyFill="1" applyBorder="1" applyAlignment="1">
      <alignment horizontal="center"/>
    </xf>
    <xf numFmtId="164" fontId="0" fillId="5" borderId="6" xfId="0" applyNumberFormat="1" applyFont="1" applyFill="1" applyBorder="1" applyAlignment="1">
      <alignment horizontal="center"/>
    </xf>
    <xf numFmtId="164" fontId="0" fillId="3" borderId="6" xfId="0" applyNumberFormat="1" applyFont="1" applyFill="1" applyBorder="1" applyAlignment="1">
      <alignment horizontal="center"/>
    </xf>
    <xf numFmtId="0" fontId="0" fillId="0" borderId="0" xfId="0"/>
    <xf numFmtId="0" fontId="17" fillId="2" borderId="9"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27" fillId="0" borderId="0" xfId="0" applyFont="1" applyAlignment="1">
      <alignment vertical="center"/>
    </xf>
    <xf numFmtId="0" fontId="28" fillId="0" borderId="15" xfId="0" applyFont="1" applyBorder="1" applyAlignment="1">
      <alignment horizontal="left"/>
    </xf>
    <xf numFmtId="0" fontId="28" fillId="0" borderId="15" xfId="0" applyFont="1" applyBorder="1" applyAlignment="1">
      <alignment horizontal="right"/>
    </xf>
    <xf numFmtId="0" fontId="29" fillId="0" borderId="0" xfId="0" applyFont="1" applyAlignment="1">
      <alignment horizontal="left" vertical="top"/>
    </xf>
    <xf numFmtId="0" fontId="29" fillId="0" borderId="0" xfId="0" applyFont="1" applyAlignment="1">
      <alignment horizontal="right" vertical="top"/>
    </xf>
    <xf numFmtId="0" fontId="29" fillId="0" borderId="0" xfId="0" applyFont="1" applyAlignment="1">
      <alignment vertical="top"/>
    </xf>
    <xf numFmtId="0" fontId="0" fillId="0" borderId="0" xfId="0" applyAlignment="1"/>
    <xf numFmtId="0" fontId="30" fillId="4" borderId="0" xfId="0" applyFont="1" applyFill="1" applyAlignment="1">
      <alignment horizontal="left" vertical="top"/>
    </xf>
    <xf numFmtId="0" fontId="30" fillId="4" borderId="0" xfId="0" applyFont="1" applyFill="1" applyAlignment="1">
      <alignment horizontal="right" vertical="top"/>
    </xf>
    <xf numFmtId="0" fontId="31" fillId="4" borderId="0" xfId="0" applyFont="1" applyFill="1"/>
    <xf numFmtId="0" fontId="32" fillId="0" borderId="0" xfId="0" applyFont="1" applyAlignment="1">
      <alignment vertical="center"/>
    </xf>
    <xf numFmtId="0" fontId="0" fillId="0" borderId="0" xfId="0" applyBorder="1"/>
    <xf numFmtId="0" fontId="18" fillId="0" borderId="0" xfId="0" applyFont="1" applyFill="1" applyBorder="1" applyAlignment="1">
      <alignment horizontal="center"/>
    </xf>
    <xf numFmtId="0" fontId="24" fillId="0" borderId="0" xfId="1"/>
    <xf numFmtId="0" fontId="24" fillId="0" borderId="0" xfId="1" applyAlignment="1">
      <alignment horizontal="center"/>
    </xf>
    <xf numFmtId="0" fontId="0" fillId="4" borderId="0" xfId="0" applyFill="1" applyBorder="1" applyAlignment="1"/>
    <xf numFmtId="0" fontId="0" fillId="4" borderId="13" xfId="0" applyFill="1" applyBorder="1" applyAlignment="1"/>
    <xf numFmtId="0" fontId="14" fillId="0" borderId="0" xfId="0" applyFont="1" applyFill="1" applyBorder="1" applyAlignment="1">
      <alignment horizontal="center"/>
    </xf>
    <xf numFmtId="0" fontId="33" fillId="0" borderId="0" xfId="0" applyFont="1" applyAlignment="1">
      <alignment vertical="center"/>
    </xf>
    <xf numFmtId="0" fontId="34" fillId="0" borderId="15" xfId="0" applyFont="1" applyBorder="1" applyAlignment="1">
      <alignment horizontal="left"/>
    </xf>
    <xf numFmtId="0" fontId="34" fillId="0" borderId="15" xfId="0" applyFont="1" applyBorder="1" applyAlignment="1">
      <alignment horizontal="right"/>
    </xf>
    <xf numFmtId="0" fontId="34" fillId="0" borderId="15" xfId="0" applyFont="1" applyBorder="1" applyAlignment="1">
      <alignment horizontal="center"/>
    </xf>
    <xf numFmtId="0" fontId="14" fillId="0" borderId="0" xfId="0" applyFont="1" applyBorder="1" applyAlignment="1">
      <alignment horizontal="center"/>
    </xf>
    <xf numFmtId="0" fontId="35" fillId="0" borderId="0" xfId="0" applyFont="1"/>
    <xf numFmtId="0" fontId="36" fillId="4" borderId="0" xfId="0" applyFont="1" applyFill="1"/>
    <xf numFmtId="0" fontId="1" fillId="4" borderId="0" xfId="0" applyFont="1" applyFill="1"/>
    <xf numFmtId="0" fontId="22" fillId="4" borderId="0" xfId="0" applyFont="1" applyFill="1" applyAlignment="1">
      <alignment horizontal="right" vertical="top"/>
    </xf>
    <xf numFmtId="0" fontId="38" fillId="4" borderId="0" xfId="0" applyFont="1" applyFill="1" applyAlignment="1">
      <alignment horizontal="right" vertical="top"/>
    </xf>
    <xf numFmtId="0" fontId="39" fillId="4" borderId="0" xfId="0" applyFont="1" applyFill="1" applyAlignment="1">
      <alignment horizontal="left" vertical="top"/>
    </xf>
    <xf numFmtId="0" fontId="39" fillId="4" borderId="0" xfId="0" applyFont="1" applyFill="1" applyAlignment="1">
      <alignment horizontal="right" vertical="top"/>
    </xf>
    <xf numFmtId="0" fontId="34" fillId="0" borderId="0" xfId="0" applyFont="1" applyAlignment="1">
      <alignment horizontal="right"/>
    </xf>
    <xf numFmtId="0" fontId="34" fillId="0" borderId="0" xfId="0" applyFont="1" applyAlignment="1">
      <alignment horizontal="center"/>
    </xf>
    <xf numFmtId="164" fontId="1" fillId="4" borderId="0" xfId="0" applyNumberFormat="1" applyFont="1" applyFill="1"/>
    <xf numFmtId="0" fontId="39" fillId="4" borderId="0" xfId="0" applyFont="1" applyFill="1" applyAlignment="1">
      <alignment horizontal="center" vertical="top"/>
    </xf>
    <xf numFmtId="0" fontId="30" fillId="4" borderId="0" xfId="0" applyFont="1" applyFill="1" applyAlignment="1">
      <alignment horizontal="center" vertical="top"/>
    </xf>
    <xf numFmtId="0" fontId="41" fillId="4" borderId="15" xfId="0" applyFont="1" applyFill="1" applyBorder="1" applyAlignment="1">
      <alignment horizontal="right"/>
    </xf>
    <xf numFmtId="0" fontId="17" fillId="2" borderId="16" xfId="0" applyFont="1" applyFill="1" applyBorder="1" applyAlignment="1">
      <alignment horizontal="center" vertical="center" wrapText="1"/>
    </xf>
    <xf numFmtId="0" fontId="16" fillId="2" borderId="0" xfId="0" applyFont="1" applyFill="1" applyBorder="1" applyAlignment="1">
      <alignment vertical="center" wrapText="1"/>
    </xf>
    <xf numFmtId="0" fontId="0" fillId="0" borderId="6" xfId="0" applyBorder="1"/>
    <xf numFmtId="0" fontId="42" fillId="0" borderId="0" xfId="0" applyFont="1" applyFill="1" applyBorder="1" applyAlignment="1">
      <alignment horizontal="center" vertical="top"/>
    </xf>
    <xf numFmtId="0" fontId="1" fillId="4" borderId="0" xfId="0" applyFont="1" applyFill="1" applyBorder="1" applyAlignment="1"/>
    <xf numFmtId="0" fontId="1" fillId="4" borderId="13" xfId="0" applyFont="1" applyFill="1" applyBorder="1" applyAlignment="1"/>
    <xf numFmtId="0" fontId="43" fillId="4" borderId="0" xfId="0" applyFont="1" applyFill="1" applyAlignment="1">
      <alignment horizontal="right" vertical="top"/>
    </xf>
    <xf numFmtId="164" fontId="11" fillId="4" borderId="0" xfId="1" applyNumberFormat="1" applyFont="1" applyFill="1" applyAlignment="1">
      <alignment horizontal="left" vertical="top"/>
    </xf>
    <xf numFmtId="0" fontId="11" fillId="4" borderId="0" xfId="1" applyFont="1" applyFill="1" applyAlignment="1">
      <alignment vertical="top"/>
    </xf>
    <xf numFmtId="0" fontId="44" fillId="4" borderId="7" xfId="0" applyFont="1" applyFill="1" applyBorder="1" applyAlignment="1">
      <alignment horizontal="center"/>
    </xf>
    <xf numFmtId="0" fontId="9" fillId="4" borderId="0" xfId="0" applyFont="1" applyFill="1"/>
    <xf numFmtId="0" fontId="40" fillId="4" borderId="15" xfId="0" applyFont="1" applyFill="1" applyBorder="1" applyAlignment="1">
      <alignment horizontal="center"/>
    </xf>
    <xf numFmtId="0" fontId="45" fillId="4" borderId="0" xfId="0" applyFont="1" applyFill="1"/>
    <xf numFmtId="0" fontId="1" fillId="3" borderId="0" xfId="0" applyFont="1" applyFill="1"/>
    <xf numFmtId="0" fontId="9" fillId="6" borderId="0" xfId="0" applyFont="1" applyFill="1"/>
    <xf numFmtId="0" fontId="40" fillId="0" borderId="15" xfId="0" applyFont="1" applyBorder="1" applyAlignment="1">
      <alignment horizontal="center"/>
    </xf>
    <xf numFmtId="0" fontId="39" fillId="0" borderId="0" xfId="0" applyFont="1" applyAlignment="1">
      <alignment horizontal="center" vertical="top"/>
    </xf>
    <xf numFmtId="0" fontId="1" fillId="4" borderId="7" xfId="0" applyFont="1" applyFill="1" applyBorder="1" applyAlignment="1">
      <alignment horizontal="center"/>
    </xf>
    <xf numFmtId="0" fontId="46" fillId="4" borderId="0" xfId="0" applyFont="1" applyFill="1" applyAlignment="1">
      <alignment horizontal="right" vertical="top"/>
    </xf>
    <xf numFmtId="0" fontId="13" fillId="0" borderId="6" xfId="0" applyFont="1" applyBorder="1" applyAlignment="1">
      <alignment horizontal="center" vertical="center" wrapText="1"/>
    </xf>
    <xf numFmtId="0" fontId="1" fillId="0" borderId="6" xfId="0" applyFont="1" applyBorder="1"/>
    <xf numFmtId="0" fontId="14" fillId="0" borderId="6" xfId="1" applyFont="1" applyBorder="1"/>
    <xf numFmtId="0" fontId="13" fillId="0" borderId="6" xfId="0" applyFont="1" applyBorder="1" applyAlignment="1">
      <alignment horizontal="center" vertical="center"/>
    </xf>
    <xf numFmtId="0" fontId="1" fillId="4" borderId="0" xfId="0" applyNumberFormat="1" applyFont="1" applyFill="1"/>
    <xf numFmtId="0" fontId="11" fillId="4" borderId="0" xfId="1" applyFont="1" applyFill="1"/>
    <xf numFmtId="10" fontId="30" fillId="4" borderId="0" xfId="0" applyNumberFormat="1" applyFont="1" applyFill="1" applyAlignment="1">
      <alignment horizontal="right" vertical="top"/>
    </xf>
    <xf numFmtId="0" fontId="0" fillId="3" borderId="0" xfId="0" applyFont="1" applyFill="1"/>
    <xf numFmtId="0" fontId="47" fillId="0" borderId="0" xfId="0" applyFont="1"/>
    <xf numFmtId="0" fontId="0" fillId="0" borderId="0" xfId="0" applyAlignment="1">
      <alignment horizontal="left" vertical="center" wrapText="1"/>
    </xf>
    <xf numFmtId="0" fontId="23" fillId="0" borderId="0" xfId="0" applyFont="1" applyAlignment="1">
      <alignment horizontal="left"/>
    </xf>
    <xf numFmtId="0" fontId="23" fillId="0" borderId="15" xfId="0" applyFont="1" applyBorder="1" applyAlignment="1">
      <alignment horizontal="left"/>
    </xf>
    <xf numFmtId="0" fontId="23" fillId="0" borderId="0" xfId="0" applyFont="1" applyAlignment="1">
      <alignment horizontal="center"/>
    </xf>
    <xf numFmtId="0" fontId="23" fillId="0" borderId="15" xfId="0" applyFont="1" applyBorder="1" applyAlignment="1">
      <alignment horizontal="center"/>
    </xf>
    <xf numFmtId="0" fontId="23" fillId="0" borderId="0" xfId="0" applyFont="1" applyAlignment="1">
      <alignment horizontal="right"/>
    </xf>
    <xf numFmtId="0" fontId="23" fillId="0" borderId="15" xfId="0" applyFont="1" applyBorder="1" applyAlignment="1">
      <alignment horizontal="right"/>
    </xf>
    <xf numFmtId="0" fontId="1" fillId="4" borderId="0" xfId="0" applyFont="1" applyFill="1" applyAlignment="1">
      <alignment horizontal="left" vertical="top"/>
    </xf>
    <xf numFmtId="0" fontId="9" fillId="0" borderId="0" xfId="0" applyFont="1" applyAlignment="1">
      <alignment horizontal="center"/>
    </xf>
    <xf numFmtId="0" fontId="9" fillId="0" borderId="5" xfId="0" applyFont="1" applyBorder="1" applyAlignment="1">
      <alignment horizontal="left" wrapText="1"/>
    </xf>
    <xf numFmtId="0" fontId="0" fillId="0" borderId="0" xfId="0"/>
    <xf numFmtId="0" fontId="0" fillId="0" borderId="5" xfId="0" applyBorder="1"/>
    <xf numFmtId="0" fontId="0" fillId="0" borderId="0" xfId="0" applyAlignment="1">
      <alignment horizontal="left" vertical="top" wrapText="1"/>
    </xf>
    <xf numFmtId="0" fontId="0" fillId="4" borderId="0" xfId="0" applyFill="1" applyAlignment="1">
      <alignment horizontal="center" vertical="top" wrapText="1"/>
    </xf>
    <xf numFmtId="0" fontId="0" fillId="4" borderId="0" xfId="0" applyFill="1" applyAlignment="1">
      <alignment horizontal="center" wrapText="1"/>
    </xf>
    <xf numFmtId="0" fontId="0" fillId="4" borderId="0" xfId="0" applyFill="1" applyAlignment="1">
      <alignment horizontal="left" vertical="top" wrapText="1"/>
    </xf>
  </cellXfs>
  <cellStyles count="3">
    <cellStyle name="Normal" xfId="0" builtinId="0"/>
    <cellStyle name="Normal 2" xfId="1" xr:uid="{F51BC1D7-B311-43AB-9544-05B32BA0E98B}"/>
    <cellStyle name="Normal 3" xfId="2" xr:uid="{BC8A965A-31FA-4F99-83E0-9E8AF9FE56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distance</a:t>
            </a:r>
          </a:p>
        </c:rich>
      </c:tx>
      <c:layout>
        <c:manualLayout>
          <c:xMode val="edge"/>
          <c:yMode val="edge"/>
          <c:x val="0.31025678040244975"/>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3 '!$P$1</c:f>
              <c:strCache>
                <c:ptCount val="1"/>
                <c:pt idx="0">
                  <c:v>Distance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0617352408413737E-2"/>
                  <c:y val="-0.408110151279633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3 '!$O$2:$O$23</c:f>
              <c:numCache>
                <c:formatCode>General</c:formatCode>
                <c:ptCount val="22"/>
                <c:pt idx="0">
                  <c:v>233</c:v>
                </c:pt>
                <c:pt idx="1">
                  <c:v>272</c:v>
                </c:pt>
                <c:pt idx="2">
                  <c:v>253</c:v>
                </c:pt>
                <c:pt idx="3">
                  <c:v>296</c:v>
                </c:pt>
                <c:pt idx="4">
                  <c:v>268</c:v>
                </c:pt>
                <c:pt idx="5">
                  <c:v>296</c:v>
                </c:pt>
                <c:pt idx="6">
                  <c:v>276</c:v>
                </c:pt>
                <c:pt idx="7">
                  <c:v>235</c:v>
                </c:pt>
                <c:pt idx="8">
                  <c:v>253</c:v>
                </c:pt>
                <c:pt idx="9">
                  <c:v>233</c:v>
                </c:pt>
                <c:pt idx="10">
                  <c:v>240</c:v>
                </c:pt>
                <c:pt idx="11">
                  <c:v>267</c:v>
                </c:pt>
                <c:pt idx="12">
                  <c:v>338</c:v>
                </c:pt>
                <c:pt idx="13">
                  <c:v>243</c:v>
                </c:pt>
                <c:pt idx="14">
                  <c:v>252</c:v>
                </c:pt>
                <c:pt idx="15">
                  <c:v>269</c:v>
                </c:pt>
                <c:pt idx="16">
                  <c:v>242</c:v>
                </c:pt>
                <c:pt idx="17">
                  <c:v>233</c:v>
                </c:pt>
                <c:pt idx="18">
                  <c:v>234</c:v>
                </c:pt>
                <c:pt idx="19">
                  <c:v>450</c:v>
                </c:pt>
                <c:pt idx="20">
                  <c:v>340</c:v>
                </c:pt>
                <c:pt idx="21">
                  <c:v>200</c:v>
                </c:pt>
              </c:numCache>
            </c:numRef>
          </c:xVal>
          <c:yVal>
            <c:numRef>
              <c:f>'Problem 3 '!$P$2:$P$23</c:f>
              <c:numCache>
                <c:formatCode>General</c:formatCode>
                <c:ptCount val="22"/>
                <c:pt idx="0">
                  <c:v>233</c:v>
                </c:pt>
                <c:pt idx="1">
                  <c:v>209</c:v>
                </c:pt>
                <c:pt idx="2">
                  <c:v>206</c:v>
                </c:pt>
                <c:pt idx="3">
                  <c:v>232</c:v>
                </c:pt>
                <c:pt idx="4">
                  <c:v>125</c:v>
                </c:pt>
                <c:pt idx="5">
                  <c:v>245</c:v>
                </c:pt>
                <c:pt idx="6">
                  <c:v>213</c:v>
                </c:pt>
                <c:pt idx="7">
                  <c:v>134</c:v>
                </c:pt>
                <c:pt idx="8">
                  <c:v>140</c:v>
                </c:pt>
                <c:pt idx="9">
                  <c:v>165</c:v>
                </c:pt>
                <c:pt idx="10">
                  <c:v>234</c:v>
                </c:pt>
                <c:pt idx="11">
                  <c:v>205</c:v>
                </c:pt>
                <c:pt idx="12">
                  <c:v>214</c:v>
                </c:pt>
                <c:pt idx="13">
                  <c:v>183</c:v>
                </c:pt>
                <c:pt idx="14">
                  <c:v>230</c:v>
                </c:pt>
                <c:pt idx="15">
                  <c:v>238</c:v>
                </c:pt>
                <c:pt idx="16">
                  <c:v>144</c:v>
                </c:pt>
                <c:pt idx="17">
                  <c:v>220</c:v>
                </c:pt>
                <c:pt idx="18">
                  <c:v>170</c:v>
                </c:pt>
                <c:pt idx="19">
                  <c:v>170</c:v>
                </c:pt>
                <c:pt idx="20">
                  <c:v>290</c:v>
                </c:pt>
                <c:pt idx="21">
                  <c:v>340</c:v>
                </c:pt>
              </c:numCache>
            </c:numRef>
          </c:yVal>
          <c:smooth val="0"/>
          <c:extLst>
            <c:ext xmlns:c16="http://schemas.microsoft.com/office/drawing/2014/chart" uri="{C3380CC4-5D6E-409C-BE32-E72D297353CC}">
              <c16:uniqueId val="{00000000-673F-4F07-87C9-C008B3258C8E}"/>
            </c:ext>
          </c:extLst>
        </c:ser>
        <c:dLbls>
          <c:showLegendKey val="0"/>
          <c:showVal val="0"/>
          <c:showCatName val="0"/>
          <c:showSerName val="0"/>
          <c:showPercent val="0"/>
          <c:showBubbleSize val="0"/>
        </c:dLbls>
        <c:axId val="969081648"/>
        <c:axId val="969086224"/>
      </c:scatterChart>
      <c:valAx>
        <c:axId val="969081648"/>
        <c:scaling>
          <c:orientation val="minMax"/>
          <c:min val="1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086224"/>
        <c:crosses val="autoZero"/>
        <c:crossBetween val="midCat"/>
      </c:valAx>
      <c:valAx>
        <c:axId val="96908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081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Population </a:t>
            </a:r>
          </a:p>
        </c:rich>
      </c:tx>
      <c:layout>
        <c:manualLayout>
          <c:xMode val="edge"/>
          <c:yMode val="edge"/>
          <c:x val="0.322944444444444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3 '!$Q$1</c:f>
              <c:strCache>
                <c:ptCount val="1"/>
                <c:pt idx="0">
                  <c:v>Population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6307223200475552E-2"/>
                  <c:y val="-0.371749444780940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3 '!$O$2:$O$23</c:f>
              <c:numCache>
                <c:formatCode>General</c:formatCode>
                <c:ptCount val="22"/>
                <c:pt idx="0">
                  <c:v>233</c:v>
                </c:pt>
                <c:pt idx="1">
                  <c:v>272</c:v>
                </c:pt>
                <c:pt idx="2">
                  <c:v>253</c:v>
                </c:pt>
                <c:pt idx="3">
                  <c:v>296</c:v>
                </c:pt>
                <c:pt idx="4">
                  <c:v>268</c:v>
                </c:pt>
                <c:pt idx="5">
                  <c:v>296</c:v>
                </c:pt>
                <c:pt idx="6">
                  <c:v>276</c:v>
                </c:pt>
                <c:pt idx="7">
                  <c:v>235</c:v>
                </c:pt>
                <c:pt idx="8">
                  <c:v>253</c:v>
                </c:pt>
                <c:pt idx="9">
                  <c:v>233</c:v>
                </c:pt>
                <c:pt idx="10">
                  <c:v>240</c:v>
                </c:pt>
                <c:pt idx="11">
                  <c:v>267</c:v>
                </c:pt>
                <c:pt idx="12">
                  <c:v>338</c:v>
                </c:pt>
                <c:pt idx="13">
                  <c:v>243</c:v>
                </c:pt>
                <c:pt idx="14">
                  <c:v>252</c:v>
                </c:pt>
                <c:pt idx="15">
                  <c:v>269</c:v>
                </c:pt>
                <c:pt idx="16">
                  <c:v>242</c:v>
                </c:pt>
                <c:pt idx="17">
                  <c:v>233</c:v>
                </c:pt>
                <c:pt idx="18">
                  <c:v>234</c:v>
                </c:pt>
                <c:pt idx="19">
                  <c:v>450</c:v>
                </c:pt>
                <c:pt idx="20">
                  <c:v>340</c:v>
                </c:pt>
                <c:pt idx="21">
                  <c:v>200</c:v>
                </c:pt>
              </c:numCache>
            </c:numRef>
          </c:xVal>
          <c:yVal>
            <c:numRef>
              <c:f>'Problem 3 '!$Q$2:$Q$23</c:f>
              <c:numCache>
                <c:formatCode>General</c:formatCode>
                <c:ptCount val="22"/>
                <c:pt idx="0">
                  <c:v>56</c:v>
                </c:pt>
                <c:pt idx="1">
                  <c:v>74</c:v>
                </c:pt>
                <c:pt idx="2">
                  <c:v>67</c:v>
                </c:pt>
                <c:pt idx="3">
                  <c:v>78</c:v>
                </c:pt>
                <c:pt idx="4">
                  <c:v>73</c:v>
                </c:pt>
                <c:pt idx="5">
                  <c:v>54</c:v>
                </c:pt>
                <c:pt idx="6">
                  <c:v>100</c:v>
                </c:pt>
                <c:pt idx="7">
                  <c:v>98</c:v>
                </c:pt>
                <c:pt idx="8">
                  <c:v>95</c:v>
                </c:pt>
                <c:pt idx="9">
                  <c:v>81</c:v>
                </c:pt>
                <c:pt idx="10">
                  <c:v>52</c:v>
                </c:pt>
                <c:pt idx="11">
                  <c:v>96</c:v>
                </c:pt>
                <c:pt idx="12">
                  <c:v>96</c:v>
                </c:pt>
                <c:pt idx="13">
                  <c:v>73</c:v>
                </c:pt>
                <c:pt idx="14">
                  <c:v>55</c:v>
                </c:pt>
                <c:pt idx="15">
                  <c:v>91</c:v>
                </c:pt>
                <c:pt idx="16">
                  <c:v>64</c:v>
                </c:pt>
                <c:pt idx="17">
                  <c:v>60</c:v>
                </c:pt>
                <c:pt idx="18">
                  <c:v>60</c:v>
                </c:pt>
                <c:pt idx="19">
                  <c:v>240</c:v>
                </c:pt>
                <c:pt idx="20">
                  <c:v>70</c:v>
                </c:pt>
                <c:pt idx="21">
                  <c:v>75</c:v>
                </c:pt>
              </c:numCache>
            </c:numRef>
          </c:yVal>
          <c:smooth val="0"/>
          <c:extLst>
            <c:ext xmlns:c16="http://schemas.microsoft.com/office/drawing/2014/chart" uri="{C3380CC4-5D6E-409C-BE32-E72D297353CC}">
              <c16:uniqueId val="{00000000-5AB6-49B1-B216-421C5C4E2073}"/>
            </c:ext>
          </c:extLst>
        </c:ser>
        <c:dLbls>
          <c:showLegendKey val="0"/>
          <c:showVal val="0"/>
          <c:showCatName val="0"/>
          <c:showSerName val="0"/>
          <c:showPercent val="0"/>
          <c:showBubbleSize val="0"/>
        </c:dLbls>
        <c:axId val="107877600"/>
        <c:axId val="107878848"/>
      </c:scatterChart>
      <c:valAx>
        <c:axId val="107877600"/>
        <c:scaling>
          <c:orientation val="minMax"/>
          <c:min val="1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8848"/>
        <c:crosses val="autoZero"/>
        <c:crossBetween val="midCat"/>
      </c:valAx>
      <c:valAx>
        <c:axId val="1078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3 '!$Q$1</c:f>
              <c:strCache>
                <c:ptCount val="1"/>
                <c:pt idx="0">
                  <c:v>Population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431102362204724E-2"/>
                  <c:y val="-0.64417979002624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3 '!$P$2:$P$23</c:f>
              <c:numCache>
                <c:formatCode>General</c:formatCode>
                <c:ptCount val="22"/>
                <c:pt idx="0">
                  <c:v>233</c:v>
                </c:pt>
                <c:pt idx="1">
                  <c:v>209</c:v>
                </c:pt>
                <c:pt idx="2">
                  <c:v>206</c:v>
                </c:pt>
                <c:pt idx="3">
                  <c:v>232</c:v>
                </c:pt>
                <c:pt idx="4">
                  <c:v>125</c:v>
                </c:pt>
                <c:pt idx="5">
                  <c:v>245</c:v>
                </c:pt>
                <c:pt idx="6">
                  <c:v>213</c:v>
                </c:pt>
                <c:pt idx="7">
                  <c:v>134</c:v>
                </c:pt>
                <c:pt idx="8">
                  <c:v>140</c:v>
                </c:pt>
                <c:pt idx="9">
                  <c:v>165</c:v>
                </c:pt>
                <c:pt idx="10">
                  <c:v>234</c:v>
                </c:pt>
                <c:pt idx="11">
                  <c:v>205</c:v>
                </c:pt>
                <c:pt idx="12">
                  <c:v>214</c:v>
                </c:pt>
                <c:pt idx="13">
                  <c:v>183</c:v>
                </c:pt>
                <c:pt idx="14">
                  <c:v>230</c:v>
                </c:pt>
                <c:pt idx="15">
                  <c:v>238</c:v>
                </c:pt>
                <c:pt idx="16">
                  <c:v>144</c:v>
                </c:pt>
                <c:pt idx="17">
                  <c:v>220</c:v>
                </c:pt>
                <c:pt idx="18">
                  <c:v>170</c:v>
                </c:pt>
                <c:pt idx="19">
                  <c:v>170</c:v>
                </c:pt>
                <c:pt idx="20">
                  <c:v>290</c:v>
                </c:pt>
                <c:pt idx="21">
                  <c:v>340</c:v>
                </c:pt>
              </c:numCache>
            </c:numRef>
          </c:xVal>
          <c:yVal>
            <c:numRef>
              <c:f>'Problem 3 '!$Q$2:$Q$23</c:f>
              <c:numCache>
                <c:formatCode>General</c:formatCode>
                <c:ptCount val="22"/>
                <c:pt idx="0">
                  <c:v>56</c:v>
                </c:pt>
                <c:pt idx="1">
                  <c:v>74</c:v>
                </c:pt>
                <c:pt idx="2">
                  <c:v>67</c:v>
                </c:pt>
                <c:pt idx="3">
                  <c:v>78</c:v>
                </c:pt>
                <c:pt idx="4">
                  <c:v>73</c:v>
                </c:pt>
                <c:pt idx="5">
                  <c:v>54</c:v>
                </c:pt>
                <c:pt idx="6">
                  <c:v>100</c:v>
                </c:pt>
                <c:pt idx="7">
                  <c:v>98</c:v>
                </c:pt>
                <c:pt idx="8">
                  <c:v>95</c:v>
                </c:pt>
                <c:pt idx="9">
                  <c:v>81</c:v>
                </c:pt>
                <c:pt idx="10">
                  <c:v>52</c:v>
                </c:pt>
                <c:pt idx="11">
                  <c:v>96</c:v>
                </c:pt>
                <c:pt idx="12">
                  <c:v>96</c:v>
                </c:pt>
                <c:pt idx="13">
                  <c:v>73</c:v>
                </c:pt>
                <c:pt idx="14">
                  <c:v>55</c:v>
                </c:pt>
                <c:pt idx="15">
                  <c:v>91</c:v>
                </c:pt>
                <c:pt idx="16">
                  <c:v>64</c:v>
                </c:pt>
                <c:pt idx="17">
                  <c:v>60</c:v>
                </c:pt>
                <c:pt idx="18">
                  <c:v>60</c:v>
                </c:pt>
                <c:pt idx="19">
                  <c:v>240</c:v>
                </c:pt>
                <c:pt idx="20">
                  <c:v>70</c:v>
                </c:pt>
                <c:pt idx="21">
                  <c:v>75</c:v>
                </c:pt>
              </c:numCache>
            </c:numRef>
          </c:yVal>
          <c:smooth val="0"/>
          <c:extLst>
            <c:ext xmlns:c16="http://schemas.microsoft.com/office/drawing/2014/chart" uri="{C3380CC4-5D6E-409C-BE32-E72D297353CC}">
              <c16:uniqueId val="{00000000-3E67-407A-A735-C09C2CF357C4}"/>
            </c:ext>
          </c:extLst>
        </c:ser>
        <c:dLbls>
          <c:showLegendKey val="0"/>
          <c:showVal val="0"/>
          <c:showCatName val="0"/>
          <c:showSerName val="0"/>
          <c:showPercent val="0"/>
          <c:showBubbleSize val="0"/>
        </c:dLbls>
        <c:axId val="972828112"/>
        <c:axId val="972826448"/>
      </c:scatterChart>
      <c:valAx>
        <c:axId val="972828112"/>
        <c:scaling>
          <c:orientation val="minMax"/>
          <c:max val="350"/>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26448"/>
        <c:crosses val="autoZero"/>
        <c:crossBetween val="midCat"/>
      </c:valAx>
      <c:valAx>
        <c:axId val="97282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28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5'!$D$28</c:f>
              <c:strCache>
                <c:ptCount val="1"/>
                <c:pt idx="0">
                  <c:v>Height CM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261811023622051E-2"/>
                  <c:y val="-0.236945538057742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5'!$C$29:$C$149</c:f>
              <c:numCache>
                <c:formatCode>0.0</c:formatCode>
                <c:ptCount val="121"/>
                <c:pt idx="0">
                  <c:v>5.8</c:v>
                </c:pt>
                <c:pt idx="1">
                  <c:v>6.1</c:v>
                </c:pt>
                <c:pt idx="2">
                  <c:v>6.1</c:v>
                </c:pt>
                <c:pt idx="3">
                  <c:v>6.8</c:v>
                </c:pt>
                <c:pt idx="4">
                  <c:v>6.9</c:v>
                </c:pt>
                <c:pt idx="5">
                  <c:v>7.2</c:v>
                </c:pt>
                <c:pt idx="6">
                  <c:v>6.3</c:v>
                </c:pt>
                <c:pt idx="7">
                  <c:v>6.55</c:v>
                </c:pt>
                <c:pt idx="8">
                  <c:v>7.25</c:v>
                </c:pt>
                <c:pt idx="9">
                  <c:v>6</c:v>
                </c:pt>
                <c:pt idx="10">
                  <c:v>4.8</c:v>
                </c:pt>
                <c:pt idx="11">
                  <c:v>6.6</c:v>
                </c:pt>
                <c:pt idx="12">
                  <c:v>6.7</c:v>
                </c:pt>
                <c:pt idx="13">
                  <c:v>6.7</c:v>
                </c:pt>
                <c:pt idx="14">
                  <c:v>6.4</c:v>
                </c:pt>
                <c:pt idx="15">
                  <c:v>6.4</c:v>
                </c:pt>
                <c:pt idx="16">
                  <c:v>6.5</c:v>
                </c:pt>
                <c:pt idx="17">
                  <c:v>7.1</c:v>
                </c:pt>
                <c:pt idx="18">
                  <c:v>6</c:v>
                </c:pt>
                <c:pt idx="19">
                  <c:v>6.1</c:v>
                </c:pt>
                <c:pt idx="20">
                  <c:v>6.5</c:v>
                </c:pt>
                <c:pt idx="21">
                  <c:v>6.8</c:v>
                </c:pt>
                <c:pt idx="22">
                  <c:v>7</c:v>
                </c:pt>
                <c:pt idx="23">
                  <c:v>7</c:v>
                </c:pt>
                <c:pt idx="24">
                  <c:v>7.4</c:v>
                </c:pt>
                <c:pt idx="25">
                  <c:v>7.5</c:v>
                </c:pt>
                <c:pt idx="26">
                  <c:v>6.6</c:v>
                </c:pt>
                <c:pt idx="27">
                  <c:v>6.7</c:v>
                </c:pt>
                <c:pt idx="28">
                  <c:v>6.4</c:v>
                </c:pt>
                <c:pt idx="29">
                  <c:v>7.15</c:v>
                </c:pt>
                <c:pt idx="30">
                  <c:v>5</c:v>
                </c:pt>
                <c:pt idx="31">
                  <c:v>6.4</c:v>
                </c:pt>
                <c:pt idx="32">
                  <c:v>6.6</c:v>
                </c:pt>
                <c:pt idx="33">
                  <c:v>6.8</c:v>
                </c:pt>
                <c:pt idx="34">
                  <c:v>7.1</c:v>
                </c:pt>
                <c:pt idx="35">
                  <c:v>7.5</c:v>
                </c:pt>
                <c:pt idx="36">
                  <c:v>8</c:v>
                </c:pt>
                <c:pt idx="37">
                  <c:v>8.3000000000000007</c:v>
                </c:pt>
                <c:pt idx="38">
                  <c:v>6.85</c:v>
                </c:pt>
                <c:pt idx="39">
                  <c:v>7</c:v>
                </c:pt>
                <c:pt idx="40">
                  <c:v>7</c:v>
                </c:pt>
                <c:pt idx="41">
                  <c:v>7.4</c:v>
                </c:pt>
                <c:pt idx="42">
                  <c:v>6.4</c:v>
                </c:pt>
                <c:pt idx="43">
                  <c:v>6.5</c:v>
                </c:pt>
                <c:pt idx="44">
                  <c:v>7.3</c:v>
                </c:pt>
                <c:pt idx="45">
                  <c:v>7.5</c:v>
                </c:pt>
                <c:pt idx="46">
                  <c:v>7.6</c:v>
                </c:pt>
                <c:pt idx="47">
                  <c:v>8.5</c:v>
                </c:pt>
                <c:pt idx="48">
                  <c:v>6.5</c:v>
                </c:pt>
                <c:pt idx="49">
                  <c:v>6.8</c:v>
                </c:pt>
                <c:pt idx="50">
                  <c:v>7.9</c:v>
                </c:pt>
                <c:pt idx="51">
                  <c:v>5.8</c:v>
                </c:pt>
                <c:pt idx="52">
                  <c:v>7.1</c:v>
                </c:pt>
                <c:pt idx="53">
                  <c:v>7.5</c:v>
                </c:pt>
                <c:pt idx="54">
                  <c:v>7.5</c:v>
                </c:pt>
                <c:pt idx="55">
                  <c:v>7.8</c:v>
                </c:pt>
                <c:pt idx="56">
                  <c:v>7.5</c:v>
                </c:pt>
                <c:pt idx="57">
                  <c:v>7.6</c:v>
                </c:pt>
                <c:pt idx="58">
                  <c:v>7.3</c:v>
                </c:pt>
                <c:pt idx="59">
                  <c:v>7.5</c:v>
                </c:pt>
                <c:pt idx="60">
                  <c:v>7.9</c:v>
                </c:pt>
                <c:pt idx="61">
                  <c:v>8.1999999999999993</c:v>
                </c:pt>
                <c:pt idx="62">
                  <c:v>9</c:v>
                </c:pt>
                <c:pt idx="63">
                  <c:v>7.2</c:v>
                </c:pt>
                <c:pt idx="64">
                  <c:v>7.7</c:v>
                </c:pt>
                <c:pt idx="65">
                  <c:v>7.4</c:v>
                </c:pt>
                <c:pt idx="66">
                  <c:v>6.6</c:v>
                </c:pt>
                <c:pt idx="67">
                  <c:v>7</c:v>
                </c:pt>
                <c:pt idx="68">
                  <c:v>7</c:v>
                </c:pt>
                <c:pt idx="69">
                  <c:v>7.1</c:v>
                </c:pt>
                <c:pt idx="70">
                  <c:v>7.2</c:v>
                </c:pt>
                <c:pt idx="71">
                  <c:v>7.5</c:v>
                </c:pt>
                <c:pt idx="72">
                  <c:v>7.5</c:v>
                </c:pt>
                <c:pt idx="73">
                  <c:v>7.6</c:v>
                </c:pt>
                <c:pt idx="74">
                  <c:v>8</c:v>
                </c:pt>
                <c:pt idx="75">
                  <c:v>8.1</c:v>
                </c:pt>
                <c:pt idx="76">
                  <c:v>7.6</c:v>
                </c:pt>
                <c:pt idx="77">
                  <c:v>6.4</c:v>
                </c:pt>
                <c:pt idx="78">
                  <c:v>7</c:v>
                </c:pt>
                <c:pt idx="79">
                  <c:v>7.1</c:v>
                </c:pt>
                <c:pt idx="80">
                  <c:v>6.8</c:v>
                </c:pt>
                <c:pt idx="81">
                  <c:v>7.4</c:v>
                </c:pt>
                <c:pt idx="82">
                  <c:v>7.8</c:v>
                </c:pt>
                <c:pt idx="83">
                  <c:v>8.1</c:v>
                </c:pt>
                <c:pt idx="84">
                  <c:v>8.1999999999999993</c:v>
                </c:pt>
                <c:pt idx="85">
                  <c:v>7.6</c:v>
                </c:pt>
                <c:pt idx="86">
                  <c:v>7</c:v>
                </c:pt>
                <c:pt idx="87">
                  <c:v>7.5</c:v>
                </c:pt>
                <c:pt idx="88">
                  <c:v>7.6</c:v>
                </c:pt>
                <c:pt idx="89">
                  <c:v>7.9</c:v>
                </c:pt>
                <c:pt idx="90">
                  <c:v>8.5</c:v>
                </c:pt>
                <c:pt idx="91">
                  <c:v>5.7</c:v>
                </c:pt>
                <c:pt idx="92">
                  <c:v>7.1</c:v>
                </c:pt>
                <c:pt idx="93">
                  <c:v>7.1</c:v>
                </c:pt>
                <c:pt idx="94">
                  <c:v>7.5</c:v>
                </c:pt>
                <c:pt idx="95">
                  <c:v>7.8</c:v>
                </c:pt>
                <c:pt idx="96">
                  <c:v>7.8</c:v>
                </c:pt>
                <c:pt idx="97">
                  <c:v>7.9</c:v>
                </c:pt>
                <c:pt idx="98">
                  <c:v>9</c:v>
                </c:pt>
                <c:pt idx="99">
                  <c:v>8.4</c:v>
                </c:pt>
                <c:pt idx="100">
                  <c:v>8.3000000000000007</c:v>
                </c:pt>
                <c:pt idx="101">
                  <c:v>7.8</c:v>
                </c:pt>
                <c:pt idx="102">
                  <c:v>7.6</c:v>
                </c:pt>
                <c:pt idx="103">
                  <c:v>6.9</c:v>
                </c:pt>
                <c:pt idx="104">
                  <c:v>7</c:v>
                </c:pt>
                <c:pt idx="105">
                  <c:v>7.5</c:v>
                </c:pt>
                <c:pt idx="106">
                  <c:v>9</c:v>
                </c:pt>
                <c:pt idx="107">
                  <c:v>7.9</c:v>
                </c:pt>
                <c:pt idx="108">
                  <c:v>7.1</c:v>
                </c:pt>
                <c:pt idx="109">
                  <c:v>7.3</c:v>
                </c:pt>
                <c:pt idx="110">
                  <c:v>7.6</c:v>
                </c:pt>
                <c:pt idx="111">
                  <c:v>8</c:v>
                </c:pt>
                <c:pt idx="112">
                  <c:v>8.3000000000000007</c:v>
                </c:pt>
                <c:pt idx="113">
                  <c:v>7.3</c:v>
                </c:pt>
                <c:pt idx="114">
                  <c:v>8</c:v>
                </c:pt>
                <c:pt idx="115">
                  <c:v>7.1</c:v>
                </c:pt>
                <c:pt idx="116">
                  <c:v>8.5</c:v>
                </c:pt>
                <c:pt idx="117">
                  <c:v>8.3000000000000007</c:v>
                </c:pt>
                <c:pt idx="118">
                  <c:v>7.5</c:v>
                </c:pt>
                <c:pt idx="119">
                  <c:v>8.1999999999999993</c:v>
                </c:pt>
                <c:pt idx="120">
                  <c:v>8</c:v>
                </c:pt>
              </c:numCache>
            </c:numRef>
          </c:xVal>
          <c:yVal>
            <c:numRef>
              <c:f>'Problem 5'!$D$29:$D$149</c:f>
              <c:numCache>
                <c:formatCode>0.0</c:formatCode>
                <c:ptCount val="121"/>
                <c:pt idx="0">
                  <c:v>154.9</c:v>
                </c:pt>
                <c:pt idx="1">
                  <c:v>154.9</c:v>
                </c:pt>
                <c:pt idx="2">
                  <c:v>154.9</c:v>
                </c:pt>
                <c:pt idx="3">
                  <c:v>154.9</c:v>
                </c:pt>
                <c:pt idx="4">
                  <c:v>154.9</c:v>
                </c:pt>
                <c:pt idx="5">
                  <c:v>154.9</c:v>
                </c:pt>
                <c:pt idx="6">
                  <c:v>155</c:v>
                </c:pt>
                <c:pt idx="7">
                  <c:v>155</c:v>
                </c:pt>
                <c:pt idx="8">
                  <c:v>155</c:v>
                </c:pt>
                <c:pt idx="9">
                  <c:v>156.19999999999999</c:v>
                </c:pt>
                <c:pt idx="10">
                  <c:v>157.5</c:v>
                </c:pt>
                <c:pt idx="11">
                  <c:v>157.5</c:v>
                </c:pt>
                <c:pt idx="12">
                  <c:v>157.5</c:v>
                </c:pt>
                <c:pt idx="13">
                  <c:v>157.5</c:v>
                </c:pt>
                <c:pt idx="14">
                  <c:v>160</c:v>
                </c:pt>
                <c:pt idx="15">
                  <c:v>160</c:v>
                </c:pt>
                <c:pt idx="16">
                  <c:v>160</c:v>
                </c:pt>
                <c:pt idx="17">
                  <c:v>161.30000000000001</c:v>
                </c:pt>
                <c:pt idx="18">
                  <c:v>162.6</c:v>
                </c:pt>
                <c:pt idx="19">
                  <c:v>162.6</c:v>
                </c:pt>
                <c:pt idx="20">
                  <c:v>162.6</c:v>
                </c:pt>
                <c:pt idx="21">
                  <c:v>162.6</c:v>
                </c:pt>
                <c:pt idx="22">
                  <c:v>162.6</c:v>
                </c:pt>
                <c:pt idx="23">
                  <c:v>162.6</c:v>
                </c:pt>
                <c:pt idx="24">
                  <c:v>162.6</c:v>
                </c:pt>
                <c:pt idx="25">
                  <c:v>162.6</c:v>
                </c:pt>
                <c:pt idx="26">
                  <c:v>163</c:v>
                </c:pt>
                <c:pt idx="27">
                  <c:v>163.5</c:v>
                </c:pt>
                <c:pt idx="28">
                  <c:v>163.80000000000001</c:v>
                </c:pt>
                <c:pt idx="29">
                  <c:v>165</c:v>
                </c:pt>
                <c:pt idx="30">
                  <c:v>165.1</c:v>
                </c:pt>
                <c:pt idx="31">
                  <c:v>165.1</c:v>
                </c:pt>
                <c:pt idx="32">
                  <c:v>165.1</c:v>
                </c:pt>
                <c:pt idx="33">
                  <c:v>165.1</c:v>
                </c:pt>
                <c:pt idx="34">
                  <c:v>165.1</c:v>
                </c:pt>
                <c:pt idx="35">
                  <c:v>165.1</c:v>
                </c:pt>
                <c:pt idx="36">
                  <c:v>165.1</c:v>
                </c:pt>
                <c:pt idx="37">
                  <c:v>165.1</c:v>
                </c:pt>
                <c:pt idx="38">
                  <c:v>166</c:v>
                </c:pt>
                <c:pt idx="39">
                  <c:v>166.4</c:v>
                </c:pt>
                <c:pt idx="40">
                  <c:v>166.4</c:v>
                </c:pt>
                <c:pt idx="41">
                  <c:v>166.4</c:v>
                </c:pt>
                <c:pt idx="42">
                  <c:v>167.6</c:v>
                </c:pt>
                <c:pt idx="43">
                  <c:v>167.6</c:v>
                </c:pt>
                <c:pt idx="44">
                  <c:v>167.6</c:v>
                </c:pt>
                <c:pt idx="45">
                  <c:v>167.6</c:v>
                </c:pt>
                <c:pt idx="46">
                  <c:v>167.6</c:v>
                </c:pt>
                <c:pt idx="47">
                  <c:v>167.6</c:v>
                </c:pt>
                <c:pt idx="48">
                  <c:v>168.4</c:v>
                </c:pt>
                <c:pt idx="49">
                  <c:v>168.9</c:v>
                </c:pt>
                <c:pt idx="50">
                  <c:v>170</c:v>
                </c:pt>
                <c:pt idx="51">
                  <c:v>170.2</c:v>
                </c:pt>
                <c:pt idx="52">
                  <c:v>170.2</c:v>
                </c:pt>
                <c:pt idx="53">
                  <c:v>170.2</c:v>
                </c:pt>
                <c:pt idx="54">
                  <c:v>170.2</c:v>
                </c:pt>
                <c:pt idx="55">
                  <c:v>170.3</c:v>
                </c:pt>
                <c:pt idx="56">
                  <c:v>171.5</c:v>
                </c:pt>
                <c:pt idx="57">
                  <c:v>172.1</c:v>
                </c:pt>
                <c:pt idx="58">
                  <c:v>172.7</c:v>
                </c:pt>
                <c:pt idx="59">
                  <c:v>172.7</c:v>
                </c:pt>
                <c:pt idx="60">
                  <c:v>172.7</c:v>
                </c:pt>
                <c:pt idx="61">
                  <c:v>172.7</c:v>
                </c:pt>
                <c:pt idx="62">
                  <c:v>172.7</c:v>
                </c:pt>
                <c:pt idx="63">
                  <c:v>173</c:v>
                </c:pt>
                <c:pt idx="64">
                  <c:v>174.5</c:v>
                </c:pt>
                <c:pt idx="65">
                  <c:v>174.6</c:v>
                </c:pt>
                <c:pt idx="66">
                  <c:v>175.3</c:v>
                </c:pt>
                <c:pt idx="67">
                  <c:v>175.3</c:v>
                </c:pt>
                <c:pt idx="68">
                  <c:v>175.3</c:v>
                </c:pt>
                <c:pt idx="69">
                  <c:v>175.3</c:v>
                </c:pt>
                <c:pt idx="70">
                  <c:v>175.3</c:v>
                </c:pt>
                <c:pt idx="71">
                  <c:v>175.3</c:v>
                </c:pt>
                <c:pt idx="72">
                  <c:v>175.3</c:v>
                </c:pt>
                <c:pt idx="73">
                  <c:v>175.3</c:v>
                </c:pt>
                <c:pt idx="74">
                  <c:v>175.3</c:v>
                </c:pt>
                <c:pt idx="75">
                  <c:v>175.3</c:v>
                </c:pt>
                <c:pt idx="76">
                  <c:v>176.4</c:v>
                </c:pt>
                <c:pt idx="77">
                  <c:v>176.5</c:v>
                </c:pt>
                <c:pt idx="78">
                  <c:v>176.5</c:v>
                </c:pt>
                <c:pt idx="79">
                  <c:v>176.5</c:v>
                </c:pt>
                <c:pt idx="80">
                  <c:v>177.8</c:v>
                </c:pt>
                <c:pt idx="81">
                  <c:v>177.8</c:v>
                </c:pt>
                <c:pt idx="82">
                  <c:v>177.8</c:v>
                </c:pt>
                <c:pt idx="83">
                  <c:v>177.8</c:v>
                </c:pt>
                <c:pt idx="84">
                  <c:v>177.8</c:v>
                </c:pt>
                <c:pt idx="85">
                  <c:v>178.2</c:v>
                </c:pt>
                <c:pt idx="86">
                  <c:v>179.1</c:v>
                </c:pt>
                <c:pt idx="87">
                  <c:v>179.1</c:v>
                </c:pt>
                <c:pt idx="88">
                  <c:v>179.1</c:v>
                </c:pt>
                <c:pt idx="89">
                  <c:v>180</c:v>
                </c:pt>
                <c:pt idx="90">
                  <c:v>180.1</c:v>
                </c:pt>
                <c:pt idx="91">
                  <c:v>180.3</c:v>
                </c:pt>
                <c:pt idx="92">
                  <c:v>180.3</c:v>
                </c:pt>
                <c:pt idx="93">
                  <c:v>180.3</c:v>
                </c:pt>
                <c:pt idx="94">
                  <c:v>180.3</c:v>
                </c:pt>
                <c:pt idx="95">
                  <c:v>180.3</c:v>
                </c:pt>
                <c:pt idx="96">
                  <c:v>180.3</c:v>
                </c:pt>
                <c:pt idx="97">
                  <c:v>180.3</c:v>
                </c:pt>
                <c:pt idx="98">
                  <c:v>180.3</c:v>
                </c:pt>
                <c:pt idx="99">
                  <c:v>180.4</c:v>
                </c:pt>
                <c:pt idx="100">
                  <c:v>181.7</c:v>
                </c:pt>
                <c:pt idx="101">
                  <c:v>181.8</c:v>
                </c:pt>
                <c:pt idx="102">
                  <c:v>181.9</c:v>
                </c:pt>
                <c:pt idx="103">
                  <c:v>182.9</c:v>
                </c:pt>
                <c:pt idx="104">
                  <c:v>182.9</c:v>
                </c:pt>
                <c:pt idx="105">
                  <c:v>182.9</c:v>
                </c:pt>
                <c:pt idx="106">
                  <c:v>182.9</c:v>
                </c:pt>
                <c:pt idx="107">
                  <c:v>185</c:v>
                </c:pt>
                <c:pt idx="108">
                  <c:v>185.4</c:v>
                </c:pt>
                <c:pt idx="109">
                  <c:v>185.4</c:v>
                </c:pt>
                <c:pt idx="110">
                  <c:v>185.4</c:v>
                </c:pt>
                <c:pt idx="111">
                  <c:v>185.4</c:v>
                </c:pt>
                <c:pt idx="112">
                  <c:v>185.4</c:v>
                </c:pt>
                <c:pt idx="113">
                  <c:v>186.7</c:v>
                </c:pt>
                <c:pt idx="114">
                  <c:v>187.5</c:v>
                </c:pt>
                <c:pt idx="115">
                  <c:v>188</c:v>
                </c:pt>
                <c:pt idx="116">
                  <c:v>188</c:v>
                </c:pt>
                <c:pt idx="117">
                  <c:v>188.3</c:v>
                </c:pt>
                <c:pt idx="118">
                  <c:v>190.5</c:v>
                </c:pt>
                <c:pt idx="119">
                  <c:v>191</c:v>
                </c:pt>
                <c:pt idx="120">
                  <c:v>191.4</c:v>
                </c:pt>
              </c:numCache>
            </c:numRef>
          </c:yVal>
          <c:smooth val="0"/>
          <c:extLst>
            <c:ext xmlns:c16="http://schemas.microsoft.com/office/drawing/2014/chart" uri="{C3380CC4-5D6E-409C-BE32-E72D297353CC}">
              <c16:uniqueId val="{00000000-D050-4723-B575-F853A2C73B24}"/>
            </c:ext>
          </c:extLst>
        </c:ser>
        <c:dLbls>
          <c:showLegendKey val="0"/>
          <c:showVal val="0"/>
          <c:showCatName val="0"/>
          <c:showSerName val="0"/>
          <c:showPercent val="0"/>
          <c:showBubbleSize val="0"/>
        </c:dLbls>
        <c:axId val="435246927"/>
        <c:axId val="422737551"/>
      </c:scatterChart>
      <c:valAx>
        <c:axId val="435246927"/>
        <c:scaling>
          <c:orientation val="minMax"/>
          <c:min val="4"/>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37551"/>
        <c:crosses val="autoZero"/>
        <c:crossBetween val="midCat"/>
      </c:valAx>
      <c:valAx>
        <c:axId val="422737551"/>
        <c:scaling>
          <c:orientation val="minMax"/>
          <c:min val="15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46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'Problem 11'!$E$34</c:f>
              <c:strCache>
                <c:ptCount val="1"/>
                <c:pt idx="0">
                  <c:v>Oil</c:v>
                </c:pt>
              </c:strCache>
            </c:strRef>
          </c:tx>
          <c:spPr>
            <a:ln w="19050" cap="rnd">
              <a:solidFill>
                <a:schemeClr val="accent1"/>
              </a:solidFill>
              <a:round/>
            </a:ln>
            <a:effectLst/>
          </c:spPr>
          <c:marker>
            <c:symbol val="none"/>
          </c:marker>
          <c:xVal>
            <c:numRef>
              <c:f>'Problem 11'!$D$35:$D$44</c:f>
              <c:numCache>
                <c:formatCode>General</c:formatCode>
                <c:ptCount val="10"/>
                <c:pt idx="0">
                  <c:v>139</c:v>
                </c:pt>
                <c:pt idx="1">
                  <c:v>141</c:v>
                </c:pt>
                <c:pt idx="2">
                  <c:v>145</c:v>
                </c:pt>
                <c:pt idx="3">
                  <c:v>146</c:v>
                </c:pt>
                <c:pt idx="4">
                  <c:v>148</c:v>
                </c:pt>
                <c:pt idx="5">
                  <c:v>148</c:v>
                </c:pt>
                <c:pt idx="6">
                  <c:v>150</c:v>
                </c:pt>
                <c:pt idx="7">
                  <c:v>152</c:v>
                </c:pt>
                <c:pt idx="8">
                  <c:v>153</c:v>
                </c:pt>
                <c:pt idx="9">
                  <c:v>154</c:v>
                </c:pt>
              </c:numCache>
            </c:numRef>
          </c:xVal>
          <c:yVal>
            <c:numRef>
              <c:f>'Problem 11'!$E$35:$E$44</c:f>
              <c:numCache>
                <c:formatCode>General</c:formatCode>
                <c:ptCount val="10"/>
                <c:pt idx="0">
                  <c:v>151</c:v>
                </c:pt>
                <c:pt idx="1">
                  <c:v>140</c:v>
                </c:pt>
                <c:pt idx="2">
                  <c:v>152</c:v>
                </c:pt>
                <c:pt idx="3">
                  <c:v>158</c:v>
                </c:pt>
                <c:pt idx="4">
                  <c:v>155</c:v>
                </c:pt>
                <c:pt idx="5">
                  <c:v>143</c:v>
                </c:pt>
                <c:pt idx="6">
                  <c:v>150</c:v>
                </c:pt>
                <c:pt idx="7">
                  <c:v>146</c:v>
                </c:pt>
                <c:pt idx="8">
                  <c:v>147</c:v>
                </c:pt>
                <c:pt idx="9">
                  <c:v>152</c:v>
                </c:pt>
              </c:numCache>
            </c:numRef>
          </c:yVal>
          <c:smooth val="1"/>
          <c:extLst>
            <c:ext xmlns:c16="http://schemas.microsoft.com/office/drawing/2014/chart" uri="{C3380CC4-5D6E-409C-BE32-E72D297353CC}">
              <c16:uniqueId val="{00000000-48DD-421F-91E2-147B6131A670}"/>
            </c:ext>
          </c:extLst>
        </c:ser>
        <c:dLbls>
          <c:showLegendKey val="0"/>
          <c:showVal val="0"/>
          <c:showCatName val="0"/>
          <c:showSerName val="0"/>
          <c:showPercent val="0"/>
          <c:showBubbleSize val="0"/>
        </c:dLbls>
        <c:axId val="701209792"/>
        <c:axId val="701210624"/>
      </c:scatterChart>
      <c:valAx>
        <c:axId val="70120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10624"/>
        <c:crosses val="autoZero"/>
        <c:crossBetween val="midCat"/>
      </c:valAx>
      <c:valAx>
        <c:axId val="70121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0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clusteredColumn" uniqueId="{2116358E-0FE2-497F-ADA4-72A26C53B837}" formatIdx="0">
          <cx:tx>
            <cx:txData>
              <cx:f>_xlchart.v1.0</cx:f>
              <cx:v>Saltwater</cx:v>
            </cx:txData>
          </cx:tx>
          <cx:dataId val="0"/>
          <cx:layoutPr>
            <cx:binning intervalClosed="r">
              <cx:binCount val="8"/>
            </cx:binning>
          </cx:layoutPr>
        </cx:series>
        <cx:series layoutId="clusteredColumn" hidden="1" uniqueId="{A799E5DD-9054-4FB8-9226-F85EF87D9A9E}" formatIdx="1">
          <cx:tx>
            <cx:txData>
              <cx:f>_xlchart.v1.2</cx:f>
              <cx:v>Oil</cx:v>
            </cx:txData>
          </cx:tx>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1.emf"/></Relationships>
</file>

<file path=xl/drawings/_rels/drawing11.xml.rels><?xml version="1.0" encoding="UTF-8" standalone="yes"?>
<Relationships xmlns="http://schemas.openxmlformats.org/package/2006/relationships"><Relationship Id="rId3" Type="http://schemas.openxmlformats.org/officeDocument/2006/relationships/image" Target="../media/image32.png"/><Relationship Id="rId2" Type="http://schemas.microsoft.com/office/2014/relationships/chartEx" Target="../charts/chartEx1.xml"/><Relationship Id="rId1" Type="http://schemas.openxmlformats.org/officeDocument/2006/relationships/chart" Target="../charts/chart5.xml"/><Relationship Id="rId4" Type="http://schemas.openxmlformats.org/officeDocument/2006/relationships/image" Target="../media/image33.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emf"/><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emf"/></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7.emf"/></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emf"/></Relationships>
</file>

<file path=xl/drawings/_rels/drawing7.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_rels/drawing8.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emf"/></Relationships>
</file>

<file path=xl/drawings/_rels/drawing9.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emf"/></Relationships>
</file>

<file path=xl/drawings/drawing1.xml><?xml version="1.0" encoding="utf-8"?>
<xdr:wsDr xmlns:xdr="http://schemas.openxmlformats.org/drawingml/2006/spreadsheetDrawing" xmlns:a="http://schemas.openxmlformats.org/drawingml/2006/main">
  <xdr:twoCellAnchor>
    <xdr:from>
      <xdr:col>3</xdr:col>
      <xdr:colOff>388620</xdr:colOff>
      <xdr:row>74</xdr:row>
      <xdr:rowOff>60960</xdr:rowOff>
    </xdr:from>
    <xdr:to>
      <xdr:col>5</xdr:col>
      <xdr:colOff>502920</xdr:colOff>
      <xdr:row>78</xdr:row>
      <xdr:rowOff>144780</xdr:rowOff>
    </xdr:to>
    <mc:AlternateContent xmlns:mc="http://schemas.openxmlformats.org/markup-compatibility/2006" xmlns:a14="http://schemas.microsoft.com/office/drawing/2010/main">
      <mc:Choice Requires="a14">
        <xdr:sp macro="" textlink="">
          <xdr:nvSpPr>
            <xdr:cNvPr id="2" name="Object 6">
              <a:extLst>
                <a:ext uri="{FF2B5EF4-FFF2-40B4-BE49-F238E27FC236}">
                  <a16:creationId xmlns:a16="http://schemas.microsoft.com/office/drawing/2014/main" id="{CC20DFF6-B597-4C97-AB25-39CF0791D718}"/>
                </a:ext>
              </a:extLst>
            </xdr:cNvPr>
            <xdr:cNvSpPr txBox="1"/>
          </xdr:nvSpPr>
          <xdr:spPr bwMode="auto">
            <a:xfrm>
              <a:off x="2712720" y="15674340"/>
              <a:ext cx="1333500" cy="830580"/>
            </a:xfrm>
            <a:prstGeom prst="rect">
              <a:avLst/>
            </a:prstGeom>
            <a:solidFill>
              <a:srgbClr val="C7DAF7"/>
            </a:solidFill>
            <a:ln w="9525">
              <a:solidFill>
                <a:schemeClr val="tx1"/>
              </a:solidFill>
              <a:miter lim="800000"/>
              <a:headEnd/>
              <a:tailEnd/>
            </a:ln>
            <a:effectLst/>
          </xdr:spPr>
          <xdr:txBody>
            <a:bodyPr wrap="square">
              <a:normAutofit/>
            </a:bodyPr>
            <a:lstStyle>
              <a:defPPr>
                <a:defRPr lang="en-US"/>
              </a:defPPr>
              <a:lvl1pPr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5pPr>
              <a:lvl6pPr marL="2286000" algn="l" defTabSz="914400" rtl="0" eaLnBrk="1" latinLnBrk="0" hangingPunct="1">
                <a:defRPr sz="2400" kern="1200">
                  <a:solidFill>
                    <a:schemeClr val="tx1"/>
                  </a:solidFill>
                  <a:latin typeface="Times New Roman" panose="02020603050405020304" pitchFamily="18" charset="0"/>
                  <a:ea typeface="+mn-ea"/>
                  <a:cs typeface="+mn-cs"/>
                </a:defRPr>
              </a:lvl6pPr>
              <a:lvl7pPr marL="2743200" algn="l" defTabSz="914400" rtl="0" eaLnBrk="1" latinLnBrk="0" hangingPunct="1">
                <a:defRPr sz="2400" kern="1200">
                  <a:solidFill>
                    <a:schemeClr val="tx1"/>
                  </a:solidFill>
                  <a:latin typeface="Times New Roman" panose="02020603050405020304" pitchFamily="18" charset="0"/>
                  <a:ea typeface="+mn-ea"/>
                  <a:cs typeface="+mn-cs"/>
                </a:defRPr>
              </a:lvl7pPr>
              <a:lvl8pPr marL="3200400" algn="l" defTabSz="914400" rtl="0" eaLnBrk="1" latinLnBrk="0" hangingPunct="1">
                <a:defRPr sz="2400" kern="1200">
                  <a:solidFill>
                    <a:schemeClr val="tx1"/>
                  </a:solidFill>
                  <a:latin typeface="Times New Roman" panose="02020603050405020304" pitchFamily="18" charset="0"/>
                  <a:ea typeface="+mn-ea"/>
                  <a:cs typeface="+mn-cs"/>
                </a:defRPr>
              </a:lvl8pPr>
              <a:lvl9pPr marL="3657600" algn="l" defTabSz="914400" rtl="0" eaLnBrk="1" latinLnBrk="0" hangingPunct="1">
                <a:defRPr sz="2400" kern="1200">
                  <a:solidFill>
                    <a:schemeClr val="tx1"/>
                  </a:solidFill>
                  <a:latin typeface="Times New Roman" panose="02020603050405020304" pitchFamily="18" charset="0"/>
                  <a:ea typeface="+mn-ea"/>
                  <a:cs typeface="+mn-cs"/>
                </a:defRPr>
              </a:lvl9pPr>
            </a:lstStyle>
            <a:p>
              <a:pPr/>
              <a14:m>
                <m:oMathPara xmlns:m="http://schemas.openxmlformats.org/officeDocument/2006/math">
                  <m:oMathParaPr>
                    <m:jc m:val="left"/>
                  </m:oMathParaPr>
                  <m:oMath xmlns:m="http://schemas.openxmlformats.org/officeDocument/2006/math">
                    <m:r>
                      <a:rPr lang="en-US" sz="1200" i="1">
                        <a:solidFill>
                          <a:srgbClr val="000000"/>
                        </a:solidFill>
                        <a:latin typeface="Cambria Math" panose="02040503050406030204" pitchFamily="18" charset="0"/>
                      </a:rPr>
                      <m:t>𝑀𝑆𝑅</m:t>
                    </m:r>
                    <m:r>
                      <a:rPr lang="en-US" sz="1200" i="1">
                        <a:solidFill>
                          <a:srgbClr val="000000"/>
                        </a:solidFill>
                        <a:latin typeface="Cambria Math" panose="02040503050406030204" pitchFamily="18" charset="0"/>
                      </a:rPr>
                      <m:t>=</m:t>
                    </m:r>
                    <m:f>
                      <m:fPr>
                        <m:ctrlPr>
                          <a:rPr lang="en-US" sz="1200" i="1">
                            <a:solidFill>
                              <a:srgbClr val="000000"/>
                            </a:solidFill>
                            <a:latin typeface="Cambria Math" panose="02040503050406030204" pitchFamily="18" charset="0"/>
                          </a:rPr>
                        </m:ctrlPr>
                      </m:fPr>
                      <m:num>
                        <m:r>
                          <a:rPr lang="en-US" sz="1200" i="1">
                            <a:solidFill>
                              <a:srgbClr val="000000"/>
                            </a:solidFill>
                            <a:latin typeface="Cambria Math" panose="02040503050406030204" pitchFamily="18" charset="0"/>
                          </a:rPr>
                          <m:t>𝑆𝑆𝑅</m:t>
                        </m:r>
                      </m:num>
                      <m:den>
                        <m:r>
                          <a:rPr lang="en-US" sz="1200" i="1">
                            <a:solidFill>
                              <a:srgbClr val="000000"/>
                            </a:solidFill>
                            <a:latin typeface="Cambria Math" panose="02040503050406030204" pitchFamily="18" charset="0"/>
                          </a:rPr>
                          <m:t>𝑘</m:t>
                        </m:r>
                      </m:den>
                    </m:f>
                  </m:oMath>
                  <m:oMath xmlns:m="http://schemas.openxmlformats.org/officeDocument/2006/math">
                    <m:r>
                      <a:rPr lang="en-US" sz="1200" i="1">
                        <a:solidFill>
                          <a:srgbClr val="000000"/>
                        </a:solidFill>
                        <a:latin typeface="Cambria Math" panose="02040503050406030204" pitchFamily="18" charset="0"/>
                      </a:rPr>
                      <m:t>𝑀𝑆𝐸</m:t>
                    </m:r>
                    <m:r>
                      <a:rPr lang="en-US" sz="1200" i="1">
                        <a:solidFill>
                          <a:srgbClr val="000000"/>
                        </a:solidFill>
                        <a:latin typeface="Cambria Math" panose="02040503050406030204" pitchFamily="18" charset="0"/>
                      </a:rPr>
                      <m:t>=</m:t>
                    </m:r>
                    <m:f>
                      <m:fPr>
                        <m:ctrlPr>
                          <a:rPr lang="en-US" sz="1200" i="1">
                            <a:solidFill>
                              <a:srgbClr val="000000"/>
                            </a:solidFill>
                            <a:latin typeface="Cambria Math" panose="02040503050406030204" pitchFamily="18" charset="0"/>
                          </a:rPr>
                        </m:ctrlPr>
                      </m:fPr>
                      <m:num>
                        <m:r>
                          <a:rPr lang="en-US" sz="1200" i="1">
                            <a:solidFill>
                              <a:srgbClr val="000000"/>
                            </a:solidFill>
                            <a:latin typeface="Cambria Math" panose="02040503050406030204" pitchFamily="18" charset="0"/>
                          </a:rPr>
                          <m:t>𝑆𝑆𝐸</m:t>
                        </m:r>
                      </m:num>
                      <m:den>
                        <m:r>
                          <a:rPr lang="en-US" sz="1200" i="1">
                            <a:solidFill>
                              <a:srgbClr val="000000"/>
                            </a:solidFill>
                            <a:latin typeface="Cambria Math" panose="02040503050406030204" pitchFamily="18" charset="0"/>
                          </a:rPr>
                          <m:t>𝑛</m:t>
                        </m:r>
                        <m:r>
                          <a:rPr lang="en-US" sz="1200" i="1">
                            <a:solidFill>
                              <a:srgbClr val="000000"/>
                            </a:solidFill>
                            <a:latin typeface="Cambria Math" panose="02040503050406030204" pitchFamily="18" charset="0"/>
                          </a:rPr>
                          <m:t>−</m:t>
                        </m:r>
                        <m:r>
                          <a:rPr lang="en-US" sz="1200" i="1">
                            <a:solidFill>
                              <a:srgbClr val="000000"/>
                            </a:solidFill>
                            <a:latin typeface="Cambria Math" panose="02040503050406030204" pitchFamily="18" charset="0"/>
                          </a:rPr>
                          <m:t>𝑘</m:t>
                        </m:r>
                        <m:r>
                          <a:rPr lang="en-US" sz="1200" i="1">
                            <a:solidFill>
                              <a:srgbClr val="000000"/>
                            </a:solidFill>
                            <a:latin typeface="Cambria Math" panose="02040503050406030204" pitchFamily="18" charset="0"/>
                          </a:rPr>
                          <m:t>−1</m:t>
                        </m:r>
                      </m:den>
                    </m:f>
                  </m:oMath>
                </m:oMathPara>
              </a14:m>
              <a:endParaRPr lang="en-US" sz="1200"/>
            </a:p>
          </xdr:txBody>
        </xdr:sp>
      </mc:Choice>
      <mc:Fallback xmlns="">
        <xdr:sp macro="" textlink="">
          <xdr:nvSpPr>
            <xdr:cNvPr id="2" name="Object 6">
              <a:extLst>
                <a:ext uri="{FF2B5EF4-FFF2-40B4-BE49-F238E27FC236}">
                  <a16:creationId xmlns:a16="http://schemas.microsoft.com/office/drawing/2014/main" id="{CC20DFF6-B597-4C97-AB25-39CF0791D718}"/>
                </a:ext>
              </a:extLst>
            </xdr:cNvPr>
            <xdr:cNvSpPr txBox="1"/>
          </xdr:nvSpPr>
          <xdr:spPr bwMode="auto">
            <a:xfrm>
              <a:off x="2712720" y="15674340"/>
              <a:ext cx="1333500" cy="830580"/>
            </a:xfrm>
            <a:prstGeom prst="rect">
              <a:avLst/>
            </a:prstGeom>
            <a:solidFill>
              <a:srgbClr val="C7DAF7"/>
            </a:solidFill>
            <a:ln w="9525">
              <a:solidFill>
                <a:schemeClr val="tx1"/>
              </a:solidFill>
              <a:miter lim="800000"/>
              <a:headEnd/>
              <a:tailEnd/>
            </a:ln>
            <a:effectLst/>
          </xdr:spPr>
          <xdr:txBody>
            <a:bodyPr wrap="square">
              <a:normAutofit/>
            </a:bodyPr>
            <a:lstStyle>
              <a:defPPr>
                <a:defRPr lang="en-US"/>
              </a:defPPr>
              <a:lvl1pPr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panose="02020603050405020304" pitchFamily="18" charset="0"/>
                  <a:ea typeface="+mn-ea"/>
                  <a:cs typeface="+mn-cs"/>
                </a:defRPr>
              </a:lvl5pPr>
              <a:lvl6pPr marL="2286000" algn="l" defTabSz="914400" rtl="0" eaLnBrk="1" latinLnBrk="0" hangingPunct="1">
                <a:defRPr sz="2400" kern="1200">
                  <a:solidFill>
                    <a:schemeClr val="tx1"/>
                  </a:solidFill>
                  <a:latin typeface="Times New Roman" panose="02020603050405020304" pitchFamily="18" charset="0"/>
                  <a:ea typeface="+mn-ea"/>
                  <a:cs typeface="+mn-cs"/>
                </a:defRPr>
              </a:lvl6pPr>
              <a:lvl7pPr marL="2743200" algn="l" defTabSz="914400" rtl="0" eaLnBrk="1" latinLnBrk="0" hangingPunct="1">
                <a:defRPr sz="2400" kern="1200">
                  <a:solidFill>
                    <a:schemeClr val="tx1"/>
                  </a:solidFill>
                  <a:latin typeface="Times New Roman" panose="02020603050405020304" pitchFamily="18" charset="0"/>
                  <a:ea typeface="+mn-ea"/>
                  <a:cs typeface="+mn-cs"/>
                </a:defRPr>
              </a:lvl7pPr>
              <a:lvl8pPr marL="3200400" algn="l" defTabSz="914400" rtl="0" eaLnBrk="1" latinLnBrk="0" hangingPunct="1">
                <a:defRPr sz="2400" kern="1200">
                  <a:solidFill>
                    <a:schemeClr val="tx1"/>
                  </a:solidFill>
                  <a:latin typeface="Times New Roman" panose="02020603050405020304" pitchFamily="18" charset="0"/>
                  <a:ea typeface="+mn-ea"/>
                  <a:cs typeface="+mn-cs"/>
                </a:defRPr>
              </a:lvl8pPr>
              <a:lvl9pPr marL="3657600" algn="l" defTabSz="914400" rtl="0" eaLnBrk="1" latinLnBrk="0" hangingPunct="1">
                <a:defRPr sz="2400" kern="1200">
                  <a:solidFill>
                    <a:schemeClr val="tx1"/>
                  </a:solidFill>
                  <a:latin typeface="Times New Roman" panose="02020603050405020304" pitchFamily="18" charset="0"/>
                  <a:ea typeface="+mn-ea"/>
                  <a:cs typeface="+mn-cs"/>
                </a:defRPr>
              </a:lvl9pPr>
            </a:lstStyle>
            <a:p>
              <a:pPr/>
              <a:r>
                <a:rPr lang="en-US" sz="1200" i="0">
                  <a:solidFill>
                    <a:srgbClr val="000000"/>
                  </a:solidFill>
                  <a:latin typeface="Cambria Math" panose="02040503050406030204" pitchFamily="18" charset="0"/>
                </a:rPr>
                <a:t>𝑀𝑆𝑅=𝑆𝑆𝑅/𝑘</a:t>
              </a:r>
              <a:br>
                <a:rPr lang="en-US" sz="1200" i="1">
                  <a:solidFill>
                    <a:srgbClr val="000000"/>
                  </a:solidFill>
                  <a:latin typeface="Cambria Math" panose="02040503050406030204" pitchFamily="18" charset="0"/>
                </a:rPr>
              </a:br>
              <a:r>
                <a:rPr lang="en-US" sz="1200" i="0">
                  <a:solidFill>
                    <a:srgbClr val="000000"/>
                  </a:solidFill>
                  <a:latin typeface="Cambria Math" panose="02040503050406030204" pitchFamily="18" charset="0"/>
                </a:rPr>
                <a:t>𝑀𝑆𝐸=𝑆𝑆𝐸/(𝑛−𝑘−1)</a:t>
              </a:r>
              <a:endParaRPr lang="en-US" sz="1200"/>
            </a:p>
          </xdr:txBody>
        </xdr:sp>
      </mc:Fallback>
    </mc:AlternateContent>
    <xdr:clientData/>
  </xdr:twoCellAnchor>
  <xdr:twoCellAnchor editAs="oneCell">
    <xdr:from>
      <xdr:col>13</xdr:col>
      <xdr:colOff>518160</xdr:colOff>
      <xdr:row>77</xdr:row>
      <xdr:rowOff>15240</xdr:rowOff>
    </xdr:from>
    <xdr:to>
      <xdr:col>20</xdr:col>
      <xdr:colOff>365760</xdr:colOff>
      <xdr:row>92</xdr:row>
      <xdr:rowOff>7620</xdr:rowOff>
    </xdr:to>
    <xdr:pic>
      <xdr:nvPicPr>
        <xdr:cNvPr id="3" name="Picture 2" descr="Effects Pareto for Score">
          <a:extLst>
            <a:ext uri="{FF2B5EF4-FFF2-40B4-BE49-F238E27FC236}">
              <a16:creationId xmlns:a16="http://schemas.microsoft.com/office/drawing/2014/main" id="{1D6076C9-5B8F-4674-A46C-65F64C3B71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1620" y="16184880"/>
          <a:ext cx="4114800" cy="274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97</xdr:row>
      <xdr:rowOff>0</xdr:rowOff>
    </xdr:from>
    <xdr:to>
      <xdr:col>22</xdr:col>
      <xdr:colOff>0</xdr:colOff>
      <xdr:row>116</xdr:row>
      <xdr:rowOff>175260</xdr:rowOff>
    </xdr:to>
    <xdr:pic>
      <xdr:nvPicPr>
        <xdr:cNvPr id="4" name="Picture 3" descr="Residual Plots for Score">
          <a:extLst>
            <a:ext uri="{FF2B5EF4-FFF2-40B4-BE49-F238E27FC236}">
              <a16:creationId xmlns:a16="http://schemas.microsoft.com/office/drawing/2014/main" id="{AACF791A-CDAD-4E64-9FEC-FB1846E4AA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33460" y="1984248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586740</xdr:colOff>
      <xdr:row>31</xdr:row>
      <xdr:rowOff>106680</xdr:rowOff>
    </xdr:from>
    <xdr:to>
      <xdr:col>30</xdr:col>
      <xdr:colOff>487680</xdr:colOff>
      <xdr:row>44</xdr:row>
      <xdr:rowOff>78740</xdr:rowOff>
    </xdr:to>
    <xdr:pic>
      <xdr:nvPicPr>
        <xdr:cNvPr id="5" name="Picture 4" descr="Effects Pareto for Score">
          <a:extLst>
            <a:ext uri="{FF2B5EF4-FFF2-40B4-BE49-F238E27FC236}">
              <a16:creationId xmlns:a16="http://schemas.microsoft.com/office/drawing/2014/main" id="{3F52180E-8D7B-4B68-8CFD-86870F46D0A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25800" y="7719060"/>
          <a:ext cx="3558540" cy="2372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45720</xdr:colOff>
      <xdr:row>21</xdr:row>
      <xdr:rowOff>116840</xdr:rowOff>
    </xdr:from>
    <xdr:to>
      <xdr:col>26</xdr:col>
      <xdr:colOff>45720</xdr:colOff>
      <xdr:row>31</xdr:row>
      <xdr:rowOff>91440</xdr:rowOff>
    </xdr:to>
    <xdr:pic>
      <xdr:nvPicPr>
        <xdr:cNvPr id="6" name="Picture 5" descr="Residual Plots for Score">
          <a:extLst>
            <a:ext uri="{FF2B5EF4-FFF2-40B4-BE49-F238E27FC236}">
              <a16:creationId xmlns:a16="http://schemas.microsoft.com/office/drawing/2014/main" id="{C34E02FF-6478-4732-8236-517D2953244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55980" y="5671820"/>
          <a:ext cx="3048000" cy="203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77</xdr:row>
      <xdr:rowOff>0</xdr:rowOff>
    </xdr:from>
    <xdr:to>
      <xdr:col>23</xdr:col>
      <xdr:colOff>0</xdr:colOff>
      <xdr:row>96</xdr:row>
      <xdr:rowOff>175260</xdr:rowOff>
    </xdr:to>
    <xdr:pic>
      <xdr:nvPicPr>
        <xdr:cNvPr id="7" name="Picture 6" descr="Effects Pareto for Score">
          <a:extLst>
            <a:ext uri="{FF2B5EF4-FFF2-40B4-BE49-F238E27FC236}">
              <a16:creationId xmlns:a16="http://schemas.microsoft.com/office/drawing/2014/main" id="{C241467C-B39A-42C6-95E4-D95DDD77E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43060" y="1621536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518160</xdr:colOff>
      <xdr:row>37</xdr:row>
      <xdr:rowOff>135908</xdr:rowOff>
    </xdr:from>
    <xdr:to>
      <xdr:col>24</xdr:col>
      <xdr:colOff>582930</xdr:colOff>
      <xdr:row>53</xdr:row>
      <xdr:rowOff>90169</xdr:rowOff>
    </xdr:to>
    <xdr:pic>
      <xdr:nvPicPr>
        <xdr:cNvPr id="8" name="Picture 7">
          <a:extLst>
            <a:ext uri="{FF2B5EF4-FFF2-40B4-BE49-F238E27FC236}">
              <a16:creationId xmlns:a16="http://schemas.microsoft.com/office/drawing/2014/main" id="{39E43CB2-32F0-45AA-AC1D-C74079622347}"/>
            </a:ext>
          </a:extLst>
        </xdr:cNvPr>
        <xdr:cNvPicPr>
          <a:picLocks noChangeAspect="1"/>
        </xdr:cNvPicPr>
      </xdr:nvPicPr>
      <xdr:blipFill>
        <a:blip xmlns:r="http://schemas.openxmlformats.org/officeDocument/2006/relationships" r:embed="rId5"/>
        <a:stretch>
          <a:fillRect/>
        </a:stretch>
      </xdr:blipFill>
      <xdr:spPr>
        <a:xfrm>
          <a:off x="11590020" y="8868428"/>
          <a:ext cx="4331970" cy="290320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150495</xdr:colOff>
      <xdr:row>10</xdr:row>
      <xdr:rowOff>152400</xdr:rowOff>
    </xdr:to>
    <xdr:pic>
      <xdr:nvPicPr>
        <xdr:cNvPr id="2" name="Picture 1">
          <a:extLst>
            <a:ext uri="{FF2B5EF4-FFF2-40B4-BE49-F238E27FC236}">
              <a16:creationId xmlns:a16="http://schemas.microsoft.com/office/drawing/2014/main" id="{DB0F67E3-97AB-4192-A97B-6CD57286487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428625"/>
          <a:ext cx="3762375" cy="167640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45720</xdr:colOff>
      <xdr:row>44</xdr:row>
      <xdr:rowOff>121920</xdr:rowOff>
    </xdr:from>
    <xdr:to>
      <xdr:col>9</xdr:col>
      <xdr:colOff>251460</xdr:colOff>
      <xdr:row>58</xdr:row>
      <xdr:rowOff>106680</xdr:rowOff>
    </xdr:to>
    <xdr:graphicFrame macro="">
      <xdr:nvGraphicFramePr>
        <xdr:cNvPr id="2" name="Chart 1">
          <a:extLst>
            <a:ext uri="{FF2B5EF4-FFF2-40B4-BE49-F238E27FC236}">
              <a16:creationId xmlns:a16="http://schemas.microsoft.com/office/drawing/2014/main" id="{354D9B18-9E96-4049-A596-FCB96E18F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388620</xdr:colOff>
      <xdr:row>44</xdr:row>
      <xdr:rowOff>99060</xdr:rowOff>
    </xdr:from>
    <xdr:to>
      <xdr:col>15</xdr:col>
      <xdr:colOff>60960</xdr:colOff>
      <xdr:row>58</xdr:row>
      <xdr:rowOff>121920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EC40B33-304D-4FA8-A4F8-267D8C7C00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26480" y="9014460"/>
              <a:ext cx="3863340" cy="25831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585052</xdr:colOff>
      <xdr:row>59</xdr:row>
      <xdr:rowOff>60960</xdr:rowOff>
    </xdr:from>
    <xdr:to>
      <xdr:col>15</xdr:col>
      <xdr:colOff>68252</xdr:colOff>
      <xdr:row>72</xdr:row>
      <xdr:rowOff>130266</xdr:rowOff>
    </xdr:to>
    <xdr:pic>
      <xdr:nvPicPr>
        <xdr:cNvPr id="4" name="Picture 3">
          <a:extLst>
            <a:ext uri="{FF2B5EF4-FFF2-40B4-BE49-F238E27FC236}">
              <a16:creationId xmlns:a16="http://schemas.microsoft.com/office/drawing/2014/main" id="{5638B2E3-1EB2-4632-918D-54CD808919E1}"/>
            </a:ext>
          </a:extLst>
        </xdr:cNvPr>
        <xdr:cNvPicPr>
          <a:picLocks noChangeAspect="1"/>
        </xdr:cNvPicPr>
      </xdr:nvPicPr>
      <xdr:blipFill>
        <a:blip xmlns:r="http://schemas.openxmlformats.org/officeDocument/2006/relationships" r:embed="rId3"/>
        <a:stretch>
          <a:fillRect/>
        </a:stretch>
      </xdr:blipFill>
      <xdr:spPr>
        <a:xfrm>
          <a:off x="6322912" y="11719560"/>
          <a:ext cx="3674200" cy="2446746"/>
        </a:xfrm>
        <a:prstGeom prst="rect">
          <a:avLst/>
        </a:prstGeom>
      </xdr:spPr>
    </xdr:pic>
    <xdr:clientData/>
  </xdr:twoCellAnchor>
  <xdr:twoCellAnchor editAs="oneCell">
    <xdr:from>
      <xdr:col>3</xdr:col>
      <xdr:colOff>257404</xdr:colOff>
      <xdr:row>59</xdr:row>
      <xdr:rowOff>133018</xdr:rowOff>
    </xdr:from>
    <xdr:to>
      <xdr:col>9</xdr:col>
      <xdr:colOff>300841</xdr:colOff>
      <xdr:row>73</xdr:row>
      <xdr:rowOff>40783</xdr:rowOff>
    </xdr:to>
    <xdr:pic>
      <xdr:nvPicPr>
        <xdr:cNvPr id="5" name="Picture 4">
          <a:extLst>
            <a:ext uri="{FF2B5EF4-FFF2-40B4-BE49-F238E27FC236}">
              <a16:creationId xmlns:a16="http://schemas.microsoft.com/office/drawing/2014/main" id="{CDA916D8-F0F2-4DA7-BFDD-9025F2993D00}"/>
            </a:ext>
          </a:extLst>
        </xdr:cNvPr>
        <xdr:cNvPicPr>
          <a:picLocks noChangeAspect="1"/>
        </xdr:cNvPicPr>
      </xdr:nvPicPr>
      <xdr:blipFill>
        <a:blip xmlns:r="http://schemas.openxmlformats.org/officeDocument/2006/relationships" r:embed="rId4"/>
        <a:stretch>
          <a:fillRect/>
        </a:stretch>
      </xdr:blipFill>
      <xdr:spPr>
        <a:xfrm>
          <a:off x="2002384" y="11791618"/>
          <a:ext cx="4036317" cy="24680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236221</xdr:colOff>
      <xdr:row>29</xdr:row>
      <xdr:rowOff>83820</xdr:rowOff>
    </xdr:from>
    <xdr:to>
      <xdr:col>4</xdr:col>
      <xdr:colOff>769621</xdr:colOff>
      <xdr:row>34</xdr:row>
      <xdr:rowOff>82942</xdr:rowOff>
    </xdr:to>
    <xdr:pic>
      <xdr:nvPicPr>
        <xdr:cNvPr id="2" name="Picture 1">
          <a:extLst>
            <a:ext uri="{FF2B5EF4-FFF2-40B4-BE49-F238E27FC236}">
              <a16:creationId xmlns:a16="http://schemas.microsoft.com/office/drawing/2014/main" id="{C3A3EE5D-DBB4-4E12-BAC9-35B42BF93B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3021" y="8557260"/>
          <a:ext cx="2811780" cy="913522"/>
        </a:xfrm>
        <a:prstGeom prst="rect">
          <a:avLst/>
        </a:prstGeom>
        <a:solidFill>
          <a:sysClr val="window" lastClr="FFFFFF"/>
        </a:solidFill>
        <a:ln>
          <a:noFill/>
        </a:ln>
      </xdr:spPr>
    </xdr:pic>
    <xdr:clientData/>
  </xdr:twoCellAnchor>
  <xdr:twoCellAnchor editAs="oneCell">
    <xdr:from>
      <xdr:col>2</xdr:col>
      <xdr:colOff>0</xdr:colOff>
      <xdr:row>122</xdr:row>
      <xdr:rowOff>0</xdr:rowOff>
    </xdr:from>
    <xdr:to>
      <xdr:col>9</xdr:col>
      <xdr:colOff>129540</xdr:colOff>
      <xdr:row>141</xdr:row>
      <xdr:rowOff>175260</xdr:rowOff>
    </xdr:to>
    <xdr:pic>
      <xdr:nvPicPr>
        <xdr:cNvPr id="3" name="Picture 2" descr="Tukey Simultaneous 95% CIs">
          <a:extLst>
            <a:ext uri="{FF2B5EF4-FFF2-40B4-BE49-F238E27FC236}">
              <a16:creationId xmlns:a16="http://schemas.microsoft.com/office/drawing/2014/main" id="{E56DD50F-AF7B-4C56-BB07-5CD4663AE3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3520" y="2305812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160</xdr:row>
      <xdr:rowOff>0</xdr:rowOff>
    </xdr:from>
    <xdr:to>
      <xdr:col>9</xdr:col>
      <xdr:colOff>129540</xdr:colOff>
      <xdr:row>179</xdr:row>
      <xdr:rowOff>175260</xdr:rowOff>
    </xdr:to>
    <xdr:pic>
      <xdr:nvPicPr>
        <xdr:cNvPr id="4" name="Picture 3" descr="Fisher Individual 95% CIs">
          <a:extLst>
            <a:ext uri="{FF2B5EF4-FFF2-40B4-BE49-F238E27FC236}">
              <a16:creationId xmlns:a16="http://schemas.microsoft.com/office/drawing/2014/main" id="{8473FBCD-3FF6-4AD3-9D0E-79AA65F5A0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93520" y="3005328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9</xdr:col>
      <xdr:colOff>129540</xdr:colOff>
      <xdr:row>199</xdr:row>
      <xdr:rowOff>175260</xdr:rowOff>
    </xdr:to>
    <xdr:pic>
      <xdr:nvPicPr>
        <xdr:cNvPr id="5" name="Picture 4" descr="Interval Plot of 500degC, 525degC, ...">
          <a:extLst>
            <a:ext uri="{FF2B5EF4-FFF2-40B4-BE49-F238E27FC236}">
              <a16:creationId xmlns:a16="http://schemas.microsoft.com/office/drawing/2014/main" id="{3CA91562-13B7-4B1E-838A-58788B66201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93520" y="3372612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12</xdr:row>
      <xdr:rowOff>83820</xdr:rowOff>
    </xdr:from>
    <xdr:to>
      <xdr:col>9</xdr:col>
      <xdr:colOff>289560</xdr:colOff>
      <xdr:row>22</xdr:row>
      <xdr:rowOff>152400</xdr:rowOff>
    </xdr:to>
    <xdr:graphicFrame macro="">
      <xdr:nvGraphicFramePr>
        <xdr:cNvPr id="2" name="Chart 1">
          <a:extLst>
            <a:ext uri="{FF2B5EF4-FFF2-40B4-BE49-F238E27FC236}">
              <a16:creationId xmlns:a16="http://schemas.microsoft.com/office/drawing/2014/main" id="{E41D7F45-B496-48EC-92DB-CDA8DE3CD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22</xdr:row>
      <xdr:rowOff>182880</xdr:rowOff>
    </xdr:from>
    <xdr:to>
      <xdr:col>9</xdr:col>
      <xdr:colOff>289560</xdr:colOff>
      <xdr:row>37</xdr:row>
      <xdr:rowOff>167640</xdr:rowOff>
    </xdr:to>
    <xdr:graphicFrame macro="">
      <xdr:nvGraphicFramePr>
        <xdr:cNvPr id="3" name="Chart 2">
          <a:extLst>
            <a:ext uri="{FF2B5EF4-FFF2-40B4-BE49-F238E27FC236}">
              <a16:creationId xmlns:a16="http://schemas.microsoft.com/office/drawing/2014/main" id="{FF0DACE5-3BED-4DF7-956B-3D322FDC8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525780</xdr:colOff>
      <xdr:row>23</xdr:row>
      <xdr:rowOff>68580</xdr:rowOff>
    </xdr:from>
    <xdr:to>
      <xdr:col>16</xdr:col>
      <xdr:colOff>464820</xdr:colOff>
      <xdr:row>38</xdr:row>
      <xdr:rowOff>68580</xdr:rowOff>
    </xdr:to>
    <xdr:graphicFrame macro="">
      <xdr:nvGraphicFramePr>
        <xdr:cNvPr id="4" name="Chart 3">
          <a:extLst>
            <a:ext uri="{FF2B5EF4-FFF2-40B4-BE49-F238E27FC236}">
              <a16:creationId xmlns:a16="http://schemas.microsoft.com/office/drawing/2014/main" id="{3B883897-4AFB-4433-A24A-87841D864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335280</xdr:colOff>
      <xdr:row>75</xdr:row>
      <xdr:rowOff>152400</xdr:rowOff>
    </xdr:from>
    <xdr:to>
      <xdr:col>17</xdr:col>
      <xdr:colOff>381000</xdr:colOff>
      <xdr:row>89</xdr:row>
      <xdr:rowOff>139700</xdr:rowOff>
    </xdr:to>
    <xdr:pic>
      <xdr:nvPicPr>
        <xdr:cNvPr id="5" name="Picture 4" descr="Effects Pareto for Revenue">
          <a:extLst>
            <a:ext uri="{FF2B5EF4-FFF2-40B4-BE49-F238E27FC236}">
              <a16:creationId xmlns:a16="http://schemas.microsoft.com/office/drawing/2014/main" id="{8B6B46A0-E919-470B-AD23-24CF3AEB46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63840" y="16367760"/>
          <a:ext cx="3832860" cy="2555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495300</xdr:colOff>
      <xdr:row>89</xdr:row>
      <xdr:rowOff>83820</xdr:rowOff>
    </xdr:from>
    <xdr:to>
      <xdr:col>18</xdr:col>
      <xdr:colOff>163830</xdr:colOff>
      <xdr:row>106</xdr:row>
      <xdr:rowOff>76200</xdr:rowOff>
    </xdr:to>
    <xdr:pic>
      <xdr:nvPicPr>
        <xdr:cNvPr id="6" name="Picture 5" descr="Residual Plots for Revenue">
          <a:extLst>
            <a:ext uri="{FF2B5EF4-FFF2-40B4-BE49-F238E27FC236}">
              <a16:creationId xmlns:a16="http://schemas.microsoft.com/office/drawing/2014/main" id="{6962A7E3-6D77-4540-B273-7BF6E77EAC0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414260" y="18867120"/>
          <a:ext cx="4674870" cy="3116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167641</xdr:colOff>
      <xdr:row>110</xdr:row>
      <xdr:rowOff>107808</xdr:rowOff>
    </xdr:from>
    <xdr:to>
      <xdr:col>7</xdr:col>
      <xdr:colOff>323855</xdr:colOff>
      <xdr:row>125</xdr:row>
      <xdr:rowOff>123809</xdr:rowOff>
    </xdr:to>
    <xdr:pic>
      <xdr:nvPicPr>
        <xdr:cNvPr id="7" name="Picture 6">
          <a:extLst>
            <a:ext uri="{FF2B5EF4-FFF2-40B4-BE49-F238E27FC236}">
              <a16:creationId xmlns:a16="http://schemas.microsoft.com/office/drawing/2014/main" id="{836B7B03-4AEB-4115-AEF1-0517B34AF326}"/>
            </a:ext>
          </a:extLst>
        </xdr:cNvPr>
        <xdr:cNvPicPr>
          <a:picLocks noChangeAspect="1"/>
        </xdr:cNvPicPr>
      </xdr:nvPicPr>
      <xdr:blipFill>
        <a:blip xmlns:r="http://schemas.openxmlformats.org/officeDocument/2006/relationships" r:embed="rId6"/>
        <a:stretch>
          <a:fillRect/>
        </a:stretch>
      </xdr:blipFill>
      <xdr:spPr>
        <a:xfrm>
          <a:off x="777241" y="21466668"/>
          <a:ext cx="4027174" cy="2759201"/>
        </a:xfrm>
        <a:prstGeom prst="rect">
          <a:avLst/>
        </a:prstGeom>
      </xdr:spPr>
    </xdr:pic>
    <xdr:clientData/>
  </xdr:twoCellAnchor>
  <xdr:twoCellAnchor editAs="oneCell">
    <xdr:from>
      <xdr:col>7</xdr:col>
      <xdr:colOff>506307</xdr:colOff>
      <xdr:row>110</xdr:row>
      <xdr:rowOff>53340</xdr:rowOff>
    </xdr:from>
    <xdr:to>
      <xdr:col>14</xdr:col>
      <xdr:colOff>220980</xdr:colOff>
      <xdr:row>125</xdr:row>
      <xdr:rowOff>71439</xdr:rowOff>
    </xdr:to>
    <xdr:pic>
      <xdr:nvPicPr>
        <xdr:cNvPr id="8" name="Picture 7">
          <a:extLst>
            <a:ext uri="{FF2B5EF4-FFF2-40B4-BE49-F238E27FC236}">
              <a16:creationId xmlns:a16="http://schemas.microsoft.com/office/drawing/2014/main" id="{E4037773-3264-4577-B975-DEB188182C4E}"/>
            </a:ext>
          </a:extLst>
        </xdr:cNvPr>
        <xdr:cNvPicPr>
          <a:picLocks noChangeAspect="1"/>
        </xdr:cNvPicPr>
      </xdr:nvPicPr>
      <xdr:blipFill>
        <a:blip xmlns:r="http://schemas.openxmlformats.org/officeDocument/2006/relationships" r:embed="rId7"/>
        <a:stretch>
          <a:fillRect/>
        </a:stretch>
      </xdr:blipFill>
      <xdr:spPr>
        <a:xfrm>
          <a:off x="4986867" y="21412200"/>
          <a:ext cx="4027593" cy="27612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457200</xdr:colOff>
      <xdr:row>34</xdr:row>
      <xdr:rowOff>162560</xdr:rowOff>
    </xdr:to>
    <xdr:pic>
      <xdr:nvPicPr>
        <xdr:cNvPr id="2" name="Picture 1">
          <a:extLst>
            <a:ext uri="{FF2B5EF4-FFF2-40B4-BE49-F238E27FC236}">
              <a16:creationId xmlns:a16="http://schemas.microsoft.com/office/drawing/2014/main" id="{1FB09847-E14B-4D59-88D6-C4F6CC2971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943600" cy="669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55</xdr:row>
      <xdr:rowOff>152400</xdr:rowOff>
    </xdr:from>
    <xdr:to>
      <xdr:col>8</xdr:col>
      <xdr:colOff>106680</xdr:colOff>
      <xdr:row>71</xdr:row>
      <xdr:rowOff>25400</xdr:rowOff>
    </xdr:to>
    <xdr:pic>
      <xdr:nvPicPr>
        <xdr:cNvPr id="3" name="Picture 2" descr="Effects Pareto for Repairs">
          <a:extLst>
            <a:ext uri="{FF2B5EF4-FFF2-40B4-BE49-F238E27FC236}">
              <a16:creationId xmlns:a16="http://schemas.microsoft.com/office/drawing/2014/main" id="{63F3B3EB-CBD6-44EE-976E-E00024331E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 y="10355580"/>
          <a:ext cx="4221480" cy="2814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60960</xdr:rowOff>
    </xdr:from>
    <xdr:to>
      <xdr:col>9</xdr:col>
      <xdr:colOff>0</xdr:colOff>
      <xdr:row>91</xdr:row>
      <xdr:rowOff>45720</xdr:rowOff>
    </xdr:to>
    <xdr:pic>
      <xdr:nvPicPr>
        <xdr:cNvPr id="4" name="Picture 3" descr="Residual Plots for Repairs">
          <a:extLst>
            <a:ext uri="{FF2B5EF4-FFF2-40B4-BE49-F238E27FC236}">
              <a16:creationId xmlns:a16="http://schemas.microsoft.com/office/drawing/2014/main" id="{BC2F25F0-AF1B-46CE-8A90-0EE0BA843F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19784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457200</xdr:colOff>
      <xdr:row>26</xdr:row>
      <xdr:rowOff>68580</xdr:rowOff>
    </xdr:to>
    <xdr:pic>
      <xdr:nvPicPr>
        <xdr:cNvPr id="2" name="Picture 1">
          <a:extLst>
            <a:ext uri="{FF2B5EF4-FFF2-40B4-BE49-F238E27FC236}">
              <a16:creationId xmlns:a16="http://schemas.microsoft.com/office/drawing/2014/main" id="{D6ABAAD2-CE4A-46FB-836C-6D44DF3AA1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943600" cy="487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579120</xdr:colOff>
      <xdr:row>0</xdr:row>
      <xdr:rowOff>0</xdr:rowOff>
    </xdr:from>
    <xdr:to>
      <xdr:col>18</xdr:col>
      <xdr:colOff>274320</xdr:colOff>
      <xdr:row>15</xdr:row>
      <xdr:rowOff>15240</xdr:rowOff>
    </xdr:to>
    <xdr:graphicFrame macro="">
      <xdr:nvGraphicFramePr>
        <xdr:cNvPr id="4" name="Chart 3">
          <a:extLst>
            <a:ext uri="{FF2B5EF4-FFF2-40B4-BE49-F238E27FC236}">
              <a16:creationId xmlns:a16="http://schemas.microsoft.com/office/drawing/2014/main" id="{436A5B10-4B32-4FE8-BB6C-105131B37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457200</xdr:colOff>
      <xdr:row>25</xdr:row>
      <xdr:rowOff>154940</xdr:rowOff>
    </xdr:to>
    <xdr:pic>
      <xdr:nvPicPr>
        <xdr:cNvPr id="2" name="Picture 1">
          <a:extLst>
            <a:ext uri="{FF2B5EF4-FFF2-40B4-BE49-F238E27FC236}">
              <a16:creationId xmlns:a16="http://schemas.microsoft.com/office/drawing/2014/main" id="{204A65BD-2134-440D-9BF5-FAAF7F0FDF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943600" cy="509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30480</xdr:colOff>
      <xdr:row>27</xdr:row>
      <xdr:rowOff>53340</xdr:rowOff>
    </xdr:from>
    <xdr:to>
      <xdr:col>30</xdr:col>
      <xdr:colOff>30480</xdr:colOff>
      <xdr:row>47</xdr:row>
      <xdr:rowOff>30480</xdr:rowOff>
    </xdr:to>
    <xdr:pic>
      <xdr:nvPicPr>
        <xdr:cNvPr id="3" name="Picture 2" descr="Effects Pareto for MBA GPA">
          <a:extLst>
            <a:ext uri="{FF2B5EF4-FFF2-40B4-BE49-F238E27FC236}">
              <a16:creationId xmlns:a16="http://schemas.microsoft.com/office/drawing/2014/main" id="{3A50DABB-F461-411D-909F-AE37D3288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24460" y="514350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571500</xdr:colOff>
      <xdr:row>46</xdr:row>
      <xdr:rowOff>182880</xdr:rowOff>
    </xdr:from>
    <xdr:to>
      <xdr:col>29</xdr:col>
      <xdr:colOff>571500</xdr:colOff>
      <xdr:row>66</xdr:row>
      <xdr:rowOff>137160</xdr:rowOff>
    </xdr:to>
    <xdr:pic>
      <xdr:nvPicPr>
        <xdr:cNvPr id="4" name="Picture 3" descr="Residual Plots for MBA GPA">
          <a:extLst>
            <a:ext uri="{FF2B5EF4-FFF2-40B4-BE49-F238E27FC236}">
              <a16:creationId xmlns:a16="http://schemas.microsoft.com/office/drawing/2014/main" id="{46AC0741-FFD9-4B1A-97E3-1F985DA018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55880" y="877824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58</xdr:row>
      <xdr:rowOff>0</xdr:rowOff>
    </xdr:from>
    <xdr:to>
      <xdr:col>6</xdr:col>
      <xdr:colOff>281940</xdr:colOff>
      <xdr:row>73</xdr:row>
      <xdr:rowOff>38100</xdr:rowOff>
    </xdr:to>
    <xdr:pic>
      <xdr:nvPicPr>
        <xdr:cNvPr id="2" name="Picture 1" descr="Effects Pareto for Time">
          <a:extLst>
            <a:ext uri="{FF2B5EF4-FFF2-40B4-BE49-F238E27FC236}">
              <a16:creationId xmlns:a16="http://schemas.microsoft.com/office/drawing/2014/main" id="{02FAA884-CEAB-47F8-97D4-5159D82D1E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475720"/>
          <a:ext cx="4183380" cy="2788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7620</xdr:rowOff>
    </xdr:from>
    <xdr:to>
      <xdr:col>8</xdr:col>
      <xdr:colOff>365760</xdr:colOff>
      <xdr:row>92</xdr:row>
      <xdr:rowOff>175260</xdr:rowOff>
    </xdr:to>
    <xdr:pic>
      <xdr:nvPicPr>
        <xdr:cNvPr id="3" name="Picture 2" descr="Residual Plots for Time">
          <a:extLst>
            <a:ext uri="{FF2B5EF4-FFF2-40B4-BE49-F238E27FC236}">
              <a16:creationId xmlns:a16="http://schemas.microsoft.com/office/drawing/2014/main" id="{AE77DB2A-1180-4E37-92AD-3E5DA5583E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234160"/>
          <a:ext cx="54864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334484</xdr:colOff>
      <xdr:row>34</xdr:row>
      <xdr:rowOff>7620</xdr:rowOff>
    </xdr:from>
    <xdr:to>
      <xdr:col>13</xdr:col>
      <xdr:colOff>487680</xdr:colOff>
      <xdr:row>49</xdr:row>
      <xdr:rowOff>121920</xdr:rowOff>
    </xdr:to>
    <xdr:pic>
      <xdr:nvPicPr>
        <xdr:cNvPr id="6" name="Picture 5">
          <a:extLst>
            <a:ext uri="{FF2B5EF4-FFF2-40B4-BE49-F238E27FC236}">
              <a16:creationId xmlns:a16="http://schemas.microsoft.com/office/drawing/2014/main" id="{FAF5CD4A-B27B-4F1E-8E0C-C25B77C6BFF6}"/>
            </a:ext>
          </a:extLst>
        </xdr:cNvPr>
        <xdr:cNvPicPr>
          <a:picLocks noChangeAspect="1"/>
        </xdr:cNvPicPr>
      </xdr:nvPicPr>
      <xdr:blipFill>
        <a:blip xmlns:r="http://schemas.openxmlformats.org/officeDocument/2006/relationships" r:embed="rId3"/>
        <a:stretch>
          <a:fillRect/>
        </a:stretch>
      </xdr:blipFill>
      <xdr:spPr>
        <a:xfrm>
          <a:off x="4235924" y="6858000"/>
          <a:ext cx="5220496" cy="2964180"/>
        </a:xfrm>
        <a:prstGeom prst="rect">
          <a:avLst/>
        </a:prstGeom>
      </xdr:spPr>
    </xdr:pic>
    <xdr:clientData/>
  </xdr:twoCellAnchor>
  <xdr:twoCellAnchor editAs="oneCell">
    <xdr:from>
      <xdr:col>13</xdr:col>
      <xdr:colOff>510540</xdr:colOff>
      <xdr:row>34</xdr:row>
      <xdr:rowOff>20320</xdr:rowOff>
    </xdr:from>
    <xdr:to>
      <xdr:col>21</xdr:col>
      <xdr:colOff>152400</xdr:colOff>
      <xdr:row>50</xdr:row>
      <xdr:rowOff>0</xdr:rowOff>
    </xdr:to>
    <xdr:pic>
      <xdr:nvPicPr>
        <xdr:cNvPr id="7" name="Picture 6">
          <a:extLst>
            <a:ext uri="{FF2B5EF4-FFF2-40B4-BE49-F238E27FC236}">
              <a16:creationId xmlns:a16="http://schemas.microsoft.com/office/drawing/2014/main" id="{FAF10F55-A613-4FFC-8D5B-40BBE48EBDB0}"/>
            </a:ext>
          </a:extLst>
        </xdr:cNvPr>
        <xdr:cNvPicPr>
          <a:picLocks noChangeAspect="1"/>
        </xdr:cNvPicPr>
      </xdr:nvPicPr>
      <xdr:blipFill>
        <a:blip xmlns:r="http://schemas.openxmlformats.org/officeDocument/2006/relationships" r:embed="rId4"/>
        <a:stretch>
          <a:fillRect/>
        </a:stretch>
      </xdr:blipFill>
      <xdr:spPr>
        <a:xfrm>
          <a:off x="9479280" y="6870700"/>
          <a:ext cx="4518660" cy="30124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574675</xdr:colOff>
      <xdr:row>15</xdr:row>
      <xdr:rowOff>0</xdr:rowOff>
    </xdr:to>
    <xdr:pic>
      <xdr:nvPicPr>
        <xdr:cNvPr id="2" name="Picture 1">
          <a:extLst>
            <a:ext uri="{FF2B5EF4-FFF2-40B4-BE49-F238E27FC236}">
              <a16:creationId xmlns:a16="http://schemas.microsoft.com/office/drawing/2014/main" id="{12E8919E-2294-4C43-8CE3-9C61B5B3B9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061075" cy="2867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579120</xdr:colOff>
      <xdr:row>50</xdr:row>
      <xdr:rowOff>0</xdr:rowOff>
    </xdr:from>
    <xdr:to>
      <xdr:col>11</xdr:col>
      <xdr:colOff>388620</xdr:colOff>
      <xdr:row>62</xdr:row>
      <xdr:rowOff>160020</xdr:rowOff>
    </xdr:to>
    <xdr:pic>
      <xdr:nvPicPr>
        <xdr:cNvPr id="3" name="Picture 2" descr="Effects Pareto for Price">
          <a:extLst>
            <a:ext uri="{FF2B5EF4-FFF2-40B4-BE49-F238E27FC236}">
              <a16:creationId xmlns:a16="http://schemas.microsoft.com/office/drawing/2014/main" id="{DF5E0C38-C3FC-4CA3-947F-4C09C86D08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7120" y="9265920"/>
          <a:ext cx="3543300" cy="236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145</xdr:row>
      <xdr:rowOff>0</xdr:rowOff>
    </xdr:from>
    <xdr:to>
      <xdr:col>14</xdr:col>
      <xdr:colOff>121920</xdr:colOff>
      <xdr:row>163</xdr:row>
      <xdr:rowOff>83820</xdr:rowOff>
    </xdr:to>
    <xdr:pic>
      <xdr:nvPicPr>
        <xdr:cNvPr id="4" name="Picture 3" descr="Effects Pareto for Price">
          <a:extLst>
            <a:ext uri="{FF2B5EF4-FFF2-40B4-BE49-F238E27FC236}">
              <a16:creationId xmlns:a16="http://schemas.microsoft.com/office/drawing/2014/main" id="{715AA8E5-C169-4158-B17B-5A36F76DBD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67200" y="27028140"/>
          <a:ext cx="5074920" cy="3383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243840</xdr:colOff>
      <xdr:row>16</xdr:row>
      <xdr:rowOff>171450</xdr:rowOff>
    </xdr:to>
    <xdr:pic>
      <xdr:nvPicPr>
        <xdr:cNvPr id="2" name="Picture 1">
          <a:extLst>
            <a:ext uri="{FF2B5EF4-FFF2-40B4-BE49-F238E27FC236}">
              <a16:creationId xmlns:a16="http://schemas.microsoft.com/office/drawing/2014/main" id="{5C891B10-F096-4184-A822-19516F5355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9436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xdr:colOff>
      <xdr:row>40</xdr:row>
      <xdr:rowOff>175260</xdr:rowOff>
    </xdr:from>
    <xdr:to>
      <xdr:col>10</xdr:col>
      <xdr:colOff>811530</xdr:colOff>
      <xdr:row>55</xdr:row>
      <xdr:rowOff>129540</xdr:rowOff>
    </xdr:to>
    <xdr:pic>
      <xdr:nvPicPr>
        <xdr:cNvPr id="3" name="Picture 2" descr="Effects Pareto for Nicotine">
          <a:extLst>
            <a:ext uri="{FF2B5EF4-FFF2-40B4-BE49-F238E27FC236}">
              <a16:creationId xmlns:a16="http://schemas.microsoft.com/office/drawing/2014/main" id="{64E22A73-C691-43B2-B501-B5583B81C1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63240" y="7604760"/>
          <a:ext cx="4057650" cy="270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91</xdr:row>
      <xdr:rowOff>0</xdr:rowOff>
    </xdr:from>
    <xdr:to>
      <xdr:col>11</xdr:col>
      <xdr:colOff>304800</xdr:colOff>
      <xdr:row>107</xdr:row>
      <xdr:rowOff>170180</xdr:rowOff>
    </xdr:to>
    <xdr:pic>
      <xdr:nvPicPr>
        <xdr:cNvPr id="4" name="Picture 3" descr="Effects Pareto for Nicotine">
          <a:extLst>
            <a:ext uri="{FF2B5EF4-FFF2-40B4-BE49-F238E27FC236}">
              <a16:creationId xmlns:a16="http://schemas.microsoft.com/office/drawing/2014/main" id="{63CBCC2C-0831-4862-8B0E-1DFB670A16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0" y="16878300"/>
          <a:ext cx="4655820" cy="3103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261EF-1717-4E32-B044-0B61C1A123C0}">
  <dimension ref="A1:U116"/>
  <sheetViews>
    <sheetView topLeftCell="A54" workbookViewId="0">
      <selection activeCell="U35" sqref="U35"/>
    </sheetView>
  </sheetViews>
  <sheetFormatPr defaultRowHeight="14.4" x14ac:dyDescent="0.3"/>
  <cols>
    <col min="1" max="1" width="16.109375" customWidth="1"/>
    <col min="7" max="7" width="12" bestFit="1" customWidth="1"/>
  </cols>
  <sheetData>
    <row r="1" spans="1:18" s="2" customFormat="1" ht="25.8" x14ac:dyDescent="0.5">
      <c r="A1" s="1" t="s">
        <v>144</v>
      </c>
    </row>
    <row r="2" spans="1:18" s="2" customFormat="1" ht="25.8" x14ac:dyDescent="0.5">
      <c r="A2" s="1" t="s">
        <v>0</v>
      </c>
    </row>
    <row r="3" spans="1:18" s="2" customFormat="1" ht="25.8" x14ac:dyDescent="0.5">
      <c r="A3" s="1" t="s">
        <v>1</v>
      </c>
    </row>
    <row r="4" spans="1:18" s="2" customFormat="1" ht="25.8" x14ac:dyDescent="0.5">
      <c r="A4" s="1" t="s">
        <v>2</v>
      </c>
    </row>
    <row r="5" spans="1:18" s="2" customFormat="1" ht="25.8" x14ac:dyDescent="0.5">
      <c r="A5" s="1" t="s">
        <v>3</v>
      </c>
    </row>
    <row r="6" spans="1:18" s="2" customFormat="1" ht="25.8" x14ac:dyDescent="0.5">
      <c r="A6" s="1" t="s">
        <v>4</v>
      </c>
    </row>
    <row r="7" spans="1:18" s="2" customFormat="1" ht="25.8" x14ac:dyDescent="0.5">
      <c r="A7" s="1" t="s">
        <v>5</v>
      </c>
    </row>
    <row r="8" spans="1:18" s="2" customFormat="1" ht="25.8" x14ac:dyDescent="0.5">
      <c r="A8" s="1" t="s">
        <v>6</v>
      </c>
    </row>
    <row r="9" spans="1:18" s="2" customFormat="1" ht="25.8" x14ac:dyDescent="0.5">
      <c r="A9" s="1" t="s">
        <v>7</v>
      </c>
    </row>
    <row r="10" spans="1:18" ht="25.8" x14ac:dyDescent="0.5">
      <c r="A10" s="2" t="s">
        <v>8</v>
      </c>
      <c r="B10" s="2"/>
      <c r="C10" s="2"/>
      <c r="D10" s="2"/>
      <c r="E10" s="2"/>
      <c r="F10" s="2"/>
      <c r="G10" s="2"/>
      <c r="H10" s="2"/>
      <c r="I10" s="2"/>
      <c r="J10" s="2"/>
    </row>
    <row r="11" spans="1:18" ht="15" thickBot="1" x14ac:dyDescent="0.35">
      <c r="P11" t="s">
        <v>244</v>
      </c>
    </row>
    <row r="12" spans="1:18" ht="16.2" thickBot="1" x14ac:dyDescent="0.35">
      <c r="A12" s="3" t="s">
        <v>9</v>
      </c>
      <c r="B12" s="4" t="s">
        <v>10</v>
      </c>
      <c r="C12" s="4" t="s">
        <v>11</v>
      </c>
      <c r="D12" s="4" t="s">
        <v>12</v>
      </c>
      <c r="E12" s="42" t="s">
        <v>170</v>
      </c>
      <c r="F12" t="s">
        <v>146</v>
      </c>
    </row>
    <row r="13" spans="1:18" ht="16.2" thickBot="1" x14ac:dyDescent="0.35">
      <c r="A13" s="5" t="s">
        <v>13</v>
      </c>
      <c r="B13" s="6">
        <v>10</v>
      </c>
      <c r="C13" s="6">
        <v>7</v>
      </c>
      <c r="D13" s="6">
        <v>70.7</v>
      </c>
      <c r="P13" t="s">
        <v>209</v>
      </c>
    </row>
    <row r="14" spans="1:18" ht="18.600000000000001" thickBot="1" x14ac:dyDescent="0.35">
      <c r="A14" s="5" t="s">
        <v>14</v>
      </c>
      <c r="B14" s="6">
        <v>10</v>
      </c>
      <c r="C14" s="6">
        <v>7</v>
      </c>
      <c r="D14" s="6">
        <v>68.5</v>
      </c>
      <c r="F14" s="41" t="s">
        <v>147</v>
      </c>
      <c r="G14" s="41"/>
      <c r="P14" s="44" t="s">
        <v>245</v>
      </c>
    </row>
    <row r="15" spans="1:18" ht="16.2" thickBot="1" x14ac:dyDescent="0.35">
      <c r="A15" s="5" t="s">
        <v>15</v>
      </c>
      <c r="B15" s="6">
        <v>6</v>
      </c>
      <c r="C15" s="6">
        <v>8</v>
      </c>
      <c r="D15" s="6">
        <v>65.5</v>
      </c>
      <c r="F15" s="38" t="s">
        <v>148</v>
      </c>
      <c r="G15" s="38">
        <v>0.65686067421295735</v>
      </c>
      <c r="P15" s="45" t="s">
        <v>211</v>
      </c>
    </row>
    <row r="16" spans="1:18" ht="16.2" thickBot="1" x14ac:dyDescent="0.35">
      <c r="A16" s="5" t="s">
        <v>16</v>
      </c>
      <c r="B16" s="6">
        <v>8</v>
      </c>
      <c r="C16" s="6">
        <v>6</v>
      </c>
      <c r="D16" s="6">
        <v>63.6</v>
      </c>
      <c r="F16" s="38" t="s">
        <v>149</v>
      </c>
      <c r="G16" s="38">
        <v>0.43146594532750088</v>
      </c>
      <c r="P16" s="46" t="s">
        <v>12</v>
      </c>
      <c r="Q16" s="46" t="s">
        <v>212</v>
      </c>
      <c r="R16" s="46" t="s">
        <v>246</v>
      </c>
    </row>
    <row r="17" spans="1:21" ht="16.2" thickBot="1" x14ac:dyDescent="0.35">
      <c r="A17" s="5" t="s">
        <v>17</v>
      </c>
      <c r="B17" s="6">
        <v>4</v>
      </c>
      <c r="C17" s="6">
        <v>8</v>
      </c>
      <c r="D17" s="6">
        <v>62.5</v>
      </c>
      <c r="F17" s="38" t="s">
        <v>150</v>
      </c>
      <c r="G17" s="38">
        <v>0.39988072006791753</v>
      </c>
      <c r="P17" s="45" t="s">
        <v>163</v>
      </c>
    </row>
    <row r="18" spans="1:21" ht="16.2" thickBot="1" x14ac:dyDescent="0.35">
      <c r="A18" s="5" t="s">
        <v>18</v>
      </c>
      <c r="B18" s="6">
        <v>0</v>
      </c>
      <c r="C18" s="6">
        <v>10</v>
      </c>
      <c r="D18" s="6">
        <v>61.9</v>
      </c>
      <c r="F18" s="38" t="s">
        <v>151</v>
      </c>
      <c r="G18" s="38">
        <v>6.3390080955053074</v>
      </c>
      <c r="P18" s="47" t="s">
        <v>214</v>
      </c>
      <c r="Q18" s="48" t="s">
        <v>215</v>
      </c>
      <c r="R18" s="48" t="s">
        <v>216</v>
      </c>
      <c r="S18" s="48" t="s">
        <v>217</v>
      </c>
      <c r="T18" s="48" t="s">
        <v>218</v>
      </c>
      <c r="U18" s="48" t="s">
        <v>219</v>
      </c>
    </row>
    <row r="19" spans="1:21" ht="16.2" thickBot="1" x14ac:dyDescent="0.35">
      <c r="A19" s="5" t="s">
        <v>19</v>
      </c>
      <c r="B19" s="6">
        <v>2</v>
      </c>
      <c r="C19" s="6">
        <v>6</v>
      </c>
      <c r="D19" s="6">
        <v>60.7</v>
      </c>
      <c r="F19" s="39" t="s">
        <v>152</v>
      </c>
      <c r="G19" s="39">
        <v>20</v>
      </c>
      <c r="P19" s="46" t="s">
        <v>220</v>
      </c>
      <c r="Q19" s="104">
        <v>50.61</v>
      </c>
      <c r="R19" s="49">
        <v>2.06</v>
      </c>
      <c r="S19" s="49">
        <v>24.52</v>
      </c>
      <c r="T19" s="49">
        <v>0</v>
      </c>
      <c r="U19" s="50"/>
    </row>
    <row r="20" spans="1:21" ht="16.2" thickBot="1" x14ac:dyDescent="0.35">
      <c r="A20" s="5" t="s">
        <v>20</v>
      </c>
      <c r="B20" s="6">
        <v>4</v>
      </c>
      <c r="C20" s="6">
        <v>5</v>
      </c>
      <c r="D20" s="6">
        <v>60.3</v>
      </c>
      <c r="P20" s="46" t="s">
        <v>10</v>
      </c>
      <c r="Q20" s="104">
        <v>1.5620000000000001</v>
      </c>
      <c r="R20" s="104">
        <v>0.42299999999999999</v>
      </c>
      <c r="S20" s="120">
        <v>3.7</v>
      </c>
      <c r="T20" s="120">
        <v>2E-3</v>
      </c>
      <c r="U20" s="49">
        <v>1</v>
      </c>
    </row>
    <row r="21" spans="1:21" ht="16.2" thickBot="1" x14ac:dyDescent="0.35">
      <c r="A21" s="5" t="s">
        <v>21</v>
      </c>
      <c r="B21" s="6">
        <v>2</v>
      </c>
      <c r="C21" s="6">
        <v>7</v>
      </c>
      <c r="D21" s="6">
        <v>57</v>
      </c>
      <c r="F21" t="s">
        <v>153</v>
      </c>
      <c r="P21" s="45" t="s">
        <v>221</v>
      </c>
    </row>
    <row r="22" spans="1:21" ht="16.2" thickBot="1" x14ac:dyDescent="0.35">
      <c r="A22" s="5" t="s">
        <v>22</v>
      </c>
      <c r="B22" s="6">
        <v>6</v>
      </c>
      <c r="C22" s="6">
        <v>5</v>
      </c>
      <c r="D22" s="6">
        <v>56.5</v>
      </c>
      <c r="F22" s="40"/>
      <c r="G22" s="40" t="s">
        <v>158</v>
      </c>
      <c r="H22" s="40" t="s">
        <v>159</v>
      </c>
      <c r="I22" s="40" t="s">
        <v>160</v>
      </c>
      <c r="J22" s="40" t="s">
        <v>161</v>
      </c>
      <c r="K22" s="40" t="s">
        <v>162</v>
      </c>
      <c r="P22" s="48" t="s">
        <v>222</v>
      </c>
      <c r="Q22" s="48" t="s">
        <v>223</v>
      </c>
      <c r="R22" s="48" t="s">
        <v>224</v>
      </c>
      <c r="S22" s="48" t="s">
        <v>225</v>
      </c>
    </row>
    <row r="23" spans="1:21" ht="16.2" thickBot="1" x14ac:dyDescent="0.35">
      <c r="A23" s="5" t="s">
        <v>23</v>
      </c>
      <c r="B23" s="6">
        <v>0</v>
      </c>
      <c r="C23" s="6">
        <v>7</v>
      </c>
      <c r="D23" s="6">
        <v>56.2</v>
      </c>
      <c r="F23" s="38" t="s">
        <v>154</v>
      </c>
      <c r="G23" s="38">
        <v>1</v>
      </c>
      <c r="H23" s="38">
        <v>548.9150745721272</v>
      </c>
      <c r="I23" s="38">
        <v>548.9150745721272</v>
      </c>
      <c r="J23" s="38">
        <v>13.660372588179962</v>
      </c>
      <c r="K23" s="38">
        <v>1.6533440647294023E-3</v>
      </c>
      <c r="P23" s="49">
        <v>6.33901</v>
      </c>
      <c r="Q23" s="51">
        <v>0.43149999999999999</v>
      </c>
      <c r="R23" s="51">
        <v>0.39989999999999998</v>
      </c>
      <c r="S23" s="51">
        <v>0.30249999999999999</v>
      </c>
    </row>
    <row r="24" spans="1:21" ht="16.2" thickBot="1" x14ac:dyDescent="0.35">
      <c r="A24" s="5" t="s">
        <v>24</v>
      </c>
      <c r="B24" s="6">
        <v>0</v>
      </c>
      <c r="C24" s="6">
        <v>8</v>
      </c>
      <c r="D24" s="6">
        <v>55.7</v>
      </c>
      <c r="F24" s="38" t="s">
        <v>155</v>
      </c>
      <c r="G24" s="38">
        <v>18</v>
      </c>
      <c r="H24" s="38">
        <v>723.29442542787274</v>
      </c>
      <c r="I24" s="38">
        <v>40.18302363488182</v>
      </c>
      <c r="J24" s="38"/>
      <c r="K24" s="38"/>
      <c r="P24" s="45" t="s">
        <v>226</v>
      </c>
    </row>
    <row r="25" spans="1:21" ht="16.2" thickBot="1" x14ac:dyDescent="0.35">
      <c r="A25" s="5" t="s">
        <v>25</v>
      </c>
      <c r="B25" s="6">
        <v>8</v>
      </c>
      <c r="C25" s="6">
        <v>2</v>
      </c>
      <c r="D25" s="6">
        <v>54.6</v>
      </c>
      <c r="F25" s="39" t="s">
        <v>156</v>
      </c>
      <c r="G25" s="39">
        <v>19</v>
      </c>
      <c r="H25" s="39">
        <v>1272.2094999999999</v>
      </c>
      <c r="I25" s="39"/>
      <c r="J25" s="39"/>
      <c r="K25" s="39"/>
      <c r="P25" s="47" t="s">
        <v>227</v>
      </c>
      <c r="Q25" s="48" t="s">
        <v>228</v>
      </c>
      <c r="R25" s="48" t="s">
        <v>229</v>
      </c>
      <c r="S25" s="48" t="s">
        <v>230</v>
      </c>
      <c r="T25" s="48" t="s">
        <v>231</v>
      </c>
      <c r="U25" s="48" t="s">
        <v>218</v>
      </c>
    </row>
    <row r="26" spans="1:21" ht="16.2" thickBot="1" x14ac:dyDescent="0.35">
      <c r="A26" s="5" t="s">
        <v>26</v>
      </c>
      <c r="B26" s="6">
        <v>2</v>
      </c>
      <c r="C26" s="6">
        <v>7</v>
      </c>
      <c r="D26" s="6">
        <v>50.9</v>
      </c>
      <c r="P26" s="46" t="s">
        <v>154</v>
      </c>
      <c r="Q26" s="49">
        <v>1</v>
      </c>
      <c r="R26" s="49">
        <v>548.91999999999996</v>
      </c>
      <c r="S26" s="49">
        <v>548.91999999999996</v>
      </c>
      <c r="T26" s="49">
        <v>13.66</v>
      </c>
      <c r="U26" s="49">
        <v>2E-3</v>
      </c>
    </row>
    <row r="27" spans="1:21" ht="16.2" thickBot="1" x14ac:dyDescent="0.35">
      <c r="A27" s="5" t="s">
        <v>27</v>
      </c>
      <c r="B27" s="6">
        <v>1</v>
      </c>
      <c r="C27" s="6">
        <v>6</v>
      </c>
      <c r="D27" s="6">
        <v>49.6</v>
      </c>
      <c r="F27" s="40"/>
      <c r="G27" s="40" t="s">
        <v>163</v>
      </c>
      <c r="H27" s="40" t="s">
        <v>151</v>
      </c>
      <c r="I27" s="40" t="s">
        <v>164</v>
      </c>
      <c r="J27" s="40" t="s">
        <v>165</v>
      </c>
      <c r="K27" s="40" t="s">
        <v>166</v>
      </c>
      <c r="L27" s="40" t="s">
        <v>167</v>
      </c>
      <c r="M27" s="40" t="s">
        <v>168</v>
      </c>
      <c r="N27" s="40" t="s">
        <v>169</v>
      </c>
      <c r="P27" s="46" t="s">
        <v>233</v>
      </c>
      <c r="Q27" s="49">
        <v>1</v>
      </c>
      <c r="R27" s="49">
        <v>548.91999999999996</v>
      </c>
      <c r="S27" s="49">
        <v>548.91999999999996</v>
      </c>
      <c r="T27" s="49">
        <v>13.66</v>
      </c>
      <c r="U27" s="49">
        <v>2E-3</v>
      </c>
    </row>
    <row r="28" spans="1:21" ht="16.2" thickBot="1" x14ac:dyDescent="0.35">
      <c r="A28" s="5" t="s">
        <v>28</v>
      </c>
      <c r="B28" s="6">
        <v>4</v>
      </c>
      <c r="C28" s="6">
        <v>2</v>
      </c>
      <c r="D28" s="6">
        <v>49.1</v>
      </c>
      <c r="F28" s="38" t="s">
        <v>157</v>
      </c>
      <c r="G28" s="93">
        <v>50.609535452322746</v>
      </c>
      <c r="H28" s="38">
        <v>2.0640608637175926</v>
      </c>
      <c r="I28" s="38">
        <v>24.519400731802843</v>
      </c>
      <c r="J28" s="38">
        <v>2.7861253472529321E-15</v>
      </c>
      <c r="K28" s="38">
        <v>46.273104491339502</v>
      </c>
      <c r="L28" s="38">
        <v>54.945966413305989</v>
      </c>
      <c r="M28" s="38">
        <v>46.273104491339502</v>
      </c>
      <c r="N28" s="38">
        <v>54.945966413305989</v>
      </c>
      <c r="P28" s="46" t="s">
        <v>234</v>
      </c>
      <c r="Q28" s="49">
        <v>18</v>
      </c>
      <c r="R28" s="49">
        <v>723.29</v>
      </c>
      <c r="S28" s="49">
        <v>40.18</v>
      </c>
      <c r="T28" s="50"/>
      <c r="U28" s="50"/>
    </row>
    <row r="29" spans="1:21" ht="16.2" thickBot="1" x14ac:dyDescent="0.35">
      <c r="A29" s="5" t="s">
        <v>29</v>
      </c>
      <c r="B29" s="6">
        <v>4</v>
      </c>
      <c r="C29" s="6">
        <v>4</v>
      </c>
      <c r="D29" s="6">
        <v>48.6</v>
      </c>
      <c r="F29" s="39" t="s">
        <v>10</v>
      </c>
      <c r="G29" s="94">
        <v>1.5621026894865526</v>
      </c>
      <c r="H29" s="94">
        <v>0.42264750314326138</v>
      </c>
      <c r="I29" s="94">
        <v>3.695994127184183</v>
      </c>
      <c r="J29" s="94">
        <v>1.6533440647293991E-3</v>
      </c>
      <c r="K29" s="39">
        <v>0.67415323488003154</v>
      </c>
      <c r="L29" s="39">
        <v>2.4500521440930738</v>
      </c>
      <c r="M29" s="39">
        <v>0.67415323488003154</v>
      </c>
      <c r="N29" s="39">
        <v>2.4500521440930738</v>
      </c>
      <c r="P29" s="46" t="s">
        <v>235</v>
      </c>
      <c r="Q29" s="49">
        <v>5</v>
      </c>
      <c r="R29" s="49">
        <v>94.05</v>
      </c>
      <c r="S29" s="49">
        <v>18.809999999999999</v>
      </c>
      <c r="T29" s="49">
        <v>0.39</v>
      </c>
      <c r="U29" s="49">
        <v>0.84799999999999998</v>
      </c>
    </row>
    <row r="30" spans="1:21" ht="16.2" thickBot="1" x14ac:dyDescent="0.35">
      <c r="A30" s="5" t="s">
        <v>30</v>
      </c>
      <c r="B30" s="6">
        <v>0</v>
      </c>
      <c r="C30" s="6">
        <v>7</v>
      </c>
      <c r="D30" s="6">
        <v>45.7</v>
      </c>
      <c r="P30" s="46" t="s">
        <v>236</v>
      </c>
      <c r="Q30" s="49">
        <v>13</v>
      </c>
      <c r="R30" s="49">
        <v>629.24</v>
      </c>
      <c r="S30" s="49">
        <v>48.4</v>
      </c>
      <c r="T30" s="50"/>
      <c r="U30" s="50"/>
    </row>
    <row r="31" spans="1:21" ht="16.2" thickBot="1" x14ac:dyDescent="0.35">
      <c r="A31" s="5" t="s">
        <v>31</v>
      </c>
      <c r="B31" s="6">
        <v>0</v>
      </c>
      <c r="C31" s="6">
        <v>5</v>
      </c>
      <c r="D31" s="6">
        <v>44.3</v>
      </c>
      <c r="F31" t="s">
        <v>174</v>
      </c>
      <c r="G31">
        <f>G28</f>
        <v>50.609535452322746</v>
      </c>
      <c r="P31" s="46" t="s">
        <v>156</v>
      </c>
      <c r="Q31" s="49">
        <v>19</v>
      </c>
      <c r="R31" s="49">
        <v>1272.21</v>
      </c>
      <c r="S31" s="50"/>
      <c r="T31" s="50"/>
      <c r="U31" s="50"/>
    </row>
    <row r="32" spans="1:21" ht="16.2" thickBot="1" x14ac:dyDescent="0.35">
      <c r="A32" s="5" t="s">
        <v>32</v>
      </c>
      <c r="B32" s="6">
        <v>0</v>
      </c>
      <c r="C32" s="6">
        <v>5</v>
      </c>
      <c r="D32" s="6">
        <v>41.2</v>
      </c>
      <c r="F32" t="s">
        <v>172</v>
      </c>
      <c r="G32">
        <f>G29</f>
        <v>1.5621026894865526</v>
      </c>
      <c r="S32" s="45"/>
    </row>
    <row r="33" spans="5:19" x14ac:dyDescent="0.3">
      <c r="F33" t="s">
        <v>173</v>
      </c>
      <c r="S33" s="26"/>
    </row>
    <row r="34" spans="5:19" x14ac:dyDescent="0.3">
      <c r="F34" s="43" t="s">
        <v>175</v>
      </c>
      <c r="G34" s="43"/>
      <c r="S34" s="26"/>
    </row>
    <row r="35" spans="5:19" x14ac:dyDescent="0.3">
      <c r="S35" s="26"/>
    </row>
    <row r="36" spans="5:19" x14ac:dyDescent="0.3">
      <c r="F36" s="13"/>
      <c r="G36" s="13" t="s">
        <v>176</v>
      </c>
      <c r="H36" s="13" t="s">
        <v>177</v>
      </c>
      <c r="I36" s="13" t="s">
        <v>178</v>
      </c>
      <c r="J36" s="13" t="s">
        <v>191</v>
      </c>
      <c r="K36" s="13"/>
      <c r="L36" s="13"/>
      <c r="M36" s="13"/>
      <c r="N36" s="13"/>
      <c r="O36" s="13"/>
      <c r="S36" s="26"/>
    </row>
    <row r="37" spans="5:19" x14ac:dyDescent="0.3">
      <c r="F37" s="13"/>
      <c r="G37" s="13" t="s">
        <v>179</v>
      </c>
      <c r="H37" s="13" t="s">
        <v>180</v>
      </c>
      <c r="I37" s="13" t="s">
        <v>181</v>
      </c>
      <c r="J37" s="13" t="s">
        <v>192</v>
      </c>
      <c r="K37" s="13"/>
      <c r="L37" s="13"/>
      <c r="M37" s="13"/>
      <c r="N37" s="13"/>
      <c r="O37" s="13"/>
      <c r="S37" s="26"/>
    </row>
    <row r="38" spans="5:19" x14ac:dyDescent="0.3">
      <c r="F38" s="13"/>
      <c r="G38" s="13" t="s">
        <v>182</v>
      </c>
      <c r="H38" s="13"/>
      <c r="I38" s="13"/>
      <c r="J38" s="13"/>
      <c r="K38" s="13"/>
      <c r="L38" s="13"/>
      <c r="M38" s="13"/>
      <c r="N38" s="13" t="s">
        <v>183</v>
      </c>
      <c r="O38" s="13"/>
      <c r="S38" s="26"/>
    </row>
    <row r="39" spans="5:19" x14ac:dyDescent="0.3">
      <c r="F39" s="13"/>
      <c r="G39" s="13"/>
      <c r="H39" s="13"/>
      <c r="I39" s="13"/>
      <c r="J39" s="13"/>
      <c r="K39" s="13"/>
      <c r="L39" s="13"/>
      <c r="M39" s="13"/>
      <c r="N39" s="13" t="s">
        <v>184</v>
      </c>
      <c r="O39" s="13"/>
      <c r="S39" s="26"/>
    </row>
    <row r="40" spans="5:19" x14ac:dyDescent="0.3">
      <c r="F40" s="103" t="s">
        <v>185</v>
      </c>
      <c r="G40" s="103">
        <f>G29/H29</f>
        <v>3.695994127184183</v>
      </c>
      <c r="H40" s="13"/>
      <c r="I40" s="13"/>
      <c r="J40" s="13"/>
      <c r="K40" s="13"/>
      <c r="L40" s="13"/>
      <c r="M40" s="13"/>
      <c r="N40" s="13" t="s">
        <v>186</v>
      </c>
      <c r="O40" s="13"/>
      <c r="S40" s="26"/>
    </row>
    <row r="41" spans="5:19" x14ac:dyDescent="0.3">
      <c r="F41" s="103" t="s">
        <v>187</v>
      </c>
      <c r="G41" s="103">
        <f>_xlfn.T.DIST.2T(G40,18)</f>
        <v>1.6533440647293991E-3</v>
      </c>
      <c r="I41" s="13"/>
      <c r="J41" s="13"/>
      <c r="K41" s="13"/>
      <c r="L41" s="13"/>
      <c r="M41" s="13"/>
      <c r="N41" s="13" t="s">
        <v>188</v>
      </c>
      <c r="O41" s="13"/>
      <c r="S41" s="26"/>
    </row>
    <row r="42" spans="5:19" x14ac:dyDescent="0.3">
      <c r="F42" s="13"/>
      <c r="G42" s="13" t="s">
        <v>193</v>
      </c>
      <c r="H42" s="13"/>
      <c r="I42" s="13"/>
      <c r="J42" s="13"/>
      <c r="K42" s="13"/>
      <c r="L42" s="13"/>
      <c r="M42" s="13"/>
      <c r="N42" s="13" t="s">
        <v>190</v>
      </c>
      <c r="O42" s="13"/>
      <c r="S42" s="26"/>
    </row>
    <row r="43" spans="5:19" x14ac:dyDescent="0.3">
      <c r="F43" s="13"/>
      <c r="G43" s="13" t="s">
        <v>194</v>
      </c>
      <c r="H43" s="13"/>
      <c r="I43" s="13"/>
      <c r="J43" s="13"/>
      <c r="K43" s="13"/>
      <c r="L43" s="13"/>
      <c r="M43" s="13"/>
      <c r="N43" s="13"/>
      <c r="O43" s="13"/>
      <c r="S43" s="26"/>
    </row>
    <row r="44" spans="5:19" x14ac:dyDescent="0.3">
      <c r="F44" s="13"/>
      <c r="G44" s="13" t="s">
        <v>195</v>
      </c>
      <c r="H44" s="13"/>
      <c r="I44" s="13"/>
      <c r="J44" s="13"/>
      <c r="K44" s="13"/>
      <c r="L44" s="13"/>
      <c r="M44" s="13"/>
      <c r="N44" s="13"/>
      <c r="O44" s="13"/>
      <c r="S44" s="26"/>
    </row>
    <row r="45" spans="5:19" x14ac:dyDescent="0.3">
      <c r="S45" s="26"/>
    </row>
    <row r="46" spans="5:19" x14ac:dyDescent="0.3">
      <c r="E46" t="s">
        <v>196</v>
      </c>
      <c r="F46" t="s">
        <v>198</v>
      </c>
      <c r="S46" s="26"/>
    </row>
    <row r="47" spans="5:19" x14ac:dyDescent="0.3">
      <c r="F47" s="142" t="s">
        <v>197</v>
      </c>
      <c r="G47" s="142"/>
      <c r="H47" s="142"/>
      <c r="I47" s="142"/>
      <c r="J47" s="142"/>
      <c r="K47" s="142"/>
      <c r="L47" s="142"/>
      <c r="M47" s="142"/>
      <c r="N47" s="142"/>
      <c r="O47" s="142"/>
      <c r="P47" s="142"/>
      <c r="Q47" s="142"/>
      <c r="R47" s="142"/>
      <c r="S47" s="26"/>
    </row>
    <row r="48" spans="5:19" x14ac:dyDescent="0.3">
      <c r="F48" s="142"/>
      <c r="G48" s="142"/>
      <c r="H48" s="142"/>
      <c r="I48" s="142"/>
      <c r="J48" s="142"/>
      <c r="K48" s="142"/>
      <c r="L48" s="142"/>
      <c r="M48" s="142"/>
      <c r="N48" s="142"/>
      <c r="O48" s="142"/>
      <c r="P48" s="142"/>
      <c r="Q48" s="142"/>
      <c r="R48" s="142"/>
      <c r="S48" s="26"/>
    </row>
    <row r="49" spans="5:20" x14ac:dyDescent="0.3">
      <c r="F49" s="142"/>
      <c r="G49" s="142"/>
      <c r="H49" s="142"/>
      <c r="I49" s="142"/>
      <c r="J49" s="142"/>
      <c r="K49" s="142"/>
      <c r="L49" s="142"/>
      <c r="M49" s="142"/>
      <c r="N49" s="142"/>
      <c r="O49" s="142"/>
      <c r="P49" s="142"/>
      <c r="Q49" s="142"/>
      <c r="R49" s="142"/>
      <c r="S49" s="26"/>
    </row>
    <row r="50" spans="5:20" x14ac:dyDescent="0.3">
      <c r="S50" s="26"/>
    </row>
    <row r="51" spans="5:20" ht="15" x14ac:dyDescent="0.3">
      <c r="E51" t="s">
        <v>199</v>
      </c>
      <c r="F51" t="s">
        <v>146</v>
      </c>
      <c r="O51" t="s">
        <v>208</v>
      </c>
      <c r="S51" s="45"/>
    </row>
    <row r="52" spans="5:20" ht="15.6" thickBot="1" x14ac:dyDescent="0.35">
      <c r="S52" s="45"/>
    </row>
    <row r="53" spans="5:20" x14ac:dyDescent="0.3">
      <c r="F53" s="41" t="s">
        <v>147</v>
      </c>
      <c r="G53" s="41"/>
    </row>
    <row r="54" spans="5:20" ht="18" x14ac:dyDescent="0.3">
      <c r="F54" s="38" t="s">
        <v>148</v>
      </c>
      <c r="G54" s="38">
        <v>0.89816338395484741</v>
      </c>
      <c r="O54" s="44" t="s">
        <v>210</v>
      </c>
    </row>
    <row r="55" spans="5:20" ht="15" x14ac:dyDescent="0.3">
      <c r="F55" s="38" t="s">
        <v>149</v>
      </c>
      <c r="G55" s="38">
        <v>0.80669746427722255</v>
      </c>
      <c r="O55" s="96" t="s">
        <v>211</v>
      </c>
    </row>
    <row r="56" spans="5:20" x14ac:dyDescent="0.3">
      <c r="F56" s="38" t="s">
        <v>150</v>
      </c>
      <c r="G56" s="38">
        <v>0.78395598948630763</v>
      </c>
      <c r="O56" s="46" t="s">
        <v>12</v>
      </c>
      <c r="P56" s="46" t="s">
        <v>212</v>
      </c>
      <c r="Q56" s="46" t="s">
        <v>213</v>
      </c>
    </row>
    <row r="57" spans="5:20" ht="15" x14ac:dyDescent="0.3">
      <c r="F57" s="38" t="s">
        <v>151</v>
      </c>
      <c r="G57" s="38">
        <v>3.803414273584496</v>
      </c>
      <c r="O57" s="96" t="s">
        <v>163</v>
      </c>
    </row>
    <row r="58" spans="5:20" ht="15" thickBot="1" x14ac:dyDescent="0.35">
      <c r="F58" s="39" t="s">
        <v>152</v>
      </c>
      <c r="G58" s="39">
        <v>20</v>
      </c>
      <c r="O58" s="97" t="s">
        <v>214</v>
      </c>
      <c r="P58" s="98" t="s">
        <v>215</v>
      </c>
      <c r="Q58" s="98" t="s">
        <v>216</v>
      </c>
      <c r="R58" s="98" t="s">
        <v>217</v>
      </c>
      <c r="S58" s="98" t="s">
        <v>218</v>
      </c>
      <c r="T58" s="98" t="s">
        <v>219</v>
      </c>
    </row>
    <row r="59" spans="5:20" x14ac:dyDescent="0.3">
      <c r="O59" s="46" t="s">
        <v>220</v>
      </c>
      <c r="P59" s="49">
        <v>33.479999999999997</v>
      </c>
      <c r="Q59" s="49">
        <v>3.23</v>
      </c>
      <c r="R59" s="49">
        <v>10.37</v>
      </c>
      <c r="S59" s="49">
        <v>0</v>
      </c>
      <c r="T59" s="50"/>
    </row>
    <row r="60" spans="5:20" ht="15" thickBot="1" x14ac:dyDescent="0.35">
      <c r="F60" t="s">
        <v>153</v>
      </c>
      <c r="O60" s="46" t="s">
        <v>11</v>
      </c>
      <c r="P60" s="105">
        <v>2.6110000000000002</v>
      </c>
      <c r="Q60" s="49">
        <v>0.45400000000000001</v>
      </c>
      <c r="R60" s="49">
        <v>5.74</v>
      </c>
      <c r="S60" s="49">
        <v>0</v>
      </c>
      <c r="T60" s="49">
        <v>1.05</v>
      </c>
    </row>
    <row r="61" spans="5:20" x14ac:dyDescent="0.3">
      <c r="F61" s="40"/>
      <c r="G61" s="40" t="s">
        <v>158</v>
      </c>
      <c r="H61" s="40" t="s">
        <v>159</v>
      </c>
      <c r="I61" s="40" t="s">
        <v>160</v>
      </c>
      <c r="J61" s="40" t="s">
        <v>161</v>
      </c>
      <c r="K61" s="40" t="s">
        <v>162</v>
      </c>
      <c r="O61" s="46" t="s">
        <v>10</v>
      </c>
      <c r="P61" s="105">
        <v>1.9</v>
      </c>
      <c r="Q61" s="49">
        <v>0.26</v>
      </c>
      <c r="R61" s="49">
        <v>7.3</v>
      </c>
      <c r="S61" s="49">
        <v>0</v>
      </c>
      <c r="T61" s="49">
        <v>1.05</v>
      </c>
    </row>
    <row r="62" spans="5:20" ht="15" x14ac:dyDescent="0.3">
      <c r="F62" s="38" t="s">
        <v>154</v>
      </c>
      <c r="G62" s="38">
        <v>2</v>
      </c>
      <c r="H62" s="38">
        <v>1026.2881776793931</v>
      </c>
      <c r="I62" s="93">
        <v>513.14408883969656</v>
      </c>
      <c r="J62" s="93">
        <v>35.472521975553263</v>
      </c>
      <c r="K62" s="118">
        <v>8.5707570444926011E-7</v>
      </c>
      <c r="O62" s="96" t="s">
        <v>221</v>
      </c>
    </row>
    <row r="63" spans="5:20" ht="15" thickBot="1" x14ac:dyDescent="0.35">
      <c r="F63" s="38" t="s">
        <v>155</v>
      </c>
      <c r="G63" s="38">
        <v>17</v>
      </c>
      <c r="H63" s="38">
        <v>245.92132232060678</v>
      </c>
      <c r="I63" s="93">
        <v>14.465960136506281</v>
      </c>
      <c r="J63" s="93"/>
      <c r="K63" s="93"/>
      <c r="O63" s="98" t="s">
        <v>222</v>
      </c>
      <c r="P63" s="98" t="s">
        <v>223</v>
      </c>
      <c r="Q63" s="98" t="s">
        <v>224</v>
      </c>
      <c r="R63" s="98" t="s">
        <v>225</v>
      </c>
    </row>
    <row r="64" spans="5:20" ht="15" thickBot="1" x14ac:dyDescent="0.35">
      <c r="F64" s="39" t="s">
        <v>156</v>
      </c>
      <c r="G64" s="39">
        <v>19</v>
      </c>
      <c r="H64" s="39">
        <v>1272.2094999999999</v>
      </c>
      <c r="I64" s="39"/>
      <c r="J64" s="39"/>
      <c r="K64" s="39"/>
      <c r="O64" s="49">
        <v>3.80341</v>
      </c>
      <c r="P64" s="51">
        <v>0.80669999999999997</v>
      </c>
      <c r="Q64" s="51">
        <v>0.78400000000000003</v>
      </c>
      <c r="R64" s="51">
        <v>0.75539999999999996</v>
      </c>
    </row>
    <row r="65" spans="6:20" ht="15.6" thickBot="1" x14ac:dyDescent="0.35">
      <c r="O65" s="96" t="s">
        <v>226</v>
      </c>
    </row>
    <row r="66" spans="6:20" ht="15" thickBot="1" x14ac:dyDescent="0.35">
      <c r="F66" s="40"/>
      <c r="G66" s="40" t="s">
        <v>163</v>
      </c>
      <c r="H66" s="40" t="s">
        <v>151</v>
      </c>
      <c r="I66" s="40" t="s">
        <v>164</v>
      </c>
      <c r="J66" s="40" t="s">
        <v>165</v>
      </c>
      <c r="K66" s="40" t="s">
        <v>166</v>
      </c>
      <c r="L66" s="40" t="s">
        <v>167</v>
      </c>
      <c r="M66" s="40" t="s">
        <v>168</v>
      </c>
      <c r="O66" s="97" t="s">
        <v>227</v>
      </c>
      <c r="P66" s="98" t="s">
        <v>228</v>
      </c>
      <c r="Q66" s="98" t="s">
        <v>229</v>
      </c>
      <c r="R66" s="98" t="s">
        <v>230</v>
      </c>
      <c r="S66" s="98" t="s">
        <v>231</v>
      </c>
      <c r="T66" s="98" t="s">
        <v>218</v>
      </c>
    </row>
    <row r="67" spans="6:20" x14ac:dyDescent="0.3">
      <c r="F67" s="38" t="s">
        <v>157</v>
      </c>
      <c r="G67" s="38">
        <v>33.484839252277141</v>
      </c>
      <c r="H67" s="38">
        <v>3.228052212990498</v>
      </c>
      <c r="I67" s="38">
        <v>10.373078575843873</v>
      </c>
      <c r="J67" s="38">
        <v>9.0266856430532862E-9</v>
      </c>
      <c r="K67" s="38">
        <v>26.674244407250477</v>
      </c>
      <c r="L67" s="38">
        <v>40.295434097303804</v>
      </c>
      <c r="M67" s="38">
        <v>26.674244407250477</v>
      </c>
      <c r="O67" s="46" t="s">
        <v>154</v>
      </c>
      <c r="P67" s="49">
        <v>2</v>
      </c>
      <c r="Q67" s="49">
        <v>1026.29</v>
      </c>
      <c r="R67" s="49">
        <v>513.14</v>
      </c>
      <c r="S67" s="86">
        <v>35.47</v>
      </c>
      <c r="T67" s="86">
        <v>0</v>
      </c>
    </row>
    <row r="68" spans="6:20" x14ac:dyDescent="0.3">
      <c r="F68" s="38" t="s">
        <v>10</v>
      </c>
      <c r="G68" s="118">
        <v>1.8998381414833854</v>
      </c>
      <c r="H68" s="38">
        <v>0.26031518381914098</v>
      </c>
      <c r="I68" s="38">
        <v>7.2982225378114505</v>
      </c>
      <c r="J68" s="38">
        <v>1.2445865162081796E-6</v>
      </c>
      <c r="K68" s="38">
        <v>1.3506211115152182</v>
      </c>
      <c r="L68" s="38">
        <v>2.4490551714515525</v>
      </c>
      <c r="M68" s="38">
        <v>1.3506211115152182</v>
      </c>
      <c r="O68" s="46" t="s">
        <v>232</v>
      </c>
      <c r="P68" s="49">
        <v>1</v>
      </c>
      <c r="Q68" s="49">
        <v>477.37</v>
      </c>
      <c r="R68" s="49">
        <v>477.37</v>
      </c>
      <c r="S68" s="49">
        <v>33</v>
      </c>
      <c r="T68" s="49">
        <v>0</v>
      </c>
    </row>
    <row r="69" spans="6:20" ht="15" thickBot="1" x14ac:dyDescent="0.35">
      <c r="F69" s="39" t="s">
        <v>11</v>
      </c>
      <c r="G69" s="119">
        <v>2.6107762861404673</v>
      </c>
      <c r="H69" s="39">
        <v>0.45447952092789312</v>
      </c>
      <c r="I69" s="39">
        <v>5.7445410979358256</v>
      </c>
      <c r="J69" s="39">
        <v>2.3824017566415764E-5</v>
      </c>
      <c r="K69" s="39">
        <v>1.6519083130805754</v>
      </c>
      <c r="L69" s="39">
        <v>3.5696442592003592</v>
      </c>
      <c r="M69" s="39">
        <v>1.6519083130805754</v>
      </c>
      <c r="O69" s="46" t="s">
        <v>233</v>
      </c>
      <c r="P69" s="49">
        <v>1</v>
      </c>
      <c r="Q69" s="49">
        <v>770.52</v>
      </c>
      <c r="R69" s="49">
        <v>770.52</v>
      </c>
      <c r="S69" s="49">
        <v>53.26</v>
      </c>
      <c r="T69" s="49">
        <v>0</v>
      </c>
    </row>
    <row r="70" spans="6:20" x14ac:dyDescent="0.3">
      <c r="F70" s="13" t="s">
        <v>174</v>
      </c>
      <c r="G70" s="13">
        <f>G67</f>
        <v>33.484839252277141</v>
      </c>
      <c r="O70" s="46" t="s">
        <v>234</v>
      </c>
      <c r="P70" s="49">
        <v>17</v>
      </c>
      <c r="Q70" s="49">
        <v>245.92</v>
      </c>
      <c r="R70" s="49">
        <v>14.47</v>
      </c>
      <c r="S70" s="50"/>
      <c r="T70" s="50"/>
    </row>
    <row r="71" spans="6:20" x14ac:dyDescent="0.3">
      <c r="F71" s="13" t="s">
        <v>172</v>
      </c>
      <c r="G71" s="13">
        <f>G68</f>
        <v>1.8998381414833854</v>
      </c>
      <c r="H71" s="13"/>
      <c r="I71" s="13"/>
      <c r="J71" s="13"/>
      <c r="K71" s="13"/>
      <c r="L71" s="13"/>
      <c r="M71" s="13"/>
      <c r="O71" s="46" t="s">
        <v>235</v>
      </c>
      <c r="P71" s="49">
        <v>13</v>
      </c>
      <c r="Q71" s="49">
        <v>164.97</v>
      </c>
      <c r="R71" s="49">
        <v>12.69</v>
      </c>
      <c r="S71" s="49">
        <v>0.63</v>
      </c>
      <c r="T71" s="49">
        <v>0.76600000000000001</v>
      </c>
    </row>
    <row r="72" spans="6:20" x14ac:dyDescent="0.3">
      <c r="F72" t="s">
        <v>200</v>
      </c>
      <c r="G72">
        <f>G69</f>
        <v>2.6107762861404673</v>
      </c>
      <c r="H72" s="13"/>
      <c r="I72" s="13"/>
      <c r="J72" s="13"/>
      <c r="K72" s="13"/>
      <c r="L72" s="13"/>
      <c r="M72" s="13"/>
      <c r="O72" s="46" t="s">
        <v>236</v>
      </c>
      <c r="P72" s="49">
        <v>4</v>
      </c>
      <c r="Q72" s="49">
        <v>80.95</v>
      </c>
      <c r="R72" s="49">
        <v>20.239999999999998</v>
      </c>
      <c r="S72" s="50"/>
      <c r="T72" s="50"/>
    </row>
    <row r="73" spans="6:20" x14ac:dyDescent="0.3">
      <c r="F73" s="13" t="s">
        <v>201</v>
      </c>
      <c r="G73" s="13"/>
      <c r="H73" s="13"/>
      <c r="I73" s="13"/>
      <c r="J73" s="13"/>
      <c r="K73" s="13"/>
      <c r="L73" s="13"/>
      <c r="M73" s="13"/>
      <c r="O73" s="46" t="s">
        <v>156</v>
      </c>
      <c r="P73" s="49">
        <v>19</v>
      </c>
      <c r="Q73" s="49">
        <v>1272.21</v>
      </c>
      <c r="R73" s="50"/>
      <c r="S73" s="50"/>
      <c r="T73" s="50"/>
    </row>
    <row r="74" spans="6:20" ht="15" x14ac:dyDescent="0.3">
      <c r="F74" s="43" t="s">
        <v>202</v>
      </c>
      <c r="G74" s="43"/>
      <c r="H74" s="13"/>
      <c r="I74" s="13"/>
      <c r="J74" s="13"/>
      <c r="K74" s="13"/>
      <c r="L74" s="13"/>
      <c r="M74" s="13"/>
      <c r="O74" s="96" t="s">
        <v>237</v>
      </c>
    </row>
    <row r="75" spans="6:20" ht="15" thickBot="1" x14ac:dyDescent="0.35">
      <c r="F75" s="13"/>
      <c r="G75" s="13"/>
      <c r="H75" s="13"/>
      <c r="I75" s="13"/>
      <c r="J75" s="13"/>
      <c r="K75" s="13"/>
      <c r="L75" s="13"/>
      <c r="M75" s="13"/>
      <c r="O75" s="98" t="s">
        <v>238</v>
      </c>
      <c r="P75" s="98" t="s">
        <v>12</v>
      </c>
      <c r="Q75" s="98" t="s">
        <v>239</v>
      </c>
      <c r="R75" s="98" t="s">
        <v>240</v>
      </c>
      <c r="S75" s="98" t="s">
        <v>241</v>
      </c>
      <c r="T75" s="97"/>
    </row>
    <row r="76" spans="6:20" x14ac:dyDescent="0.3">
      <c r="F76" s="13"/>
      <c r="G76" s="13" t="s">
        <v>176</v>
      </c>
      <c r="H76" s="13" t="s">
        <v>177</v>
      </c>
      <c r="I76" s="13" t="s">
        <v>178</v>
      </c>
      <c r="J76" s="13" t="s">
        <v>203</v>
      </c>
      <c r="K76" s="13"/>
      <c r="L76" s="13"/>
      <c r="M76" s="13"/>
      <c r="O76" s="49">
        <v>7</v>
      </c>
      <c r="P76" s="49">
        <v>60.7</v>
      </c>
      <c r="Q76" s="49">
        <v>52.95</v>
      </c>
      <c r="R76" s="49">
        <v>7.75</v>
      </c>
      <c r="S76" s="49">
        <v>2.1</v>
      </c>
      <c r="T76" s="46" t="s">
        <v>242</v>
      </c>
    </row>
    <row r="77" spans="6:20" x14ac:dyDescent="0.3">
      <c r="F77" s="13"/>
      <c r="G77" s="13" t="s">
        <v>179</v>
      </c>
      <c r="H77" s="13" t="s">
        <v>180</v>
      </c>
      <c r="I77" s="13" t="s">
        <v>181</v>
      </c>
      <c r="J77" s="13" t="s">
        <v>204</v>
      </c>
      <c r="K77" s="13"/>
      <c r="L77" s="13"/>
      <c r="M77" s="13"/>
      <c r="O77" t="s">
        <v>243</v>
      </c>
    </row>
    <row r="78" spans="6:20" ht="15" x14ac:dyDescent="0.3">
      <c r="F78" s="13"/>
      <c r="G78" s="13" t="s">
        <v>205</v>
      </c>
      <c r="H78" s="13"/>
      <c r="I78" s="13"/>
      <c r="J78" s="13"/>
      <c r="K78" s="13"/>
      <c r="L78" s="13"/>
      <c r="M78" s="13"/>
      <c r="O78" s="96"/>
    </row>
    <row r="79" spans="6:20" x14ac:dyDescent="0.3">
      <c r="F79" s="13"/>
      <c r="G79" s="13"/>
      <c r="H79" s="13"/>
      <c r="I79" s="13"/>
      <c r="J79" s="13"/>
      <c r="K79" s="13"/>
      <c r="L79" s="13"/>
      <c r="M79" s="13"/>
      <c r="O79" s="26"/>
    </row>
    <row r="80" spans="6:20" x14ac:dyDescent="0.3">
      <c r="F80" s="13" t="s">
        <v>206</v>
      </c>
      <c r="G80" s="103">
        <f>I62/I63</f>
        <v>35.472521975553263</v>
      </c>
      <c r="H80" s="13"/>
      <c r="I80" s="13"/>
      <c r="J80" s="13"/>
      <c r="K80" s="13"/>
      <c r="L80" s="13"/>
      <c r="M80" s="13"/>
      <c r="O80" s="26"/>
    </row>
    <row r="81" spans="6:15" x14ac:dyDescent="0.3">
      <c r="F81" s="13" t="s">
        <v>187</v>
      </c>
      <c r="G81" s="103">
        <f>_xlfn.F.DIST.RT(G80,2,17)</f>
        <v>8.5707570444926011E-7</v>
      </c>
      <c r="H81" s="13"/>
      <c r="I81" s="13"/>
      <c r="J81" s="13"/>
      <c r="K81" s="13"/>
      <c r="L81" s="13"/>
      <c r="M81" s="13"/>
      <c r="O81" s="26"/>
    </row>
    <row r="82" spans="6:15" x14ac:dyDescent="0.3">
      <c r="F82" s="13"/>
      <c r="G82" s="43" t="s">
        <v>193</v>
      </c>
      <c r="H82" s="43"/>
      <c r="I82" s="43"/>
      <c r="J82" s="43"/>
      <c r="K82" s="43"/>
      <c r="L82" s="43"/>
      <c r="M82" s="43"/>
      <c r="O82" s="26"/>
    </row>
    <row r="83" spans="6:15" x14ac:dyDescent="0.3">
      <c r="F83" s="13"/>
      <c r="G83" s="43" t="s">
        <v>207</v>
      </c>
      <c r="H83" s="43"/>
      <c r="I83" s="43"/>
      <c r="J83" s="43"/>
      <c r="K83" s="43"/>
      <c r="L83" s="43"/>
      <c r="M83" s="43"/>
      <c r="N83" s="26"/>
      <c r="O83" s="26"/>
    </row>
    <row r="84" spans="6:15" x14ac:dyDescent="0.3">
      <c r="F84" s="13"/>
      <c r="G84" s="13"/>
      <c r="H84" s="13"/>
      <c r="I84" s="13"/>
      <c r="J84" s="13"/>
      <c r="K84" s="13"/>
      <c r="L84" s="13"/>
      <c r="M84" s="13"/>
      <c r="N84" s="26"/>
      <c r="O84" s="26"/>
    </row>
    <row r="85" spans="6:15" x14ac:dyDescent="0.3">
      <c r="N85" s="26"/>
      <c r="O85" s="26"/>
    </row>
    <row r="86" spans="6:15" x14ac:dyDescent="0.3">
      <c r="N86" s="26"/>
      <c r="O86" s="26"/>
    </row>
    <row r="87" spans="6:15" x14ac:dyDescent="0.3">
      <c r="N87" s="26"/>
      <c r="O87" s="26"/>
    </row>
    <row r="88" spans="6:15" x14ac:dyDescent="0.3">
      <c r="N88" s="26"/>
      <c r="O88" s="26"/>
    </row>
    <row r="89" spans="6:15" x14ac:dyDescent="0.3">
      <c r="N89" s="26"/>
      <c r="O89" s="26"/>
    </row>
    <row r="90" spans="6:15" x14ac:dyDescent="0.3">
      <c r="N90" s="26"/>
      <c r="O90" s="26"/>
    </row>
    <row r="91" spans="6:15" x14ac:dyDescent="0.3">
      <c r="N91" s="26"/>
      <c r="O91" s="26"/>
    </row>
    <row r="92" spans="6:15" x14ac:dyDescent="0.3">
      <c r="N92" s="26"/>
      <c r="O92" s="26"/>
    </row>
    <row r="93" spans="6:15" x14ac:dyDescent="0.3">
      <c r="N93" s="26"/>
      <c r="O93" s="26"/>
    </row>
    <row r="94" spans="6:15" x14ac:dyDescent="0.3">
      <c r="N94" s="26"/>
      <c r="O94" s="26"/>
    </row>
    <row r="95" spans="6:15" x14ac:dyDescent="0.3">
      <c r="N95" s="26"/>
      <c r="O95" s="26"/>
    </row>
    <row r="96" spans="6:15" x14ac:dyDescent="0.3">
      <c r="N96" s="26"/>
      <c r="O96" s="26"/>
    </row>
    <row r="97" spans="14:14" ht="15" x14ac:dyDescent="0.3">
      <c r="N97" s="45"/>
    </row>
    <row r="98" spans="14:14" ht="15" x14ac:dyDescent="0.3">
      <c r="N98" s="45"/>
    </row>
    <row r="99" spans="14:14" x14ac:dyDescent="0.3">
      <c r="N99" s="26"/>
    </row>
    <row r="100" spans="14:14" x14ac:dyDescent="0.3">
      <c r="N100" s="26"/>
    </row>
    <row r="101" spans="14:14" x14ac:dyDescent="0.3">
      <c r="N101" s="26"/>
    </row>
    <row r="102" spans="14:14" x14ac:dyDescent="0.3">
      <c r="N102" s="26"/>
    </row>
    <row r="103" spans="14:14" x14ac:dyDescent="0.3">
      <c r="N103" s="26"/>
    </row>
    <row r="104" spans="14:14" x14ac:dyDescent="0.3">
      <c r="N104" s="26"/>
    </row>
    <row r="105" spans="14:14" x14ac:dyDescent="0.3">
      <c r="N105" s="26"/>
    </row>
    <row r="106" spans="14:14" x14ac:dyDescent="0.3">
      <c r="N106" s="26"/>
    </row>
    <row r="107" spans="14:14" x14ac:dyDescent="0.3">
      <c r="N107" s="26"/>
    </row>
    <row r="108" spans="14:14" x14ac:dyDescent="0.3">
      <c r="N108" s="26"/>
    </row>
    <row r="109" spans="14:14" x14ac:dyDescent="0.3">
      <c r="N109" s="26"/>
    </row>
    <row r="110" spans="14:14" x14ac:dyDescent="0.3">
      <c r="N110" s="26"/>
    </row>
    <row r="111" spans="14:14" x14ac:dyDescent="0.3">
      <c r="N111" s="26"/>
    </row>
    <row r="112" spans="14:14" x14ac:dyDescent="0.3">
      <c r="N112" s="26"/>
    </row>
    <row r="113" spans="14:14" x14ac:dyDescent="0.3">
      <c r="N113" s="26"/>
    </row>
    <row r="114" spans="14:14" x14ac:dyDescent="0.3">
      <c r="N114" s="26"/>
    </row>
    <row r="115" spans="14:14" x14ac:dyDescent="0.3">
      <c r="N115" s="26"/>
    </row>
    <row r="116" spans="14:14" x14ac:dyDescent="0.3">
      <c r="N116" s="26"/>
    </row>
  </sheetData>
  <mergeCells count="1">
    <mergeCell ref="F47:R4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7E02-AA47-44D3-84F0-25763816B3F3}">
  <dimension ref="A1:J41"/>
  <sheetViews>
    <sheetView workbookViewId="0">
      <selection activeCell="C41" sqref="C41"/>
    </sheetView>
  </sheetViews>
  <sheetFormatPr defaultRowHeight="14.4" x14ac:dyDescent="0.3"/>
  <cols>
    <col min="2" max="2" width="17.109375" customWidth="1"/>
  </cols>
  <sheetData>
    <row r="1" spans="1:10" ht="18" x14ac:dyDescent="0.3">
      <c r="A1" s="29" t="s">
        <v>110</v>
      </c>
      <c r="B1" s="24"/>
    </row>
    <row r="2" spans="1:10" x14ac:dyDescent="0.3">
      <c r="A2" s="31"/>
      <c r="B2" s="31"/>
      <c r="C2" s="31"/>
      <c r="D2" s="31"/>
      <c r="E2" s="31"/>
      <c r="F2" s="31"/>
      <c r="G2" s="31"/>
      <c r="H2" s="31"/>
      <c r="I2" s="31"/>
      <c r="J2" s="31"/>
    </row>
    <row r="3" spans="1:10" x14ac:dyDescent="0.3">
      <c r="A3" s="31"/>
      <c r="B3" s="31"/>
      <c r="C3" s="31"/>
      <c r="D3" s="31"/>
      <c r="E3" s="31"/>
      <c r="F3" s="31"/>
      <c r="G3" s="31"/>
      <c r="H3" s="31"/>
      <c r="I3" s="31"/>
      <c r="J3" s="31"/>
    </row>
    <row r="4" spans="1:10" x14ac:dyDescent="0.3">
      <c r="A4" s="31"/>
      <c r="B4" s="31"/>
      <c r="C4" s="31"/>
      <c r="D4" s="31"/>
      <c r="E4" s="31"/>
      <c r="F4" s="31"/>
      <c r="G4" s="31"/>
      <c r="H4" s="31"/>
      <c r="I4" s="31"/>
      <c r="J4" s="31"/>
    </row>
    <row r="5" spans="1:10" x14ac:dyDescent="0.3">
      <c r="A5" s="31"/>
      <c r="B5" s="31"/>
      <c r="C5" s="31"/>
      <c r="D5" s="31"/>
      <c r="E5" s="31"/>
      <c r="F5" s="31"/>
      <c r="G5" s="31"/>
      <c r="H5" s="31"/>
      <c r="I5" s="31"/>
      <c r="J5" s="31"/>
    </row>
    <row r="6" spans="1:10" x14ac:dyDescent="0.3">
      <c r="A6" s="31"/>
      <c r="B6" s="31"/>
      <c r="C6" s="31"/>
      <c r="D6" s="31"/>
      <c r="E6" s="31"/>
      <c r="F6" s="31"/>
      <c r="G6" s="31"/>
      <c r="H6" s="31"/>
      <c r="I6" s="31"/>
      <c r="J6" s="31"/>
    </row>
    <row r="7" spans="1:10" x14ac:dyDescent="0.3">
      <c r="A7" s="31"/>
      <c r="B7" s="31"/>
      <c r="C7" s="31"/>
      <c r="D7" s="31"/>
      <c r="E7" s="31"/>
      <c r="F7" s="31"/>
      <c r="G7" s="31"/>
      <c r="H7" s="31"/>
      <c r="I7" s="31"/>
      <c r="J7" s="31"/>
    </row>
    <row r="8" spans="1:10" x14ac:dyDescent="0.3">
      <c r="A8" s="31"/>
      <c r="B8" s="31"/>
      <c r="C8" s="31"/>
      <c r="D8" s="31"/>
      <c r="E8" s="31"/>
      <c r="F8" s="31"/>
      <c r="G8" s="31"/>
      <c r="H8" s="31"/>
      <c r="I8" s="31"/>
      <c r="J8" s="31"/>
    </row>
    <row r="9" spans="1:10" x14ac:dyDescent="0.3">
      <c r="A9" s="31"/>
      <c r="B9" s="31"/>
      <c r="C9" s="31"/>
      <c r="D9" s="31"/>
      <c r="E9" s="31"/>
      <c r="F9" s="31"/>
      <c r="G9" s="31"/>
      <c r="H9" s="31"/>
      <c r="I9" s="31"/>
      <c r="J9" s="31"/>
    </row>
    <row r="10" spans="1:10" x14ac:dyDescent="0.3">
      <c r="A10" s="31"/>
      <c r="B10" s="31"/>
      <c r="C10" s="31"/>
      <c r="D10" s="31"/>
      <c r="E10" s="31"/>
      <c r="F10" s="31"/>
      <c r="G10" s="31"/>
      <c r="H10" s="31"/>
      <c r="I10" s="31"/>
      <c r="J10" s="31"/>
    </row>
    <row r="11" spans="1:10" x14ac:dyDescent="0.3">
      <c r="A11" s="31"/>
      <c r="B11" s="31"/>
      <c r="C11" s="31"/>
      <c r="D11" s="31"/>
      <c r="E11" s="31"/>
      <c r="F11" s="31"/>
      <c r="G11" s="31"/>
      <c r="H11" s="31"/>
      <c r="I11" s="31"/>
      <c r="J11" s="31"/>
    </row>
    <row r="13" spans="1:10" ht="21" x14ac:dyDescent="0.3">
      <c r="A13" s="30" t="s">
        <v>111</v>
      </c>
    </row>
    <row r="14" spans="1:10" ht="21" x14ac:dyDescent="0.3">
      <c r="A14" s="30" t="s">
        <v>112</v>
      </c>
    </row>
    <row r="15" spans="1:10" ht="21" x14ac:dyDescent="0.3">
      <c r="A15" s="30" t="s">
        <v>113</v>
      </c>
    </row>
    <row r="16" spans="1:10" ht="21" x14ac:dyDescent="0.3">
      <c r="A16" s="30" t="s">
        <v>114</v>
      </c>
    </row>
    <row r="17" spans="1:5" ht="21" x14ac:dyDescent="0.3">
      <c r="A17" s="30" t="s">
        <v>115</v>
      </c>
    </row>
    <row r="18" spans="1:5" x14ac:dyDescent="0.3">
      <c r="B18" s="116"/>
      <c r="C18" s="116" t="s">
        <v>598</v>
      </c>
      <c r="D18" s="116"/>
      <c r="E18" s="116"/>
    </row>
    <row r="19" spans="1:5" x14ac:dyDescent="0.3">
      <c r="B19" s="116"/>
      <c r="C19" s="116" t="s">
        <v>596</v>
      </c>
      <c r="D19" s="116" t="s">
        <v>597</v>
      </c>
      <c r="E19" s="116"/>
    </row>
    <row r="20" spans="1:5" ht="15.6" x14ac:dyDescent="0.3">
      <c r="A20" s="117" t="s">
        <v>48</v>
      </c>
      <c r="B20" s="116" t="s">
        <v>592</v>
      </c>
      <c r="C20" s="116">
        <v>207</v>
      </c>
      <c r="D20" s="116">
        <v>201</v>
      </c>
      <c r="E20" s="116">
        <f>SUM(C20:D20)</f>
        <v>408</v>
      </c>
    </row>
    <row r="21" spans="1:5" ht="15.6" x14ac:dyDescent="0.3">
      <c r="A21" s="117" t="s">
        <v>599</v>
      </c>
      <c r="B21" s="116" t="s">
        <v>591</v>
      </c>
      <c r="C21" s="116">
        <v>299</v>
      </c>
      <c r="D21" s="116">
        <v>379</v>
      </c>
      <c r="E21" s="116">
        <f t="shared" ref="E21:E24" si="0">SUM(C21:D21)</f>
        <v>678</v>
      </c>
    </row>
    <row r="22" spans="1:5" x14ac:dyDescent="0.3">
      <c r="B22" s="116" t="s">
        <v>593</v>
      </c>
      <c r="C22" s="116">
        <v>185</v>
      </c>
      <c r="D22" s="116">
        <v>268</v>
      </c>
      <c r="E22" s="116">
        <f t="shared" si="0"/>
        <v>453</v>
      </c>
    </row>
    <row r="23" spans="1:5" x14ac:dyDescent="0.3">
      <c r="B23" s="116" t="s">
        <v>594</v>
      </c>
      <c r="C23" s="116">
        <v>66</v>
      </c>
      <c r="D23" s="116">
        <v>193</v>
      </c>
      <c r="E23" s="116">
        <f t="shared" si="0"/>
        <v>259</v>
      </c>
    </row>
    <row r="24" spans="1:5" x14ac:dyDescent="0.3">
      <c r="B24" s="116" t="s">
        <v>595</v>
      </c>
      <c r="C24" s="116">
        <v>51</v>
      </c>
      <c r="D24" s="116">
        <v>169</v>
      </c>
      <c r="E24" s="116">
        <f t="shared" si="0"/>
        <v>220</v>
      </c>
    </row>
    <row r="25" spans="1:5" x14ac:dyDescent="0.3">
      <c r="B25" s="116"/>
      <c r="C25" s="116">
        <f>SUM(C20:C24)</f>
        <v>808</v>
      </c>
      <c r="D25" s="116">
        <f>SUM(D20:D24)</f>
        <v>1210</v>
      </c>
      <c r="E25" s="116">
        <f>SUM(C20:D24)</f>
        <v>2018</v>
      </c>
    </row>
    <row r="28" spans="1:5" x14ac:dyDescent="0.3">
      <c r="B28" t="s">
        <v>600</v>
      </c>
    </row>
    <row r="29" spans="1:5" x14ac:dyDescent="0.3">
      <c r="A29" t="s">
        <v>320</v>
      </c>
      <c r="B29" s="116"/>
      <c r="C29" s="116" t="s">
        <v>598</v>
      </c>
      <c r="D29" s="116"/>
      <c r="E29" s="116"/>
    </row>
    <row r="30" spans="1:5" x14ac:dyDescent="0.3">
      <c r="B30" s="116"/>
      <c r="C30" s="116" t="s">
        <v>596</v>
      </c>
      <c r="D30" s="116" t="s">
        <v>597</v>
      </c>
      <c r="E30" s="116"/>
    </row>
    <row r="31" spans="1:5" x14ac:dyDescent="0.3">
      <c r="B31" s="116" t="s">
        <v>592</v>
      </c>
      <c r="C31" s="116">
        <f>C20/$E$25</f>
        <v>0.10257680872150644</v>
      </c>
      <c r="D31" s="116">
        <f>D20/$E$25</f>
        <v>9.9603567888999003E-2</v>
      </c>
      <c r="E31" s="116">
        <f>SUM(C31:D31)</f>
        <v>0.20218037661050545</v>
      </c>
    </row>
    <row r="32" spans="1:5" x14ac:dyDescent="0.3">
      <c r="B32" s="116" t="s">
        <v>591</v>
      </c>
      <c r="C32" s="116">
        <f t="shared" ref="C32:D34" si="1">C21/$E$25</f>
        <v>0.14816650148662042</v>
      </c>
      <c r="D32" s="116">
        <f t="shared" si="1"/>
        <v>0.18780971258671952</v>
      </c>
      <c r="E32" s="116">
        <f t="shared" ref="E32:E35" si="2">SUM(C32:D32)</f>
        <v>0.33597621407333994</v>
      </c>
    </row>
    <row r="33" spans="1:5" x14ac:dyDescent="0.3">
      <c r="B33" s="116" t="s">
        <v>593</v>
      </c>
      <c r="C33" s="116">
        <f t="shared" si="1"/>
        <v>9.1674925668979182E-2</v>
      </c>
      <c r="D33" s="116">
        <f t="shared" si="1"/>
        <v>0.13280475718533202</v>
      </c>
      <c r="E33" s="116">
        <f t="shared" si="2"/>
        <v>0.22447968285431119</v>
      </c>
    </row>
    <row r="34" spans="1:5" x14ac:dyDescent="0.3">
      <c r="B34" s="116" t="s">
        <v>594</v>
      </c>
      <c r="C34" s="116">
        <f t="shared" si="1"/>
        <v>3.2705649157581763E-2</v>
      </c>
      <c r="D34" s="116">
        <f t="shared" si="1"/>
        <v>9.5639246778989093E-2</v>
      </c>
      <c r="E34" s="116">
        <f t="shared" si="2"/>
        <v>0.12834489593657086</v>
      </c>
    </row>
    <row r="35" spans="1:5" x14ac:dyDescent="0.3">
      <c r="B35" s="116" t="s">
        <v>595</v>
      </c>
      <c r="C35" s="116">
        <f>C24/$E$25</f>
        <v>2.5272547076313181E-2</v>
      </c>
      <c r="D35" s="116">
        <f t="shared" ref="D35" si="3">D24/$E$25</f>
        <v>8.374628344895936E-2</v>
      </c>
      <c r="E35" s="116">
        <f t="shared" si="2"/>
        <v>0.10901883052527254</v>
      </c>
    </row>
    <row r="36" spans="1:5" x14ac:dyDescent="0.3">
      <c r="B36" s="116"/>
      <c r="C36" s="116">
        <f>SUM(C31:C35)</f>
        <v>0.40039643211100095</v>
      </c>
      <c r="D36" s="116">
        <f>SUM(D31:D35)</f>
        <v>0.59960356788899905</v>
      </c>
      <c r="E36" s="116">
        <f>SUM(C31:D35)</f>
        <v>1</v>
      </c>
    </row>
    <row r="38" spans="1:5" x14ac:dyDescent="0.3">
      <c r="A38" t="s">
        <v>196</v>
      </c>
      <c r="B38" t="s">
        <v>601</v>
      </c>
      <c r="C38">
        <f>E31</f>
        <v>0.20218037661050545</v>
      </c>
    </row>
    <row r="39" spans="1:5" x14ac:dyDescent="0.3">
      <c r="A39" t="s">
        <v>199</v>
      </c>
      <c r="B39" t="s">
        <v>602</v>
      </c>
      <c r="C39">
        <f>E33+E34+E35</f>
        <v>0.46184340931615459</v>
      </c>
    </row>
    <row r="40" spans="1:5" x14ac:dyDescent="0.3">
      <c r="A40" t="s">
        <v>322</v>
      </c>
      <c r="B40" t="s">
        <v>603</v>
      </c>
      <c r="C40">
        <f>C36</f>
        <v>0.40039643211100095</v>
      </c>
    </row>
    <row r="41" spans="1:5" x14ac:dyDescent="0.3">
      <c r="A41" t="s">
        <v>401</v>
      </c>
      <c r="B41" t="s">
        <v>604</v>
      </c>
      <c r="C41">
        <f>E32+C36-C32</f>
        <v>0.58820614469772048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20195-71DF-4B9C-8369-6F5D71DB6329}">
  <dimension ref="A1:P44"/>
  <sheetViews>
    <sheetView workbookViewId="0">
      <selection activeCell="D29" sqref="D29"/>
    </sheetView>
  </sheetViews>
  <sheetFormatPr defaultRowHeight="14.4" x14ac:dyDescent="0.3"/>
  <cols>
    <col min="1" max="1" width="11.44140625" bestFit="1" customWidth="1"/>
    <col min="2" max="2" width="5.109375" bestFit="1" customWidth="1"/>
    <col min="5" max="5" width="13.77734375" customWidth="1"/>
    <col min="12" max="12" width="16.6640625" customWidth="1"/>
  </cols>
  <sheetData>
    <row r="1" spans="1:14" ht="18" x14ac:dyDescent="0.3">
      <c r="A1" s="32" t="s">
        <v>123</v>
      </c>
    </row>
    <row r="2" spans="1:14" ht="18" x14ac:dyDescent="0.3">
      <c r="A2" s="32" t="s">
        <v>116</v>
      </c>
    </row>
    <row r="3" spans="1:14" ht="18" x14ac:dyDescent="0.3">
      <c r="A3" s="32" t="s">
        <v>117</v>
      </c>
    </row>
    <row r="4" spans="1:14" ht="18" x14ac:dyDescent="0.3">
      <c r="A4" s="32" t="s">
        <v>118</v>
      </c>
    </row>
    <row r="5" spans="1:14" ht="18" x14ac:dyDescent="0.3">
      <c r="A5" s="32" t="s">
        <v>119</v>
      </c>
    </row>
    <row r="6" spans="1:14" ht="18" x14ac:dyDescent="0.3">
      <c r="A6" s="32" t="s">
        <v>120</v>
      </c>
    </row>
    <row r="7" spans="1:14" ht="15" thickBot="1" x14ac:dyDescent="0.35"/>
    <row r="8" spans="1:14" ht="16.2" thickBot="1" x14ac:dyDescent="0.35">
      <c r="A8" s="33" t="s">
        <v>121</v>
      </c>
      <c r="B8" s="34" t="s">
        <v>122</v>
      </c>
      <c r="D8" s="24" t="s">
        <v>538</v>
      </c>
      <c r="E8" s="24"/>
      <c r="F8" s="24"/>
      <c r="G8" s="24"/>
      <c r="H8" s="24"/>
      <c r="L8" t="s">
        <v>552</v>
      </c>
    </row>
    <row r="9" spans="1:14" ht="16.2" thickBot="1" x14ac:dyDescent="0.35">
      <c r="A9" s="11">
        <v>145</v>
      </c>
      <c r="B9" s="12">
        <v>152</v>
      </c>
      <c r="D9" s="74" t="s">
        <v>539</v>
      </c>
      <c r="E9" s="74"/>
      <c r="F9" s="74"/>
      <c r="G9" s="74"/>
    </row>
    <row r="10" spans="1:14" ht="16.2" thickBot="1" x14ac:dyDescent="0.35">
      <c r="A10" s="11">
        <v>150</v>
      </c>
      <c r="B10" s="12">
        <v>150</v>
      </c>
      <c r="D10" s="74" t="s">
        <v>541</v>
      </c>
      <c r="E10" s="74"/>
      <c r="F10" s="74"/>
      <c r="G10" s="74"/>
      <c r="L10" s="40"/>
      <c r="M10" s="40" t="s">
        <v>121</v>
      </c>
      <c r="N10" s="40" t="s">
        <v>122</v>
      </c>
    </row>
    <row r="11" spans="1:14" ht="16.2" thickBot="1" x14ac:dyDescent="0.35">
      <c r="A11" s="11">
        <v>153</v>
      </c>
      <c r="B11" s="12">
        <v>147</v>
      </c>
      <c r="D11" s="74" t="s">
        <v>543</v>
      </c>
      <c r="E11" s="74">
        <f>(E18^2)/(F18^2)</f>
        <v>0.82861400894187787</v>
      </c>
      <c r="F11" s="74"/>
      <c r="G11" s="74"/>
      <c r="L11" s="38" t="s">
        <v>347</v>
      </c>
      <c r="M11" s="38">
        <v>147.6</v>
      </c>
      <c r="N11" s="38">
        <v>149.4</v>
      </c>
    </row>
    <row r="12" spans="1:14" ht="16.2" thickBot="1" x14ac:dyDescent="0.35">
      <c r="A12" s="11">
        <v>148</v>
      </c>
      <c r="B12" s="12">
        <v>155</v>
      </c>
      <c r="D12" s="74" t="s">
        <v>544</v>
      </c>
      <c r="E12" s="74">
        <f>_xlfn.F.INV(0.05,11,11)</f>
        <v>0.35487035988387877</v>
      </c>
      <c r="F12" s="74">
        <f>_xlfn.F.INV.RT(0.05,11,11)</f>
        <v>2.8179304699530876</v>
      </c>
      <c r="G12" s="74"/>
      <c r="L12" s="38" t="s">
        <v>253</v>
      </c>
      <c r="M12" s="38">
        <v>24.711111111111112</v>
      </c>
      <c r="N12" s="38">
        <v>29.822222222222219</v>
      </c>
    </row>
    <row r="13" spans="1:14" ht="16.2" thickBot="1" x14ac:dyDescent="0.35">
      <c r="A13" s="11">
        <v>141</v>
      </c>
      <c r="B13" s="12">
        <v>140</v>
      </c>
      <c r="D13" s="74" t="s">
        <v>545</v>
      </c>
      <c r="E13" s="74"/>
      <c r="F13" s="74"/>
      <c r="G13" s="74"/>
      <c r="L13" s="38" t="s">
        <v>152</v>
      </c>
      <c r="M13" s="38">
        <v>10</v>
      </c>
      <c r="N13" s="38">
        <v>10</v>
      </c>
    </row>
    <row r="14" spans="1:14" ht="16.2" thickBot="1" x14ac:dyDescent="0.35">
      <c r="A14" s="11">
        <v>152</v>
      </c>
      <c r="B14" s="12">
        <v>146</v>
      </c>
      <c r="D14" s="24" t="s">
        <v>546</v>
      </c>
      <c r="E14" s="24"/>
      <c r="F14" s="24"/>
      <c r="G14" s="74"/>
      <c r="L14" s="38" t="s">
        <v>553</v>
      </c>
      <c r="M14" s="38">
        <v>27.266666666666666</v>
      </c>
      <c r="N14" s="38"/>
    </row>
    <row r="15" spans="1:14" ht="16.2" thickBot="1" x14ac:dyDescent="0.35">
      <c r="A15" s="11">
        <v>146</v>
      </c>
      <c r="B15" s="12">
        <v>158</v>
      </c>
      <c r="H15" s="74"/>
      <c r="I15" s="74"/>
      <c r="J15" s="74"/>
      <c r="K15" s="74"/>
      <c r="L15" s="38" t="s">
        <v>554</v>
      </c>
      <c r="M15" s="38">
        <v>0</v>
      </c>
      <c r="N15" s="38"/>
    </row>
    <row r="16" spans="1:14" ht="16.2" thickBot="1" x14ac:dyDescent="0.35">
      <c r="A16" s="11">
        <v>154</v>
      </c>
      <c r="B16" s="12">
        <v>152</v>
      </c>
      <c r="D16" s="74"/>
      <c r="E16" s="74" t="s">
        <v>121</v>
      </c>
      <c r="F16" s="74" t="s">
        <v>122</v>
      </c>
      <c r="G16" s="74"/>
      <c r="H16" s="103" t="s">
        <v>176</v>
      </c>
      <c r="I16" s="103" t="s">
        <v>551</v>
      </c>
      <c r="J16" s="43"/>
      <c r="K16" s="74"/>
      <c r="L16" s="93" t="s">
        <v>158</v>
      </c>
      <c r="M16" s="93">
        <v>18</v>
      </c>
      <c r="N16" s="38"/>
    </row>
    <row r="17" spans="1:16" ht="16.2" thickBot="1" x14ac:dyDescent="0.35">
      <c r="A17" s="11">
        <v>139</v>
      </c>
      <c r="B17" s="12">
        <v>151</v>
      </c>
      <c r="D17" s="74" t="s">
        <v>171</v>
      </c>
      <c r="E17" s="74">
        <f>COUNT(A9:A18)</f>
        <v>10</v>
      </c>
      <c r="F17" s="74">
        <f>COUNT(B9:B18)</f>
        <v>10</v>
      </c>
      <c r="G17" s="74"/>
      <c r="H17" s="103" t="s">
        <v>273</v>
      </c>
      <c r="I17" s="103" t="s">
        <v>550</v>
      </c>
      <c r="J17" s="43"/>
      <c r="K17" s="74"/>
      <c r="L17" s="93" t="s">
        <v>164</v>
      </c>
      <c r="M17" s="93">
        <v>-0.77079960387889468</v>
      </c>
      <c r="N17" s="38"/>
    </row>
    <row r="18" spans="1:16" ht="16.2" thickBot="1" x14ac:dyDescent="0.35">
      <c r="A18" s="11">
        <v>148</v>
      </c>
      <c r="B18" s="12">
        <v>143</v>
      </c>
      <c r="D18" s="74" t="s">
        <v>540</v>
      </c>
      <c r="E18" s="74">
        <f>STDEV(A9:A18)</f>
        <v>4.9710271686152661</v>
      </c>
      <c r="F18" s="74">
        <f>STDEV(B9:B18)</f>
        <v>5.4609726443393045</v>
      </c>
      <c r="G18" s="74"/>
      <c r="J18" s="31"/>
      <c r="K18" s="74"/>
      <c r="L18" s="38" t="s">
        <v>555</v>
      </c>
      <c r="M18" s="38">
        <v>0.2254127657493446</v>
      </c>
      <c r="N18" s="38"/>
    </row>
    <row r="19" spans="1:16" x14ac:dyDescent="0.3">
      <c r="D19" s="74" t="s">
        <v>542</v>
      </c>
      <c r="E19" s="74">
        <f>AVERAGE(A9:A18)</f>
        <v>147.6</v>
      </c>
      <c r="F19" s="74">
        <f>AVERAGE(B9:B18)</f>
        <v>149.4</v>
      </c>
      <c r="G19" s="74"/>
      <c r="J19" s="74"/>
      <c r="K19" s="74"/>
      <c r="L19" s="38" t="s">
        <v>556</v>
      </c>
      <c r="M19" s="38">
        <v>1.7340636066175394</v>
      </c>
      <c r="N19" s="38"/>
    </row>
    <row r="20" spans="1:16" x14ac:dyDescent="0.3">
      <c r="D20" s="74"/>
      <c r="E20" s="74"/>
      <c r="F20" s="74"/>
      <c r="G20" s="74"/>
      <c r="J20" s="74"/>
      <c r="K20" s="74"/>
      <c r="L20" s="93" t="s">
        <v>557</v>
      </c>
      <c r="M20" s="93">
        <v>0.4508255314986892</v>
      </c>
      <c r="N20" s="38"/>
    </row>
    <row r="21" spans="1:16" ht="15" thickBot="1" x14ac:dyDescent="0.35">
      <c r="D21" s="74" t="s">
        <v>547</v>
      </c>
      <c r="E21" s="74">
        <f>((E17-1)*E18^2+(F17-1)*F18^2)/(E17+F17-2)</f>
        <v>27.266666666666662</v>
      </c>
      <c r="F21" s="74"/>
      <c r="G21" s="74"/>
      <c r="J21" s="74"/>
      <c r="K21" s="74"/>
      <c r="L21" s="94" t="s">
        <v>558</v>
      </c>
      <c r="M21" s="94">
        <v>2.1009220402410378</v>
      </c>
      <c r="N21" s="39"/>
    </row>
    <row r="22" spans="1:16" x14ac:dyDescent="0.3">
      <c r="D22" s="74" t="s">
        <v>548</v>
      </c>
      <c r="E22" s="74">
        <v>0.05</v>
      </c>
      <c r="F22" s="74"/>
      <c r="G22" s="74"/>
      <c r="J22" s="74"/>
      <c r="K22" s="74"/>
      <c r="L22" s="74"/>
      <c r="M22" s="74"/>
      <c r="N22" s="74"/>
    </row>
    <row r="23" spans="1:16" x14ac:dyDescent="0.3">
      <c r="D23" s="74"/>
      <c r="E23" s="74"/>
      <c r="F23" s="74"/>
      <c r="G23" s="74"/>
      <c r="J23" s="74"/>
      <c r="K23" s="74"/>
      <c r="L23" s="74" t="s">
        <v>577</v>
      </c>
      <c r="M23" s="74"/>
      <c r="N23" s="74"/>
      <c r="O23" s="74"/>
      <c r="P23" s="74"/>
    </row>
    <row r="24" spans="1:16" ht="18" x14ac:dyDescent="0.3">
      <c r="D24" s="103" t="s">
        <v>549</v>
      </c>
      <c r="E24" s="103">
        <f>(E19-F19)/(SQRT(E21*((1/E17)+(1/F17))))</f>
        <v>-0.77079960387889468</v>
      </c>
      <c r="F24" s="74"/>
      <c r="G24" s="74"/>
      <c r="L24" s="44" t="s">
        <v>563</v>
      </c>
      <c r="M24" s="74"/>
      <c r="N24" s="74"/>
      <c r="O24" s="74"/>
      <c r="P24" s="74"/>
    </row>
    <row r="25" spans="1:16" ht="15" x14ac:dyDescent="0.3">
      <c r="D25" s="74" t="s">
        <v>479</v>
      </c>
      <c r="E25" s="74">
        <f>_xlfn.T.INV.2T(E22,E17+F17-2)</f>
        <v>2.1009220402410378</v>
      </c>
      <c r="F25" s="74"/>
      <c r="G25" s="74"/>
      <c r="L25" s="96" t="s">
        <v>332</v>
      </c>
      <c r="M25" s="74"/>
      <c r="N25" s="74"/>
      <c r="O25" s="74"/>
      <c r="P25" s="74"/>
    </row>
    <row r="26" spans="1:16" x14ac:dyDescent="0.3">
      <c r="D26" s="103" t="s">
        <v>187</v>
      </c>
      <c r="E26" s="103">
        <f>_xlfn.T.DIST.2T(-E24,E17+F17-2)</f>
        <v>0.4508255314986892</v>
      </c>
      <c r="F26" s="74"/>
      <c r="G26" s="74"/>
      <c r="L26" s="46" t="s">
        <v>564</v>
      </c>
      <c r="M26" s="74"/>
      <c r="N26" s="74"/>
      <c r="O26" s="74"/>
      <c r="P26" s="74"/>
    </row>
    <row r="27" spans="1:16" x14ac:dyDescent="0.3">
      <c r="D27" s="103" t="s">
        <v>559</v>
      </c>
      <c r="E27" s="43"/>
      <c r="F27" s="43"/>
      <c r="G27" s="43"/>
      <c r="H27" s="43"/>
      <c r="I27" s="43"/>
      <c r="L27" s="46" t="s">
        <v>565</v>
      </c>
      <c r="M27" s="74"/>
      <c r="N27" s="74"/>
      <c r="O27" s="74"/>
      <c r="P27" s="74"/>
    </row>
    <row r="28" spans="1:16" x14ac:dyDescent="0.3">
      <c r="D28" s="24" t="s">
        <v>628</v>
      </c>
      <c r="E28" s="74"/>
      <c r="G28" s="74"/>
      <c r="L28" s="46" t="s">
        <v>566</v>
      </c>
      <c r="M28" s="74"/>
      <c r="N28" s="74"/>
      <c r="O28" s="74"/>
      <c r="P28" s="74"/>
    </row>
    <row r="29" spans="1:16" x14ac:dyDescent="0.3">
      <c r="C29" t="s">
        <v>196</v>
      </c>
      <c r="D29" s="74" t="s">
        <v>290</v>
      </c>
      <c r="E29" s="74">
        <f>_xlfn.T.INV.2T(0.05,18)</f>
        <v>2.1009220402410378</v>
      </c>
      <c r="G29" s="74"/>
      <c r="L29" s="74" t="s">
        <v>567</v>
      </c>
      <c r="M29" s="74"/>
      <c r="N29" s="74"/>
      <c r="O29" s="74"/>
      <c r="P29" s="74"/>
    </row>
    <row r="30" spans="1:16" ht="15" x14ac:dyDescent="0.3">
      <c r="D30" s="74" t="s">
        <v>560</v>
      </c>
      <c r="E30" s="74">
        <f>E29*SQRT(E21*((1/E17)+(1/F17)))</f>
        <v>4.9061515514583132</v>
      </c>
      <c r="L30" s="96" t="s">
        <v>568</v>
      </c>
      <c r="M30" s="74"/>
      <c r="N30" s="74"/>
      <c r="O30" s="74"/>
      <c r="P30" s="74"/>
    </row>
    <row r="31" spans="1:16" ht="15" thickBot="1" x14ac:dyDescent="0.35">
      <c r="D31" s="103" t="s">
        <v>561</v>
      </c>
      <c r="E31" s="110">
        <f>E19-F19-E30</f>
        <v>-6.7061515514583245</v>
      </c>
      <c r="L31" s="97" t="s">
        <v>569</v>
      </c>
      <c r="M31" s="98" t="s">
        <v>346</v>
      </c>
      <c r="N31" s="98" t="s">
        <v>347</v>
      </c>
      <c r="O31" s="98" t="s">
        <v>348</v>
      </c>
      <c r="P31" s="98" t="s">
        <v>570</v>
      </c>
    </row>
    <row r="32" spans="1:16" x14ac:dyDescent="0.3">
      <c r="D32" s="103" t="s">
        <v>562</v>
      </c>
      <c r="E32" s="110">
        <f>E19-F19+E30</f>
        <v>3.1061515514583018</v>
      </c>
      <c r="L32" s="46" t="s">
        <v>121</v>
      </c>
      <c r="M32" s="49">
        <v>10</v>
      </c>
      <c r="N32" s="49">
        <v>147.6</v>
      </c>
      <c r="O32" s="49">
        <v>4.97</v>
      </c>
      <c r="P32" s="49">
        <v>1.6</v>
      </c>
    </row>
    <row r="33" spans="3:16" ht="15" thickBot="1" x14ac:dyDescent="0.35">
      <c r="L33" s="46" t="s">
        <v>122</v>
      </c>
      <c r="M33" s="49">
        <v>10</v>
      </c>
      <c r="N33" s="49">
        <v>149.4</v>
      </c>
      <c r="O33" s="49">
        <v>5.46</v>
      </c>
      <c r="P33" s="49">
        <v>1.7</v>
      </c>
    </row>
    <row r="34" spans="3:16" ht="16.2" thickBot="1" x14ac:dyDescent="0.35">
      <c r="C34" t="s">
        <v>445</v>
      </c>
      <c r="D34" s="33" t="s">
        <v>121</v>
      </c>
      <c r="E34" s="34" t="s">
        <v>122</v>
      </c>
      <c r="G34" s="154" t="s">
        <v>623</v>
      </c>
      <c r="H34" s="154"/>
      <c r="I34" s="154"/>
      <c r="J34" s="154"/>
      <c r="L34" s="96" t="s">
        <v>571</v>
      </c>
      <c r="M34" s="74"/>
      <c r="N34" s="74"/>
      <c r="O34" s="74"/>
      <c r="P34" s="74"/>
    </row>
    <row r="35" spans="3:16" ht="16.2" thickBot="1" x14ac:dyDescent="0.35">
      <c r="D35" s="11">
        <v>139</v>
      </c>
      <c r="E35" s="12">
        <v>151</v>
      </c>
      <c r="G35" s="154"/>
      <c r="H35" s="154"/>
      <c r="I35" s="154"/>
      <c r="J35" s="154"/>
      <c r="L35" s="108" t="s">
        <v>362</v>
      </c>
      <c r="M35" s="109" t="s">
        <v>572</v>
      </c>
      <c r="N35" s="74"/>
      <c r="O35" s="74"/>
      <c r="P35" s="74"/>
    </row>
    <row r="36" spans="3:16" ht="16.2" thickBot="1" x14ac:dyDescent="0.35">
      <c r="D36" s="11">
        <v>141</v>
      </c>
      <c r="E36" s="12">
        <v>140</v>
      </c>
      <c r="G36" s="154"/>
      <c r="H36" s="154"/>
      <c r="I36" s="154"/>
      <c r="J36" s="154"/>
      <c r="L36" s="98"/>
      <c r="M36" s="99" t="s">
        <v>362</v>
      </c>
      <c r="N36" s="74"/>
      <c r="O36" s="74"/>
      <c r="P36" s="74"/>
    </row>
    <row r="37" spans="3:16" ht="16.2" thickBot="1" x14ac:dyDescent="0.35">
      <c r="D37" s="11">
        <v>145</v>
      </c>
      <c r="E37" s="12">
        <v>152</v>
      </c>
      <c r="G37" s="154"/>
      <c r="H37" s="154"/>
      <c r="I37" s="154"/>
      <c r="J37" s="154"/>
      <c r="L37" s="49">
        <v>-1.8</v>
      </c>
      <c r="M37" s="112" t="s">
        <v>573</v>
      </c>
      <c r="N37" s="74"/>
      <c r="O37" s="74"/>
      <c r="P37" s="74"/>
    </row>
    <row r="38" spans="3:16" ht="16.2" thickBot="1" x14ac:dyDescent="0.35">
      <c r="D38" s="11">
        <v>146</v>
      </c>
      <c r="E38" s="12">
        <v>158</v>
      </c>
      <c r="G38" s="154"/>
      <c r="H38" s="154"/>
      <c r="I38" s="154"/>
      <c r="J38" s="154"/>
      <c r="L38" s="96" t="s">
        <v>574</v>
      </c>
    </row>
    <row r="39" spans="3:16" ht="16.2" thickBot="1" x14ac:dyDescent="0.35">
      <c r="D39" s="11">
        <v>148</v>
      </c>
      <c r="E39" s="12">
        <v>155</v>
      </c>
      <c r="G39" s="154"/>
      <c r="H39" s="154"/>
      <c r="I39" s="154"/>
      <c r="J39" s="154"/>
      <c r="L39" s="46" t="s">
        <v>333</v>
      </c>
      <c r="M39" s="46" t="s">
        <v>575</v>
      </c>
    </row>
    <row r="40" spans="3:16" ht="16.2" thickBot="1" x14ac:dyDescent="0.35">
      <c r="D40" s="11">
        <v>148</v>
      </c>
      <c r="E40" s="12">
        <v>143</v>
      </c>
      <c r="G40" s="154"/>
      <c r="H40" s="154"/>
      <c r="I40" s="154"/>
      <c r="J40" s="154"/>
      <c r="L40" s="46" t="s">
        <v>335</v>
      </c>
      <c r="M40" s="46" t="s">
        <v>576</v>
      </c>
    </row>
    <row r="41" spans="3:16" ht="16.2" thickBot="1" x14ac:dyDescent="0.4">
      <c r="D41" s="11">
        <v>150</v>
      </c>
      <c r="E41" s="12">
        <v>150</v>
      </c>
      <c r="G41" s="154"/>
      <c r="H41" s="154"/>
      <c r="I41" s="154"/>
      <c r="J41" s="154"/>
      <c r="L41" s="113" t="s">
        <v>217</v>
      </c>
      <c r="M41" s="113" t="s">
        <v>228</v>
      </c>
      <c r="N41" s="113" t="s">
        <v>218</v>
      </c>
    </row>
    <row r="42" spans="3:16" ht="16.2" thickBot="1" x14ac:dyDescent="0.35">
      <c r="D42" s="11">
        <v>152</v>
      </c>
      <c r="E42" s="12">
        <v>146</v>
      </c>
      <c r="G42" s="154"/>
      <c r="H42" s="154"/>
      <c r="I42" s="154"/>
      <c r="J42" s="154"/>
      <c r="L42" s="86">
        <v>-0.77</v>
      </c>
      <c r="M42" s="86">
        <v>17</v>
      </c>
      <c r="N42" s="86">
        <v>0.45100000000000001</v>
      </c>
    </row>
    <row r="43" spans="3:16" ht="16.2" thickBot="1" x14ac:dyDescent="0.35">
      <c r="D43" s="11">
        <v>153</v>
      </c>
      <c r="E43" s="12">
        <v>147</v>
      </c>
      <c r="G43" s="154"/>
      <c r="H43" s="154"/>
      <c r="I43" s="154"/>
      <c r="J43" s="154"/>
    </row>
    <row r="44" spans="3:16" ht="16.2" thickBot="1" x14ac:dyDescent="0.35">
      <c r="D44" s="11">
        <v>154</v>
      </c>
      <c r="E44" s="12">
        <v>152</v>
      </c>
    </row>
  </sheetData>
  <sortState xmlns:xlrd2="http://schemas.microsoft.com/office/spreadsheetml/2017/richdata2" ref="C35:E44">
    <sortCondition ref="D34:D44"/>
  </sortState>
  <mergeCells count="1">
    <mergeCell ref="G34:J4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0577B-A97A-4D2E-A6EB-C98BD6201762}">
  <dimension ref="A1:H41"/>
  <sheetViews>
    <sheetView tabSelected="1" workbookViewId="0">
      <selection activeCell="J40" sqref="J40"/>
    </sheetView>
  </sheetViews>
  <sheetFormatPr defaultRowHeight="14.4" x14ac:dyDescent="0.3"/>
  <cols>
    <col min="1" max="1" width="8.88671875" style="74"/>
    <col min="2" max="2" width="12.21875" customWidth="1"/>
    <col min="3" max="3" width="15.33203125" customWidth="1"/>
    <col min="4" max="4" width="15.5546875" customWidth="1"/>
    <col min="5" max="5" width="16.88671875" customWidth="1"/>
    <col min="6" max="6" width="12.5546875" customWidth="1"/>
    <col min="7" max="7" width="8.88671875" bestFit="1" customWidth="1"/>
  </cols>
  <sheetData>
    <row r="1" spans="1:8" ht="15.6" x14ac:dyDescent="0.3">
      <c r="A1" s="35" t="s">
        <v>124</v>
      </c>
      <c r="B1" s="74"/>
      <c r="C1" s="74"/>
      <c r="D1" s="74"/>
      <c r="E1" s="74"/>
      <c r="F1" s="74"/>
      <c r="G1" s="74"/>
      <c r="H1" s="74"/>
    </row>
    <row r="2" spans="1:8" ht="15.6" x14ac:dyDescent="0.3">
      <c r="A2" s="35" t="s">
        <v>125</v>
      </c>
      <c r="B2" s="74"/>
      <c r="C2" s="74"/>
      <c r="D2" s="74"/>
      <c r="E2" s="74"/>
      <c r="F2" s="74"/>
      <c r="G2" s="74"/>
      <c r="H2" s="74"/>
    </row>
    <row r="3" spans="1:8" x14ac:dyDescent="0.3">
      <c r="B3" s="74"/>
      <c r="C3" s="74"/>
      <c r="D3" s="74"/>
      <c r="E3" s="74"/>
      <c r="F3" s="74"/>
      <c r="G3" s="74"/>
      <c r="H3" s="74"/>
    </row>
    <row r="4" spans="1:8" ht="15" x14ac:dyDescent="0.3">
      <c r="A4" s="75" t="s">
        <v>126</v>
      </c>
      <c r="B4" s="76"/>
      <c r="C4" s="76"/>
      <c r="D4" s="76"/>
      <c r="E4" s="76"/>
      <c r="F4" s="77"/>
      <c r="G4" s="74"/>
      <c r="H4" s="74"/>
    </row>
    <row r="5" spans="1:8" ht="31.2" x14ac:dyDescent="0.3">
      <c r="A5" s="36" t="s">
        <v>127</v>
      </c>
      <c r="B5" s="36" t="s">
        <v>128</v>
      </c>
      <c r="C5" s="36" t="s">
        <v>129</v>
      </c>
      <c r="D5" s="36" t="s">
        <v>130</v>
      </c>
      <c r="E5" s="36" t="s">
        <v>131</v>
      </c>
      <c r="F5" s="36"/>
      <c r="G5" s="74"/>
      <c r="H5" s="74"/>
    </row>
    <row r="6" spans="1:8" ht="31.2" x14ac:dyDescent="0.3">
      <c r="A6" s="36" t="s">
        <v>132</v>
      </c>
      <c r="B6" s="37">
        <v>24</v>
      </c>
      <c r="C6" s="37">
        <v>10</v>
      </c>
      <c r="D6" s="37">
        <v>8</v>
      </c>
      <c r="E6" s="37">
        <v>14</v>
      </c>
      <c r="F6" s="37"/>
      <c r="G6" s="74"/>
      <c r="H6" s="74"/>
    </row>
    <row r="7" spans="1:8" ht="31.2" x14ac:dyDescent="0.3">
      <c r="A7" s="36" t="s">
        <v>133</v>
      </c>
      <c r="B7" s="37">
        <v>30</v>
      </c>
      <c r="C7" s="37">
        <v>6</v>
      </c>
      <c r="D7" s="37">
        <v>22</v>
      </c>
      <c r="E7" s="37">
        <v>12</v>
      </c>
      <c r="F7" s="37"/>
      <c r="G7" s="74"/>
      <c r="H7" s="74"/>
    </row>
    <row r="8" spans="1:8" ht="46.8" x14ac:dyDescent="0.3">
      <c r="A8" s="36" t="s">
        <v>134</v>
      </c>
      <c r="B8" s="37">
        <v>28</v>
      </c>
      <c r="C8" s="37">
        <v>18</v>
      </c>
      <c r="D8" s="37">
        <v>12</v>
      </c>
      <c r="E8" s="37">
        <v>16</v>
      </c>
      <c r="F8" s="37"/>
      <c r="G8" s="74"/>
      <c r="H8" s="74"/>
    </row>
    <row r="9" spans="1:8" x14ac:dyDescent="0.3">
      <c r="B9" s="74"/>
      <c r="C9" s="74"/>
      <c r="D9" s="74"/>
      <c r="E9" s="74"/>
      <c r="F9" s="74" t="s">
        <v>578</v>
      </c>
      <c r="G9" s="74">
        <f>SUM(B6:E8)</f>
        <v>200</v>
      </c>
      <c r="H9" s="74"/>
    </row>
    <row r="10" spans="1:8" ht="15.6" x14ac:dyDescent="0.3">
      <c r="A10" s="35" t="s">
        <v>135</v>
      </c>
      <c r="B10" s="74"/>
      <c r="C10" s="74"/>
      <c r="D10" s="74"/>
      <c r="E10" s="74"/>
      <c r="F10" s="74"/>
      <c r="G10" s="74"/>
      <c r="H10" s="74"/>
    </row>
    <row r="11" spans="1:8" ht="15.6" x14ac:dyDescent="0.3">
      <c r="A11" s="35" t="s">
        <v>136</v>
      </c>
      <c r="B11" s="74"/>
      <c r="C11" s="74"/>
      <c r="D11" s="74"/>
      <c r="E11" s="74"/>
      <c r="F11" s="74"/>
      <c r="G11" s="74"/>
      <c r="H11" s="74"/>
    </row>
    <row r="12" spans="1:8" ht="15.6" x14ac:dyDescent="0.3">
      <c r="A12" s="35" t="s">
        <v>137</v>
      </c>
      <c r="B12" s="74"/>
      <c r="C12" s="74"/>
      <c r="D12" s="74"/>
      <c r="E12" s="74"/>
      <c r="F12" s="74"/>
      <c r="G12" s="74"/>
      <c r="H12" s="74"/>
    </row>
    <row r="13" spans="1:8" ht="15.6" x14ac:dyDescent="0.3">
      <c r="A13" s="35" t="s">
        <v>138</v>
      </c>
      <c r="B13" s="74"/>
      <c r="C13" s="74"/>
      <c r="D13" s="74"/>
      <c r="E13" s="74"/>
      <c r="F13" s="74"/>
      <c r="G13" s="74"/>
      <c r="H13" s="74"/>
    </row>
    <row r="14" spans="1:8" ht="15.6" x14ac:dyDescent="0.3">
      <c r="A14" s="35" t="s">
        <v>139</v>
      </c>
      <c r="B14" s="74"/>
      <c r="C14" s="74"/>
      <c r="D14" s="74"/>
      <c r="E14" s="74"/>
      <c r="F14" s="74"/>
      <c r="G14" s="74"/>
      <c r="H14" s="74"/>
    </row>
    <row r="15" spans="1:8" ht="15.6" x14ac:dyDescent="0.3">
      <c r="A15" s="35" t="s">
        <v>140</v>
      </c>
      <c r="B15" s="74"/>
      <c r="C15" s="74"/>
      <c r="D15" s="74"/>
      <c r="E15" s="74"/>
      <c r="F15" s="74"/>
      <c r="G15" s="74"/>
      <c r="H15" s="74"/>
    </row>
    <row r="16" spans="1:8" ht="15.6" x14ac:dyDescent="0.3">
      <c r="A16" s="35" t="s">
        <v>141</v>
      </c>
      <c r="B16" s="74"/>
      <c r="C16" s="74"/>
      <c r="D16" s="74"/>
      <c r="E16" s="74"/>
      <c r="F16" s="74"/>
      <c r="G16" s="74"/>
      <c r="H16" s="74"/>
    </row>
    <row r="17" spans="1:8" ht="15.6" x14ac:dyDescent="0.3">
      <c r="A17" s="35" t="s">
        <v>142</v>
      </c>
      <c r="B17" s="74"/>
      <c r="C17" s="74"/>
      <c r="D17" s="74"/>
      <c r="E17" s="74"/>
      <c r="F17" s="74"/>
      <c r="G17" s="74"/>
      <c r="H17" s="74"/>
    </row>
    <row r="18" spans="1:8" ht="15.6" x14ac:dyDescent="0.3">
      <c r="A18" s="35" t="s">
        <v>143</v>
      </c>
      <c r="B18" s="74"/>
      <c r="C18" s="74"/>
      <c r="D18" s="74"/>
      <c r="E18" s="74"/>
      <c r="F18" s="74"/>
      <c r="G18" s="74"/>
      <c r="H18" s="74"/>
    </row>
    <row r="19" spans="1:8" s="74" customFormat="1" ht="15.6" x14ac:dyDescent="0.3">
      <c r="B19" s="35"/>
    </row>
    <row r="20" spans="1:8" ht="15.6" x14ac:dyDescent="0.3">
      <c r="G20" s="36"/>
    </row>
    <row r="21" spans="1:8" s="74" customFormat="1" ht="15.6" x14ac:dyDescent="0.3">
      <c r="B21" s="36" t="s">
        <v>127</v>
      </c>
      <c r="C21" s="36" t="s">
        <v>128</v>
      </c>
      <c r="D21" s="36" t="s">
        <v>129</v>
      </c>
      <c r="E21" s="36" t="s">
        <v>130</v>
      </c>
      <c r="F21" s="36" t="s">
        <v>131</v>
      </c>
      <c r="G21" s="36"/>
    </row>
    <row r="22" spans="1:8" s="74" customFormat="1" ht="15.6" x14ac:dyDescent="0.3">
      <c r="B22" s="36" t="s">
        <v>132</v>
      </c>
      <c r="C22" s="37">
        <v>24</v>
      </c>
      <c r="D22" s="37">
        <v>10</v>
      </c>
      <c r="E22" s="37">
        <v>8</v>
      </c>
      <c r="F22" s="37">
        <v>14</v>
      </c>
      <c r="G22" s="37">
        <f>SUM(C22:F22)</f>
        <v>56</v>
      </c>
    </row>
    <row r="23" spans="1:8" s="74" customFormat="1" ht="31.2" x14ac:dyDescent="0.3">
      <c r="B23" s="36" t="s">
        <v>133</v>
      </c>
      <c r="C23" s="37">
        <v>30</v>
      </c>
      <c r="D23" s="37">
        <v>6</v>
      </c>
      <c r="E23" s="37">
        <v>22</v>
      </c>
      <c r="F23" s="37">
        <v>12</v>
      </c>
      <c r="G23" s="37">
        <f t="shared" ref="G23:G24" si="0">SUM(C23:F23)</f>
        <v>70</v>
      </c>
    </row>
    <row r="24" spans="1:8" s="74" customFormat="1" ht="31.2" x14ac:dyDescent="0.3">
      <c r="B24" s="36" t="s">
        <v>134</v>
      </c>
      <c r="C24" s="37">
        <v>28</v>
      </c>
      <c r="D24" s="37">
        <v>18</v>
      </c>
      <c r="E24" s="37">
        <v>12</v>
      </c>
      <c r="F24" s="37">
        <v>16</v>
      </c>
      <c r="G24" s="37">
        <f t="shared" si="0"/>
        <v>74</v>
      </c>
    </row>
    <row r="25" spans="1:8" s="74" customFormat="1" x14ac:dyDescent="0.3">
      <c r="C25" s="74">
        <f>SUM(C22:C24)</f>
        <v>82</v>
      </c>
      <c r="D25" s="74">
        <f t="shared" ref="D25:G25" si="1">SUM(D22:D24)</f>
        <v>34</v>
      </c>
      <c r="E25" s="74">
        <f t="shared" si="1"/>
        <v>42</v>
      </c>
      <c r="F25" s="74">
        <f t="shared" si="1"/>
        <v>42</v>
      </c>
      <c r="G25" s="74">
        <f t="shared" si="1"/>
        <v>200</v>
      </c>
    </row>
    <row r="26" spans="1:8" s="74" customFormat="1" x14ac:dyDescent="0.3">
      <c r="A26" s="74" t="s">
        <v>600</v>
      </c>
    </row>
    <row r="27" spans="1:8" ht="15.6" x14ac:dyDescent="0.3">
      <c r="B27" s="36" t="s">
        <v>127</v>
      </c>
      <c r="C27" s="36" t="s">
        <v>128</v>
      </c>
      <c r="D27" s="36" t="s">
        <v>129</v>
      </c>
      <c r="E27" s="36" t="s">
        <v>130</v>
      </c>
      <c r="F27" s="36" t="s">
        <v>131</v>
      </c>
    </row>
    <row r="28" spans="1:8" ht="15.6" x14ac:dyDescent="0.3">
      <c r="B28" s="36" t="s">
        <v>132</v>
      </c>
      <c r="C28" s="37">
        <f t="shared" ref="C28:F30" si="2">B6/$G$9</f>
        <v>0.12</v>
      </c>
      <c r="D28" s="37">
        <f t="shared" si="2"/>
        <v>0.05</v>
      </c>
      <c r="E28" s="37">
        <f t="shared" si="2"/>
        <v>0.04</v>
      </c>
      <c r="F28" s="37">
        <f t="shared" si="2"/>
        <v>7.0000000000000007E-2</v>
      </c>
      <c r="G28" s="114">
        <f>SUM(C28:F28)</f>
        <v>0.28000000000000003</v>
      </c>
    </row>
    <row r="29" spans="1:8" ht="31.2" x14ac:dyDescent="0.3">
      <c r="B29" s="36" t="s">
        <v>133</v>
      </c>
      <c r="C29" s="37">
        <f t="shared" si="2"/>
        <v>0.15</v>
      </c>
      <c r="D29" s="37">
        <f t="shared" si="2"/>
        <v>0.03</v>
      </c>
      <c r="E29" s="37">
        <f t="shared" si="2"/>
        <v>0.11</v>
      </c>
      <c r="F29" s="37">
        <f t="shared" si="2"/>
        <v>0.06</v>
      </c>
      <c r="G29" s="114">
        <f t="shared" ref="G29:G31" si="3">SUM(C29:F29)</f>
        <v>0.35</v>
      </c>
    </row>
    <row r="30" spans="1:8" ht="31.2" x14ac:dyDescent="0.3">
      <c r="B30" s="36" t="s">
        <v>134</v>
      </c>
      <c r="C30" s="37">
        <f t="shared" si="2"/>
        <v>0.14000000000000001</v>
      </c>
      <c r="D30" s="37">
        <f t="shared" si="2"/>
        <v>0.09</v>
      </c>
      <c r="E30" s="37">
        <f t="shared" si="2"/>
        <v>0.06</v>
      </c>
      <c r="F30" s="37">
        <f t="shared" si="2"/>
        <v>0.08</v>
      </c>
      <c r="G30" s="114">
        <f t="shared" si="3"/>
        <v>0.37000000000000005</v>
      </c>
    </row>
    <row r="31" spans="1:8" ht="15" x14ac:dyDescent="0.3">
      <c r="C31">
        <f>SUM(C28:C30)</f>
        <v>0.41000000000000003</v>
      </c>
      <c r="D31" s="74">
        <f t="shared" ref="D31:F31" si="4">SUM(D28:D30)</f>
        <v>0.16999999999999998</v>
      </c>
      <c r="E31" s="74">
        <f t="shared" si="4"/>
        <v>0.21</v>
      </c>
      <c r="F31" s="74">
        <f t="shared" si="4"/>
        <v>0.21000000000000002</v>
      </c>
      <c r="G31" s="114">
        <f t="shared" si="3"/>
        <v>1</v>
      </c>
    </row>
    <row r="33" spans="2:4" ht="15.6" x14ac:dyDescent="0.3">
      <c r="B33" s="115" t="s">
        <v>320</v>
      </c>
      <c r="C33" t="s">
        <v>579</v>
      </c>
      <c r="D33">
        <f>E31</f>
        <v>0.21</v>
      </c>
    </row>
    <row r="34" spans="2:4" ht="15.6" x14ac:dyDescent="0.3">
      <c r="B34" s="115" t="s">
        <v>196</v>
      </c>
      <c r="C34" t="s">
        <v>580</v>
      </c>
      <c r="D34">
        <f>G30+C31-C30</f>
        <v>0.64</v>
      </c>
    </row>
    <row r="35" spans="2:4" ht="15.6" x14ac:dyDescent="0.3">
      <c r="B35" s="115" t="s">
        <v>445</v>
      </c>
      <c r="C35" t="s">
        <v>581</v>
      </c>
      <c r="D35">
        <f>G28+D31-D28</f>
        <v>0.4</v>
      </c>
    </row>
    <row r="36" spans="2:4" ht="15.6" x14ac:dyDescent="0.3">
      <c r="B36" s="115" t="s">
        <v>322</v>
      </c>
      <c r="C36" t="s">
        <v>582</v>
      </c>
      <c r="D36">
        <f>D29</f>
        <v>0.03</v>
      </c>
    </row>
    <row r="37" spans="2:4" ht="15.6" x14ac:dyDescent="0.3">
      <c r="B37" s="115" t="s">
        <v>583</v>
      </c>
      <c r="C37" t="s">
        <v>584</v>
      </c>
      <c r="D37">
        <f>F28</f>
        <v>7.0000000000000007E-2</v>
      </c>
    </row>
    <row r="38" spans="2:4" ht="15.6" x14ac:dyDescent="0.3">
      <c r="B38" s="115" t="s">
        <v>516</v>
      </c>
      <c r="C38" t="s">
        <v>585</v>
      </c>
      <c r="D38">
        <f>0</f>
        <v>0</v>
      </c>
    </row>
    <row r="39" spans="2:4" ht="15.6" x14ac:dyDescent="0.3">
      <c r="B39" s="115" t="s">
        <v>586</v>
      </c>
      <c r="C39" t="s">
        <v>588</v>
      </c>
      <c r="D39">
        <f>E29/E31</f>
        <v>0.52380952380952384</v>
      </c>
    </row>
    <row r="40" spans="2:4" ht="15.6" x14ac:dyDescent="0.3">
      <c r="B40" s="115" t="s">
        <v>587</v>
      </c>
      <c r="C40" t="s">
        <v>589</v>
      </c>
      <c r="D40">
        <f>F30/G30</f>
        <v>0.2162162162162162</v>
      </c>
    </row>
    <row r="41" spans="2:4" ht="15.6" x14ac:dyDescent="0.3">
      <c r="B41" s="115" t="s">
        <v>512</v>
      </c>
      <c r="C41" t="s">
        <v>590</v>
      </c>
      <c r="D41">
        <f>0/C31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E19D3-72DE-485B-A775-AC6F6BE23E92}">
  <dimension ref="A1:W199"/>
  <sheetViews>
    <sheetView topLeftCell="A31" workbookViewId="0">
      <selection activeCell="A56" sqref="A56"/>
    </sheetView>
  </sheetViews>
  <sheetFormatPr defaultRowHeight="14.4" x14ac:dyDescent="0.3"/>
  <cols>
    <col min="1" max="1" width="10.21875" customWidth="1"/>
    <col min="2" max="3" width="11.5546875" customWidth="1"/>
    <col min="4" max="4" width="10.109375" customWidth="1"/>
    <col min="5" max="5" width="13.88671875" customWidth="1"/>
    <col min="6" max="6" width="15.88671875" customWidth="1"/>
    <col min="14" max="14" width="11.6640625" customWidth="1"/>
  </cols>
  <sheetData>
    <row r="1" spans="1:23" ht="18" x14ac:dyDescent="0.35">
      <c r="A1" s="7" t="s">
        <v>145</v>
      </c>
      <c r="B1" s="8"/>
      <c r="C1" s="8"/>
      <c r="D1" s="8"/>
      <c r="E1" s="8"/>
      <c r="F1" s="8"/>
      <c r="G1" s="8"/>
      <c r="H1" s="8"/>
      <c r="I1" s="8"/>
      <c r="J1" s="8"/>
      <c r="K1" s="8"/>
      <c r="L1" s="8"/>
    </row>
    <row r="2" spans="1:23" ht="18" x14ac:dyDescent="0.35">
      <c r="A2" s="7" t="s">
        <v>33</v>
      </c>
      <c r="B2" s="8"/>
      <c r="C2" s="8"/>
      <c r="D2" s="8"/>
      <c r="E2" s="8"/>
      <c r="F2" s="8"/>
      <c r="G2" s="8"/>
      <c r="H2" s="8"/>
      <c r="I2" s="8"/>
      <c r="J2" s="8"/>
      <c r="K2" s="8"/>
      <c r="L2" s="8"/>
    </row>
    <row r="3" spans="1:23" ht="18" x14ac:dyDescent="0.35">
      <c r="A3" s="7" t="s">
        <v>34</v>
      </c>
      <c r="B3" s="8"/>
      <c r="C3" s="8"/>
      <c r="D3" s="8"/>
      <c r="E3" s="8"/>
      <c r="F3" s="8"/>
      <c r="G3" s="8"/>
      <c r="H3" s="8"/>
      <c r="I3" s="8"/>
      <c r="J3" s="8"/>
      <c r="K3" s="8"/>
      <c r="L3" s="8"/>
    </row>
    <row r="4" spans="1:23" ht="18" x14ac:dyDescent="0.35">
      <c r="A4" s="7" t="s">
        <v>35</v>
      </c>
      <c r="B4" s="8"/>
      <c r="C4" s="8"/>
      <c r="D4" s="8"/>
      <c r="E4" s="8"/>
      <c r="F4" s="8"/>
      <c r="G4" s="8"/>
      <c r="H4" s="8"/>
      <c r="I4" s="8"/>
      <c r="J4" s="8"/>
      <c r="K4" s="8"/>
      <c r="L4" s="8"/>
      <c r="Q4" s="24" t="s">
        <v>258</v>
      </c>
      <c r="R4" s="24"/>
    </row>
    <row r="5" spans="1:23" ht="18" x14ac:dyDescent="0.35">
      <c r="A5" s="7" t="s">
        <v>36</v>
      </c>
      <c r="B5" s="8"/>
      <c r="C5" s="8"/>
      <c r="D5" s="8"/>
      <c r="E5" s="8"/>
      <c r="F5" s="8"/>
      <c r="G5" s="8"/>
      <c r="H5" s="8"/>
      <c r="I5" s="8"/>
      <c r="J5" s="8"/>
      <c r="K5" s="8"/>
      <c r="L5" s="8"/>
      <c r="Q5" s="24" t="s">
        <v>247</v>
      </c>
      <c r="R5" s="24"/>
    </row>
    <row r="6" spans="1:23" ht="18" x14ac:dyDescent="0.35">
      <c r="A6" s="7" t="s">
        <v>37</v>
      </c>
      <c r="B6" s="8"/>
      <c r="C6" s="8"/>
      <c r="D6" s="8"/>
      <c r="E6" s="8"/>
      <c r="F6" s="8"/>
      <c r="G6" s="8"/>
      <c r="H6" s="8"/>
      <c r="I6" s="8"/>
      <c r="J6" s="8"/>
      <c r="K6" s="8"/>
      <c r="L6" s="8"/>
    </row>
    <row r="7" spans="1:23" ht="18.600000000000001" thickBot="1" x14ac:dyDescent="0.4">
      <c r="A7" s="7" t="s">
        <v>38</v>
      </c>
      <c r="B7" s="8"/>
      <c r="C7" s="8"/>
      <c r="D7" s="8"/>
      <c r="E7" s="8"/>
      <c r="F7" s="8"/>
      <c r="G7" s="58" t="s">
        <v>268</v>
      </c>
      <c r="H7" s="59">
        <f>COUNT(A10:D15)-1</f>
        <v>23</v>
      </c>
      <c r="I7" s="58" t="s">
        <v>269</v>
      </c>
      <c r="J7" s="58">
        <f>H8-1</f>
        <v>3</v>
      </c>
      <c r="K7" s="13"/>
      <c r="L7" s="53" t="s">
        <v>176</v>
      </c>
      <c r="M7" s="53" t="s">
        <v>270</v>
      </c>
      <c r="N7" s="53"/>
      <c r="Q7" t="s">
        <v>248</v>
      </c>
    </row>
    <row r="8" spans="1:23" ht="15" thickBot="1" x14ac:dyDescent="0.35">
      <c r="G8" s="58" t="s">
        <v>271</v>
      </c>
      <c r="H8" s="58">
        <f>4</f>
        <v>4</v>
      </c>
      <c r="I8" s="58" t="s">
        <v>272</v>
      </c>
      <c r="J8" s="59">
        <f>H7-J7</f>
        <v>20</v>
      </c>
      <c r="K8" s="13"/>
      <c r="L8" s="53" t="s">
        <v>273</v>
      </c>
      <c r="M8" s="53" t="s">
        <v>274</v>
      </c>
      <c r="N8" s="53"/>
      <c r="Q8" s="40" t="s">
        <v>249</v>
      </c>
      <c r="R8" s="40" t="s">
        <v>250</v>
      </c>
      <c r="S8" s="40" t="s">
        <v>251</v>
      </c>
      <c r="T8" s="40" t="s">
        <v>252</v>
      </c>
      <c r="U8" s="40" t="s">
        <v>253</v>
      </c>
    </row>
    <row r="9" spans="1:23" ht="16.2" thickBot="1" x14ac:dyDescent="0.35">
      <c r="A9" s="9" t="s">
        <v>39</v>
      </c>
      <c r="B9" s="10" t="s">
        <v>40</v>
      </c>
      <c r="C9" s="10" t="s">
        <v>41</v>
      </c>
      <c r="D9" s="10" t="s">
        <v>42</v>
      </c>
      <c r="E9" s="141" t="s">
        <v>392</v>
      </c>
      <c r="Q9" s="38" t="s">
        <v>39</v>
      </c>
      <c r="R9" s="38">
        <v>6</v>
      </c>
      <c r="S9" s="38">
        <v>250.2</v>
      </c>
      <c r="T9" s="38">
        <v>41.699999999999996</v>
      </c>
      <c r="U9" s="38">
        <v>1.9999999999999719E-2</v>
      </c>
    </row>
    <row r="10" spans="1:23" ht="16.2" thickBot="1" x14ac:dyDescent="0.35">
      <c r="A10" s="11">
        <v>41.8</v>
      </c>
      <c r="B10" s="12">
        <v>41.4</v>
      </c>
      <c r="C10" s="12">
        <v>41.2</v>
      </c>
      <c r="D10" s="12">
        <v>41</v>
      </c>
      <c r="Q10" s="38" t="s">
        <v>40</v>
      </c>
      <c r="R10" s="38">
        <v>6</v>
      </c>
      <c r="S10" s="38">
        <v>249.5</v>
      </c>
      <c r="T10" s="38">
        <v>41.583333333333336</v>
      </c>
      <c r="U10" s="38">
        <v>3.7666666666667112E-2</v>
      </c>
    </row>
    <row r="11" spans="1:23" ht="16.2" thickBot="1" x14ac:dyDescent="0.35">
      <c r="A11" s="11">
        <v>41.9</v>
      </c>
      <c r="B11" s="12">
        <v>41.3</v>
      </c>
      <c r="C11" s="12">
        <v>41</v>
      </c>
      <c r="D11" s="12">
        <v>40.6</v>
      </c>
      <c r="G11" s="60" t="s">
        <v>260</v>
      </c>
      <c r="H11" s="61" t="s">
        <v>259</v>
      </c>
      <c r="I11" s="61" t="s">
        <v>262</v>
      </c>
      <c r="J11" s="61" t="s">
        <v>261</v>
      </c>
      <c r="Q11" s="38" t="s">
        <v>41</v>
      </c>
      <c r="R11" s="38">
        <v>6</v>
      </c>
      <c r="S11" s="38">
        <v>248.70000000000005</v>
      </c>
      <c r="T11" s="38">
        <v>41.45000000000001</v>
      </c>
      <c r="U11" s="38">
        <v>0.11500000000000002</v>
      </c>
    </row>
    <row r="12" spans="1:23" ht="16.2" thickBot="1" x14ac:dyDescent="0.35">
      <c r="A12" s="11">
        <v>41.7</v>
      </c>
      <c r="B12" s="12">
        <v>41.7</v>
      </c>
      <c r="C12" s="12">
        <v>41.6</v>
      </c>
      <c r="D12" s="12">
        <v>41.8</v>
      </c>
      <c r="F12" s="13" t="s">
        <v>171</v>
      </c>
      <c r="G12" s="57">
        <v>6</v>
      </c>
      <c r="H12" s="57">
        <v>6</v>
      </c>
      <c r="I12" s="57">
        <v>6</v>
      </c>
      <c r="J12" s="56">
        <v>6</v>
      </c>
      <c r="Q12" s="39" t="s">
        <v>42</v>
      </c>
      <c r="R12" s="39">
        <v>6</v>
      </c>
      <c r="S12" s="39">
        <v>248</v>
      </c>
      <c r="T12" s="39">
        <v>41.333333333333336</v>
      </c>
      <c r="U12" s="39">
        <v>0.2466666666666652</v>
      </c>
    </row>
    <row r="13" spans="1:23" ht="16.2" thickBot="1" x14ac:dyDescent="0.35">
      <c r="A13" s="11">
        <v>41.6</v>
      </c>
      <c r="B13" s="12">
        <v>41.6</v>
      </c>
      <c r="C13" s="12">
        <v>41.9</v>
      </c>
      <c r="D13" s="12">
        <v>41.2</v>
      </c>
      <c r="F13" s="13" t="s">
        <v>263</v>
      </c>
      <c r="G13">
        <f>AVERAGE(A10:A15)</f>
        <v>41.699999999999996</v>
      </c>
      <c r="H13" s="13">
        <f t="shared" ref="H13:J13" si="0">AVERAGE(B10:B15)</f>
        <v>41.583333333333336</v>
      </c>
      <c r="I13" s="13">
        <f t="shared" si="0"/>
        <v>41.45000000000001</v>
      </c>
      <c r="J13" s="13">
        <f t="shared" si="0"/>
        <v>41.333333333333336</v>
      </c>
      <c r="L13">
        <f>SUMPRODUCT(G13:J13,G12:J12)/SUM(G12:J12)</f>
        <v>41.516666666666673</v>
      </c>
      <c r="M13" t="s">
        <v>275</v>
      </c>
    </row>
    <row r="14" spans="1:23" ht="16.2" thickBot="1" x14ac:dyDescent="0.35">
      <c r="A14" s="11">
        <v>41.5</v>
      </c>
      <c r="B14" s="12">
        <v>41.7</v>
      </c>
      <c r="C14" s="12">
        <v>41.7</v>
      </c>
      <c r="D14" s="12">
        <v>41.9</v>
      </c>
      <c r="F14" s="13" t="s">
        <v>264</v>
      </c>
      <c r="G14">
        <f>_xlfn.VAR.S(A10:A15)</f>
        <v>1.9999999999999719E-2</v>
      </c>
      <c r="H14" s="13">
        <f t="shared" ref="H14:J14" si="1">_xlfn.VAR.S(B10:B15)</f>
        <v>3.7666666666667112E-2</v>
      </c>
      <c r="I14" s="13">
        <f t="shared" si="1"/>
        <v>0.11500000000000002</v>
      </c>
      <c r="J14" s="13">
        <f t="shared" si="1"/>
        <v>0.2466666666666652</v>
      </c>
    </row>
    <row r="15" spans="1:23" ht="16.2" thickBot="1" x14ac:dyDescent="0.35">
      <c r="A15" s="11">
        <v>41.7</v>
      </c>
      <c r="B15" s="12">
        <v>41.8</v>
      </c>
      <c r="C15" s="12">
        <v>41.3</v>
      </c>
      <c r="D15" s="12">
        <v>41.5</v>
      </c>
      <c r="F15" s="52" t="s">
        <v>265</v>
      </c>
      <c r="G15">
        <f>(G13-$L$13)^2</f>
        <v>3.3611111111107289E-2</v>
      </c>
      <c r="H15" s="13">
        <f t="shared" ref="H15:J15" si="2">(H13-$L$13)^2</f>
        <v>4.4444444444439388E-3</v>
      </c>
      <c r="I15" s="13">
        <f t="shared" si="2"/>
        <v>4.4444444444439388E-3</v>
      </c>
      <c r="J15" s="13">
        <f t="shared" si="2"/>
        <v>3.36111111111125E-2</v>
      </c>
      <c r="Q15" t="s">
        <v>153</v>
      </c>
    </row>
    <row r="16" spans="1:23" x14ac:dyDescent="0.3">
      <c r="F16" s="52" t="s">
        <v>266</v>
      </c>
      <c r="G16">
        <f>G15*G12</f>
        <v>0.20166666666664373</v>
      </c>
      <c r="H16" s="13">
        <f t="shared" ref="H16:J16" si="3">H15*H12</f>
        <v>2.6666666666663633E-2</v>
      </c>
      <c r="I16" s="13">
        <f t="shared" si="3"/>
        <v>2.6666666666663633E-2</v>
      </c>
      <c r="J16" s="13">
        <f t="shared" si="3"/>
        <v>0.20166666666667499</v>
      </c>
      <c r="L16" s="13">
        <f>SUM(G16:J16)</f>
        <v>0.45666666666664596</v>
      </c>
      <c r="M16" s="13" t="s">
        <v>276</v>
      </c>
      <c r="Q16" s="40" t="s">
        <v>254</v>
      </c>
      <c r="R16" s="40" t="s">
        <v>159</v>
      </c>
      <c r="S16" s="40" t="s">
        <v>158</v>
      </c>
      <c r="T16" s="40" t="s">
        <v>160</v>
      </c>
      <c r="U16" s="123" t="s">
        <v>161</v>
      </c>
      <c r="V16" s="123" t="s">
        <v>165</v>
      </c>
      <c r="W16" s="123" t="s">
        <v>255</v>
      </c>
    </row>
    <row r="17" spans="1:23" x14ac:dyDescent="0.3">
      <c r="F17" s="13" t="s">
        <v>267</v>
      </c>
      <c r="G17">
        <f>(G12-1)*G14</f>
        <v>9.999999999999859E-2</v>
      </c>
      <c r="H17" s="13">
        <f t="shared" ref="H17:J17" si="4">(H12-1)*H14</f>
        <v>0.18833333333333557</v>
      </c>
      <c r="I17" s="13">
        <f t="shared" si="4"/>
        <v>0.57500000000000007</v>
      </c>
      <c r="J17" s="13">
        <f t="shared" si="4"/>
        <v>1.2333333333333261</v>
      </c>
      <c r="L17" s="13">
        <f>SUM(G17:J17)</f>
        <v>2.0966666666666605</v>
      </c>
      <c r="M17" s="13" t="s">
        <v>277</v>
      </c>
      <c r="Q17" s="38" t="s">
        <v>256</v>
      </c>
      <c r="R17" s="38">
        <v>0.45666666666666611</v>
      </c>
      <c r="S17" s="38">
        <v>3</v>
      </c>
      <c r="T17" s="38">
        <v>0.15222222222222204</v>
      </c>
      <c r="U17" s="118">
        <v>1.4520402755696897</v>
      </c>
      <c r="V17" s="118">
        <v>0.25761071761368798</v>
      </c>
      <c r="W17" s="118">
        <v>3.0983912121407795</v>
      </c>
    </row>
    <row r="18" spans="1:23" x14ac:dyDescent="0.3">
      <c r="Q18" s="38" t="s">
        <v>257</v>
      </c>
      <c r="R18" s="38">
        <v>2.0966666666666605</v>
      </c>
      <c r="S18" s="38">
        <v>20</v>
      </c>
      <c r="T18" s="38">
        <v>0.10483333333333303</v>
      </c>
      <c r="U18" s="38"/>
      <c r="V18" s="38"/>
      <c r="W18" s="38"/>
    </row>
    <row r="19" spans="1:23" x14ac:dyDescent="0.3">
      <c r="F19" s="52" t="s">
        <v>278</v>
      </c>
      <c r="G19" s="54" t="s">
        <v>279</v>
      </c>
      <c r="H19" s="13">
        <f>L16/J7</f>
        <v>0.15222222222221532</v>
      </c>
      <c r="Q19" s="38"/>
      <c r="R19" s="38"/>
      <c r="S19" s="38"/>
      <c r="T19" s="38"/>
      <c r="U19" s="38"/>
      <c r="V19" s="38"/>
      <c r="W19" s="38"/>
    </row>
    <row r="20" spans="1:23" ht="15" thickBot="1" x14ac:dyDescent="0.35">
      <c r="F20" s="52" t="s">
        <v>280</v>
      </c>
      <c r="G20" s="54" t="s">
        <v>281</v>
      </c>
      <c r="H20" s="13">
        <f>L17/J8</f>
        <v>0.10483333333333303</v>
      </c>
      <c r="Q20" s="39" t="s">
        <v>156</v>
      </c>
      <c r="R20" s="39">
        <v>2.5533333333333266</v>
      </c>
      <c r="S20" s="39">
        <v>23</v>
      </c>
      <c r="T20" s="39"/>
      <c r="U20" s="39"/>
      <c r="V20" s="39"/>
      <c r="W20" s="39"/>
    </row>
    <row r="21" spans="1:23" x14ac:dyDescent="0.3">
      <c r="F21" s="121" t="s">
        <v>282</v>
      </c>
      <c r="G21" s="122"/>
      <c r="H21" s="103">
        <f>H19/H20</f>
        <v>1.4520402755696258</v>
      </c>
      <c r="I21" s="103"/>
    </row>
    <row r="22" spans="1:23" x14ac:dyDescent="0.3">
      <c r="F22" s="121" t="s">
        <v>187</v>
      </c>
      <c r="G22" s="122" t="s">
        <v>283</v>
      </c>
      <c r="H22" s="103">
        <f>1-_xlfn.F.DIST(H21,J7,J8,TRUE)</f>
        <v>0.25761071761370524</v>
      </c>
      <c r="I22" s="103"/>
    </row>
    <row r="23" spans="1:23" x14ac:dyDescent="0.3">
      <c r="F23" s="52" t="s">
        <v>284</v>
      </c>
      <c r="G23" s="54"/>
      <c r="H23" s="13">
        <v>0.05</v>
      </c>
    </row>
    <row r="24" spans="1:23" x14ac:dyDescent="0.3">
      <c r="F24" s="121" t="s">
        <v>285</v>
      </c>
      <c r="G24" s="103"/>
      <c r="H24" s="103">
        <f>_xlfn.F.INV.RT(H23,J7,J8)</f>
        <v>3.0983912121407795</v>
      </c>
      <c r="I24" s="103"/>
    </row>
    <row r="25" spans="1:23" x14ac:dyDescent="0.3">
      <c r="F25" s="149" t="s">
        <v>286</v>
      </c>
      <c r="G25" s="149"/>
      <c r="H25" s="149"/>
      <c r="I25" s="149"/>
      <c r="J25" s="149"/>
      <c r="K25" s="149"/>
      <c r="L25" s="149"/>
      <c r="M25" s="149"/>
      <c r="N25" s="149"/>
      <c r="O25" s="149"/>
      <c r="P25" s="149"/>
      <c r="Q25" s="103"/>
      <c r="R25" s="103"/>
    </row>
    <row r="26" spans="1:23" x14ac:dyDescent="0.3">
      <c r="F26" s="121" t="s">
        <v>287</v>
      </c>
      <c r="G26" s="103"/>
      <c r="H26" s="103"/>
      <c r="I26" s="103"/>
      <c r="J26" s="103"/>
      <c r="K26" s="103"/>
      <c r="L26" s="103"/>
      <c r="M26" s="103"/>
      <c r="N26" s="103"/>
      <c r="O26" s="103"/>
      <c r="P26" s="103"/>
      <c r="Q26" s="103"/>
      <c r="R26" s="103"/>
    </row>
    <row r="28" spans="1:23" ht="18" x14ac:dyDescent="0.35">
      <c r="A28" s="13" t="s">
        <v>196</v>
      </c>
      <c r="B28" s="13"/>
      <c r="C28" s="150" t="s">
        <v>288</v>
      </c>
      <c r="D28" s="150"/>
      <c r="E28" s="150"/>
      <c r="F28" s="150"/>
      <c r="G28" s="13"/>
      <c r="H28" s="13"/>
      <c r="I28" s="13"/>
      <c r="J28" s="13"/>
      <c r="K28" s="13"/>
      <c r="L28" s="150" t="s">
        <v>289</v>
      </c>
      <c r="M28" s="150"/>
      <c r="N28" s="150"/>
      <c r="O28" s="150"/>
      <c r="P28" s="13"/>
      <c r="Q28" s="13"/>
      <c r="R28" s="13"/>
      <c r="S28" s="13"/>
    </row>
    <row r="29" spans="1:23" x14ac:dyDescent="0.3">
      <c r="A29" s="13"/>
      <c r="B29" s="13"/>
      <c r="C29" s="13"/>
      <c r="D29" s="13"/>
      <c r="E29" s="13"/>
      <c r="F29" s="13"/>
      <c r="G29" s="13"/>
      <c r="H29" s="13"/>
      <c r="I29" s="13"/>
      <c r="J29" s="13"/>
      <c r="K29" s="13"/>
      <c r="L29" s="13"/>
      <c r="M29" s="13"/>
      <c r="N29" s="13"/>
      <c r="O29" s="13"/>
      <c r="P29" s="13"/>
      <c r="Q29" s="13"/>
      <c r="R29" s="13"/>
      <c r="S29" s="13"/>
    </row>
    <row r="30" spans="1:23" x14ac:dyDescent="0.3">
      <c r="A30" s="13"/>
      <c r="B30" s="13"/>
      <c r="C30" s="13"/>
      <c r="D30" s="13"/>
      <c r="E30" s="13"/>
      <c r="F30" s="13"/>
      <c r="G30" s="13" t="s">
        <v>290</v>
      </c>
      <c r="H30" s="13">
        <f>_xlfn.T.INV.2T(H23,J8)</f>
        <v>2.0859634472658648</v>
      </c>
      <c r="I30" s="13"/>
      <c r="J30" s="13"/>
      <c r="K30" s="13"/>
      <c r="L30" s="13"/>
      <c r="M30" s="13"/>
      <c r="N30" s="13"/>
      <c r="O30" s="13"/>
      <c r="P30" s="13"/>
      <c r="Q30" s="13" t="s">
        <v>290</v>
      </c>
      <c r="R30" s="13">
        <f>_xlfn.T.INV.2T(H23/6,J8)</f>
        <v>2.927119116640112</v>
      </c>
      <c r="S30" s="13"/>
    </row>
    <row r="31" spans="1:23" x14ac:dyDescent="0.3">
      <c r="A31" s="13"/>
      <c r="B31" s="13"/>
      <c r="C31" s="13"/>
      <c r="D31" s="13"/>
      <c r="E31" s="13"/>
      <c r="F31" s="13"/>
      <c r="G31" s="13"/>
      <c r="H31" s="13"/>
      <c r="I31" s="13"/>
      <c r="J31" s="13"/>
      <c r="K31" s="13"/>
      <c r="L31" s="13"/>
      <c r="M31" s="13"/>
      <c r="N31" s="13"/>
      <c r="O31" s="13"/>
      <c r="P31" s="13"/>
      <c r="Q31" s="13"/>
      <c r="R31" s="13"/>
      <c r="S31" s="13"/>
    </row>
    <row r="32" spans="1:23" x14ac:dyDescent="0.3">
      <c r="A32" s="13"/>
      <c r="B32" s="13"/>
      <c r="C32" s="13"/>
      <c r="D32" s="13"/>
      <c r="E32" s="13"/>
      <c r="F32" s="13"/>
      <c r="G32" s="13" t="s">
        <v>291</v>
      </c>
      <c r="H32" s="13">
        <f>H30*SQRT(H20*((1/G12)+(1/H12)))</f>
        <v>0.38993818339108538</v>
      </c>
      <c r="I32" s="13"/>
      <c r="J32" s="13"/>
      <c r="K32" s="13"/>
      <c r="L32" s="13"/>
      <c r="M32" s="13"/>
      <c r="N32" s="13"/>
      <c r="O32" s="13"/>
      <c r="P32" s="13"/>
      <c r="Q32" s="13" t="s">
        <v>291</v>
      </c>
      <c r="R32" s="13">
        <f>R30*SQRT(H20*((1/H12)+(1/I12)))</f>
        <v>0.54717905647293363</v>
      </c>
      <c r="S32" s="13"/>
    </row>
    <row r="33" spans="1:19" x14ac:dyDescent="0.3">
      <c r="A33" s="13"/>
      <c r="B33" s="13"/>
      <c r="C33" s="13"/>
      <c r="D33" s="13"/>
      <c r="E33" s="13"/>
      <c r="F33" s="13"/>
      <c r="G33" s="13"/>
      <c r="H33" s="13"/>
      <c r="I33" s="13"/>
      <c r="J33" s="13"/>
      <c r="K33" s="13"/>
      <c r="L33" s="13"/>
      <c r="M33" s="13"/>
      <c r="N33" s="13"/>
      <c r="O33" s="13"/>
      <c r="P33" s="13"/>
      <c r="Q33" s="13"/>
      <c r="R33" s="13"/>
      <c r="S33" s="13"/>
    </row>
    <row r="34" spans="1:19" x14ac:dyDescent="0.3">
      <c r="A34" s="13"/>
      <c r="B34" s="13"/>
      <c r="C34" s="13"/>
      <c r="D34" s="13"/>
      <c r="E34" s="13"/>
      <c r="F34" s="13"/>
      <c r="G34" s="13"/>
      <c r="H34" s="13"/>
      <c r="I34" s="13"/>
      <c r="J34" s="13"/>
      <c r="K34" s="13"/>
      <c r="L34" s="13"/>
      <c r="M34" s="13"/>
      <c r="N34" s="13"/>
      <c r="O34" s="13"/>
      <c r="P34" s="13"/>
      <c r="Q34" s="13"/>
      <c r="R34" s="13"/>
      <c r="S34" s="13"/>
    </row>
    <row r="35" spans="1:19" x14ac:dyDescent="0.3">
      <c r="A35" s="13"/>
      <c r="B35" s="13"/>
      <c r="C35" s="13"/>
      <c r="D35" s="13"/>
      <c r="E35" s="13"/>
      <c r="F35" s="13"/>
      <c r="G35" s="13"/>
      <c r="H35" s="13"/>
      <c r="I35" s="13"/>
      <c r="J35" s="13"/>
      <c r="K35" s="13"/>
      <c r="L35" s="13"/>
      <c r="M35" s="13"/>
      <c r="N35" s="13"/>
      <c r="O35" s="13"/>
      <c r="P35" s="13"/>
      <c r="Q35" s="13"/>
      <c r="R35" s="13"/>
      <c r="S35" s="13"/>
    </row>
    <row r="36" spans="1:19" x14ac:dyDescent="0.3">
      <c r="A36" s="13"/>
      <c r="B36" s="13"/>
      <c r="C36" s="13" t="s">
        <v>292</v>
      </c>
      <c r="D36" s="13"/>
      <c r="E36" s="13" t="s">
        <v>293</v>
      </c>
      <c r="F36" s="13" t="s">
        <v>294</v>
      </c>
      <c r="G36" s="13" t="s">
        <v>295</v>
      </c>
      <c r="H36" s="13"/>
      <c r="I36" s="13"/>
      <c r="J36" s="13"/>
      <c r="K36" s="13"/>
      <c r="L36" s="13" t="s">
        <v>292</v>
      </c>
      <c r="M36" s="13"/>
      <c r="N36" s="13" t="s">
        <v>293</v>
      </c>
      <c r="O36" s="13" t="s">
        <v>296</v>
      </c>
      <c r="P36" s="13" t="s">
        <v>297</v>
      </c>
      <c r="Q36" s="13"/>
      <c r="R36" s="13"/>
      <c r="S36" s="13"/>
    </row>
    <row r="37" spans="1:19" x14ac:dyDescent="0.3">
      <c r="A37" s="13"/>
      <c r="B37" s="13" t="s">
        <v>298</v>
      </c>
      <c r="C37" s="13">
        <v>41.699999999999996</v>
      </c>
      <c r="D37" s="55" t="s">
        <v>293</v>
      </c>
      <c r="E37" s="55">
        <f>C37-C38</f>
        <v>0.11666666666666003</v>
      </c>
      <c r="F37" s="55">
        <f>E37+$H$32</f>
        <v>0.50660485005774536</v>
      </c>
      <c r="G37" s="55">
        <f>E37-$H$32</f>
        <v>-0.27327151672442535</v>
      </c>
      <c r="H37" s="13" t="s">
        <v>299</v>
      </c>
      <c r="I37" s="13"/>
      <c r="J37" s="13"/>
      <c r="K37" s="13" t="s">
        <v>298</v>
      </c>
      <c r="L37" s="13">
        <v>41.699999999999996</v>
      </c>
      <c r="M37" s="55" t="s">
        <v>293</v>
      </c>
      <c r="N37" s="55">
        <f>L37-L38</f>
        <v>0.11666666666666003</v>
      </c>
      <c r="O37" s="55">
        <f>N37+$R$32</f>
        <v>0.66384572313959367</v>
      </c>
      <c r="P37" s="55">
        <f>N37-$R$32</f>
        <v>-0.4305123898062736</v>
      </c>
      <c r="Q37" s="13" t="s">
        <v>299</v>
      </c>
      <c r="R37" s="13"/>
      <c r="S37" s="13"/>
    </row>
    <row r="38" spans="1:19" x14ac:dyDescent="0.3">
      <c r="A38" s="13"/>
      <c r="B38" s="13" t="s">
        <v>300</v>
      </c>
      <c r="C38" s="13">
        <v>41.583333333333336</v>
      </c>
      <c r="D38" s="13" t="s">
        <v>301</v>
      </c>
      <c r="E38" s="13">
        <f>C37-C39</f>
        <v>0.24999999999998579</v>
      </c>
      <c r="F38" s="55">
        <f t="shared" ref="F38:F42" si="5">E38+$H$32</f>
        <v>0.63993818339107111</v>
      </c>
      <c r="G38" s="55">
        <f t="shared" ref="G38:G42" si="6">E38-$H$32</f>
        <v>-0.13993818339109959</v>
      </c>
      <c r="H38" s="13" t="s">
        <v>299</v>
      </c>
      <c r="I38" s="13"/>
      <c r="J38" s="13"/>
      <c r="K38" s="13" t="s">
        <v>300</v>
      </c>
      <c r="L38" s="13">
        <v>41.583333333333336</v>
      </c>
      <c r="M38" s="13" t="s">
        <v>301</v>
      </c>
      <c r="N38" s="13">
        <f>L37-L39</f>
        <v>0.24999999999998579</v>
      </c>
      <c r="O38" s="55">
        <f t="shared" ref="O38:O42" si="7">N38+$R$32</f>
        <v>0.79717905647291942</v>
      </c>
      <c r="P38" s="55">
        <f t="shared" ref="P38:P42" si="8">N38-$R$32</f>
        <v>-0.29717905647294784</v>
      </c>
      <c r="Q38" s="13" t="s">
        <v>299</v>
      </c>
      <c r="R38" s="13"/>
      <c r="S38" s="13"/>
    </row>
    <row r="39" spans="1:19" x14ac:dyDescent="0.3">
      <c r="A39" s="13"/>
      <c r="B39" s="13" t="s">
        <v>302</v>
      </c>
      <c r="C39" s="13">
        <v>41.45000000000001</v>
      </c>
      <c r="D39" s="13" t="s">
        <v>303</v>
      </c>
      <c r="E39" s="13">
        <f>C37-C40</f>
        <v>0.36666666666666003</v>
      </c>
      <c r="F39" s="55">
        <f t="shared" si="5"/>
        <v>0.75660485005774536</v>
      </c>
      <c r="G39" s="55">
        <f t="shared" si="6"/>
        <v>-2.3271516724425345E-2</v>
      </c>
      <c r="H39" s="13" t="s">
        <v>299</v>
      </c>
      <c r="I39" s="13"/>
      <c r="J39" s="13"/>
      <c r="K39" s="13" t="s">
        <v>302</v>
      </c>
      <c r="L39" s="13">
        <v>41.45000000000001</v>
      </c>
      <c r="M39" s="13" t="s">
        <v>303</v>
      </c>
      <c r="N39" s="13">
        <f>L37-L40</f>
        <v>0.36666666666666003</v>
      </c>
      <c r="O39" s="55">
        <f t="shared" si="7"/>
        <v>0.91384572313959367</v>
      </c>
      <c r="P39" s="55">
        <f t="shared" si="8"/>
        <v>-0.1805123898062736</v>
      </c>
      <c r="Q39" s="13" t="s">
        <v>306</v>
      </c>
      <c r="R39" s="13"/>
      <c r="S39" s="13"/>
    </row>
    <row r="40" spans="1:19" x14ac:dyDescent="0.3">
      <c r="A40" s="13"/>
      <c r="B40" s="13" t="s">
        <v>304</v>
      </c>
      <c r="C40" s="13">
        <v>41.333333333333336</v>
      </c>
      <c r="D40" s="13" t="s">
        <v>305</v>
      </c>
      <c r="E40" s="13">
        <f>C38-C39</f>
        <v>0.13333333333332575</v>
      </c>
      <c r="F40" s="55">
        <f t="shared" si="5"/>
        <v>0.52327151672441108</v>
      </c>
      <c r="G40" s="55">
        <f t="shared" si="6"/>
        <v>-0.25660485005775963</v>
      </c>
      <c r="H40" s="13" t="s">
        <v>306</v>
      </c>
      <c r="I40" s="13"/>
      <c r="J40" s="13"/>
      <c r="K40" s="13" t="s">
        <v>304</v>
      </c>
      <c r="L40" s="13">
        <v>41.333333333333336</v>
      </c>
      <c r="M40" s="13" t="s">
        <v>305</v>
      </c>
      <c r="N40" s="13">
        <f>L38-L39</f>
        <v>0.13333333333332575</v>
      </c>
      <c r="O40" s="55">
        <f t="shared" si="7"/>
        <v>0.68051238980625939</v>
      </c>
      <c r="P40" s="55">
        <f t="shared" si="8"/>
        <v>-0.41384572313960788</v>
      </c>
      <c r="Q40" s="13" t="s">
        <v>306</v>
      </c>
      <c r="R40" s="13"/>
      <c r="S40" s="13"/>
    </row>
    <row r="41" spans="1:19" x14ac:dyDescent="0.3">
      <c r="A41" s="13"/>
      <c r="B41" s="13"/>
      <c r="C41" s="13"/>
      <c r="D41" s="13" t="s">
        <v>307</v>
      </c>
      <c r="E41" s="13">
        <f>C38-C40</f>
        <v>0.25</v>
      </c>
      <c r="F41" s="55">
        <f t="shared" si="5"/>
        <v>0.63993818339108532</v>
      </c>
      <c r="G41" s="55">
        <f t="shared" si="6"/>
        <v>-0.13993818339108538</v>
      </c>
      <c r="H41" s="13" t="s">
        <v>306</v>
      </c>
      <c r="I41" s="13"/>
      <c r="J41" s="13"/>
      <c r="K41" s="13"/>
      <c r="L41" s="13"/>
      <c r="M41" s="13" t="s">
        <v>307</v>
      </c>
      <c r="N41" s="13">
        <f>L38-L40</f>
        <v>0.25</v>
      </c>
      <c r="O41" s="55">
        <f t="shared" si="7"/>
        <v>0.79717905647293363</v>
      </c>
      <c r="P41" s="55">
        <f>N41-$R$32</f>
        <v>-0.29717905647293363</v>
      </c>
      <c r="Q41" s="13" t="s">
        <v>306</v>
      </c>
      <c r="R41" s="13"/>
      <c r="S41" s="13"/>
    </row>
    <row r="42" spans="1:19" x14ac:dyDescent="0.3">
      <c r="A42" s="13"/>
      <c r="B42" s="13"/>
      <c r="C42" s="13"/>
      <c r="D42" s="13" t="s">
        <v>308</v>
      </c>
      <c r="E42" s="13">
        <f>C39-C40</f>
        <v>0.11666666666667425</v>
      </c>
      <c r="F42" s="55">
        <f t="shared" si="5"/>
        <v>0.50660485005775957</v>
      </c>
      <c r="G42" s="55">
        <f t="shared" si="6"/>
        <v>-0.27327151672441113</v>
      </c>
      <c r="H42" s="13" t="s">
        <v>306</v>
      </c>
      <c r="I42" s="13"/>
      <c r="J42" s="13"/>
      <c r="K42" s="13"/>
      <c r="L42" s="13"/>
      <c r="M42" s="13" t="s">
        <v>308</v>
      </c>
      <c r="N42" s="13">
        <f>L39-L40</f>
        <v>0.11666666666667425</v>
      </c>
      <c r="O42" s="55">
        <f t="shared" si="7"/>
        <v>0.66384572313960788</v>
      </c>
      <c r="P42" s="55">
        <f t="shared" si="8"/>
        <v>-0.43051238980625939</v>
      </c>
      <c r="Q42" s="13" t="s">
        <v>306</v>
      </c>
      <c r="R42" s="13"/>
      <c r="S42" s="13"/>
    </row>
    <row r="43" spans="1:19" x14ac:dyDescent="0.3">
      <c r="A43" s="13"/>
      <c r="B43" s="13"/>
      <c r="C43" s="13"/>
      <c r="D43" s="13"/>
      <c r="E43" s="13"/>
      <c r="F43" s="13"/>
      <c r="G43" s="13"/>
      <c r="H43" s="13"/>
      <c r="I43" s="13"/>
      <c r="J43" s="13"/>
      <c r="K43" s="13"/>
      <c r="L43" s="13"/>
      <c r="M43" s="13"/>
      <c r="N43" s="13"/>
      <c r="O43" s="13"/>
      <c r="P43" s="13"/>
      <c r="Q43" s="13"/>
      <c r="R43" s="13"/>
      <c r="S43" s="13"/>
    </row>
    <row r="44" spans="1:19" x14ac:dyDescent="0.3">
      <c r="A44" s="13"/>
      <c r="B44" s="13"/>
      <c r="C44" s="13"/>
      <c r="D44" s="13"/>
      <c r="E44" s="24" t="s">
        <v>309</v>
      </c>
      <c r="F44" s="13" t="s">
        <v>299</v>
      </c>
      <c r="G44" s="24" t="s">
        <v>310</v>
      </c>
      <c r="H44" s="13"/>
      <c r="I44" s="13"/>
      <c r="J44" s="13"/>
      <c r="K44" s="13"/>
      <c r="L44" s="13"/>
      <c r="M44" s="13"/>
      <c r="N44" s="24" t="s">
        <v>309</v>
      </c>
      <c r="O44" s="13" t="s">
        <v>299</v>
      </c>
      <c r="P44" s="24" t="s">
        <v>310</v>
      </c>
      <c r="Q44" s="13"/>
      <c r="R44" s="13"/>
      <c r="S44" s="13"/>
    </row>
    <row r="45" spans="1:19" x14ac:dyDescent="0.3">
      <c r="A45" s="13"/>
      <c r="B45" s="13"/>
      <c r="C45" s="13"/>
      <c r="D45" s="13"/>
      <c r="E45" s="24" t="s">
        <v>311</v>
      </c>
      <c r="F45" s="13" t="s">
        <v>299</v>
      </c>
      <c r="G45" s="24" t="s">
        <v>310</v>
      </c>
      <c r="H45" s="13"/>
      <c r="I45" s="13"/>
      <c r="J45" s="13"/>
      <c r="K45" s="13"/>
      <c r="L45" s="13"/>
      <c r="M45" s="13"/>
      <c r="N45" s="24" t="s">
        <v>311</v>
      </c>
      <c r="O45" s="13" t="s">
        <v>299</v>
      </c>
      <c r="P45" s="24" t="s">
        <v>310</v>
      </c>
      <c r="Q45" s="13"/>
      <c r="R45" s="13"/>
      <c r="S45" s="13"/>
    </row>
    <row r="46" spans="1:19" x14ac:dyDescent="0.3">
      <c r="A46" s="13"/>
      <c r="B46" s="13"/>
      <c r="C46" s="13"/>
      <c r="D46" s="13"/>
      <c r="E46" s="24" t="s">
        <v>312</v>
      </c>
      <c r="F46" s="13" t="s">
        <v>299</v>
      </c>
      <c r="G46" s="24" t="s">
        <v>310</v>
      </c>
      <c r="H46" s="13"/>
      <c r="I46" s="13"/>
      <c r="J46" s="13"/>
      <c r="K46" s="13"/>
      <c r="L46" s="13"/>
      <c r="M46" s="13"/>
      <c r="N46" s="24" t="s">
        <v>312</v>
      </c>
      <c r="O46" s="13" t="s">
        <v>299</v>
      </c>
      <c r="P46" s="24" t="s">
        <v>310</v>
      </c>
      <c r="Q46" s="13"/>
      <c r="R46" s="13"/>
      <c r="S46" s="13"/>
    </row>
    <row r="47" spans="1:19" x14ac:dyDescent="0.3">
      <c r="A47" s="13"/>
      <c r="B47" s="13"/>
      <c r="C47" s="13"/>
      <c r="D47" s="13"/>
      <c r="E47" s="24" t="s">
        <v>313</v>
      </c>
      <c r="F47" s="13" t="s">
        <v>306</v>
      </c>
      <c r="G47" s="24" t="s">
        <v>310</v>
      </c>
      <c r="H47" s="13"/>
      <c r="I47" s="13"/>
      <c r="J47" s="13"/>
      <c r="K47" s="13"/>
      <c r="L47" s="13"/>
      <c r="M47" s="13"/>
      <c r="N47" s="24" t="s">
        <v>313</v>
      </c>
      <c r="O47" s="13" t="s">
        <v>306</v>
      </c>
      <c r="P47" s="24" t="s">
        <v>310</v>
      </c>
      <c r="Q47" s="13"/>
      <c r="R47" s="13"/>
      <c r="S47" s="13"/>
    </row>
    <row r="48" spans="1:19" x14ac:dyDescent="0.3">
      <c r="A48" s="13"/>
      <c r="B48" s="13"/>
      <c r="C48" s="13"/>
      <c r="D48" s="13"/>
      <c r="E48" s="24" t="s">
        <v>314</v>
      </c>
      <c r="F48" s="13" t="s">
        <v>306</v>
      </c>
      <c r="G48" s="24" t="s">
        <v>310</v>
      </c>
      <c r="H48" s="13"/>
      <c r="I48" s="13"/>
      <c r="J48" s="13"/>
      <c r="K48" s="13"/>
      <c r="L48" s="13"/>
      <c r="M48" s="13"/>
      <c r="N48" s="24" t="s">
        <v>314</v>
      </c>
      <c r="O48" s="13" t="s">
        <v>306</v>
      </c>
      <c r="P48" s="24" t="s">
        <v>310</v>
      </c>
      <c r="Q48" s="13"/>
      <c r="R48" s="13"/>
      <c r="S48" s="13"/>
    </row>
    <row r="49" spans="1:19" x14ac:dyDescent="0.3">
      <c r="A49" s="13"/>
      <c r="B49" s="13"/>
      <c r="C49" s="13"/>
      <c r="D49" s="13"/>
      <c r="E49" s="24" t="s">
        <v>315</v>
      </c>
      <c r="F49" s="13" t="s">
        <v>306</v>
      </c>
      <c r="G49" s="24" t="s">
        <v>310</v>
      </c>
      <c r="H49" s="13"/>
      <c r="I49" s="13"/>
      <c r="J49" s="13"/>
      <c r="K49" s="13"/>
      <c r="L49" s="13"/>
      <c r="M49" s="13"/>
      <c r="N49" s="24" t="s">
        <v>315</v>
      </c>
      <c r="O49" s="13" t="s">
        <v>306</v>
      </c>
      <c r="P49" s="24" t="s">
        <v>310</v>
      </c>
      <c r="Q49" s="13"/>
      <c r="R49" s="13"/>
      <c r="S49" s="13"/>
    </row>
    <row r="50" spans="1:19" x14ac:dyDescent="0.3">
      <c r="A50" s="13"/>
      <c r="B50" s="13"/>
      <c r="C50" s="13"/>
      <c r="D50" s="13"/>
      <c r="E50" s="13"/>
      <c r="F50" s="13"/>
      <c r="G50" s="13"/>
      <c r="H50" s="13"/>
      <c r="I50" s="13"/>
      <c r="J50" s="13"/>
      <c r="K50" s="13"/>
      <c r="L50" s="13"/>
      <c r="M50" s="13"/>
      <c r="N50" s="13"/>
      <c r="O50" s="13"/>
      <c r="P50" s="13"/>
      <c r="Q50" s="13"/>
      <c r="R50" s="13"/>
      <c r="S50" s="13"/>
    </row>
    <row r="51" spans="1:19" x14ac:dyDescent="0.3">
      <c r="A51" s="13"/>
      <c r="B51" s="13"/>
      <c r="C51" s="13"/>
      <c r="D51" s="13"/>
      <c r="E51" s="13"/>
      <c r="F51" s="13"/>
      <c r="G51" s="13"/>
      <c r="H51" s="13"/>
      <c r="I51" s="13"/>
      <c r="J51" s="13"/>
      <c r="K51" s="13"/>
      <c r="L51" s="13"/>
      <c r="M51" s="13"/>
      <c r="N51" s="13"/>
      <c r="O51" s="13"/>
      <c r="P51" s="13"/>
      <c r="Q51" s="13"/>
      <c r="R51" s="13"/>
      <c r="S51" s="13"/>
    </row>
    <row r="52" spans="1:19" x14ac:dyDescent="0.3">
      <c r="A52" s="13"/>
      <c r="B52" s="13"/>
      <c r="C52" s="13"/>
      <c r="D52" s="13"/>
      <c r="E52" s="13"/>
      <c r="F52" s="13"/>
      <c r="G52" s="13"/>
      <c r="H52" s="13"/>
      <c r="I52" s="13"/>
      <c r="J52" s="13"/>
      <c r="K52" s="13"/>
      <c r="L52" s="13"/>
      <c r="M52" s="13"/>
      <c r="N52" s="13"/>
      <c r="O52" s="13"/>
      <c r="P52" s="13"/>
      <c r="Q52" s="13"/>
      <c r="R52" s="13"/>
      <c r="S52" s="13"/>
    </row>
    <row r="53" spans="1:19" x14ac:dyDescent="0.3">
      <c r="A53" s="13"/>
      <c r="B53" s="13"/>
      <c r="C53" s="13"/>
      <c r="D53" s="13"/>
      <c r="E53" s="13"/>
      <c r="F53" s="13"/>
      <c r="G53" s="13"/>
      <c r="H53" s="13"/>
      <c r="I53" s="13"/>
      <c r="J53" s="13"/>
      <c r="K53" s="13"/>
      <c r="L53" s="13"/>
      <c r="M53" s="13"/>
      <c r="N53" s="13"/>
      <c r="O53" s="13"/>
      <c r="P53" s="13"/>
      <c r="Q53" s="13"/>
      <c r="R53" s="13"/>
      <c r="S53" s="13"/>
    </row>
    <row r="54" spans="1:19" x14ac:dyDescent="0.3">
      <c r="A54" s="13"/>
      <c r="B54" s="13" t="s">
        <v>316</v>
      </c>
      <c r="C54" s="13"/>
      <c r="D54" s="13"/>
      <c r="E54" s="13"/>
      <c r="F54" s="13"/>
      <c r="G54" s="13"/>
      <c r="H54" s="13"/>
      <c r="I54" s="13"/>
      <c r="J54" s="13"/>
      <c r="K54" s="13"/>
      <c r="L54" s="13"/>
      <c r="M54" s="13"/>
      <c r="N54" s="13"/>
      <c r="O54" s="13"/>
      <c r="P54" s="13"/>
      <c r="Q54" s="13"/>
      <c r="R54" s="13"/>
      <c r="S54" s="13"/>
    </row>
    <row r="55" spans="1:19" x14ac:dyDescent="0.3">
      <c r="A55" s="13"/>
      <c r="B55" s="13"/>
      <c r="C55" s="13"/>
      <c r="D55" s="13"/>
      <c r="E55" s="13"/>
      <c r="F55" s="13"/>
      <c r="G55" s="13"/>
      <c r="H55" s="13"/>
      <c r="I55" s="13"/>
      <c r="J55" s="13"/>
      <c r="K55" s="13"/>
      <c r="L55" s="13"/>
      <c r="M55" s="13"/>
      <c r="N55" s="13"/>
      <c r="O55" s="13"/>
      <c r="P55" s="13"/>
      <c r="Q55" s="13"/>
      <c r="R55" s="13"/>
      <c r="S55" s="13"/>
    </row>
    <row r="56" spans="1:19" x14ac:dyDescent="0.3">
      <c r="A56" s="13"/>
      <c r="B56" s="13" t="s">
        <v>280</v>
      </c>
      <c r="C56" s="55">
        <f>H20</f>
        <v>0.10483333333333303</v>
      </c>
      <c r="D56" s="13"/>
      <c r="E56" s="13"/>
      <c r="F56" s="13"/>
      <c r="G56" s="13"/>
      <c r="H56" s="13"/>
      <c r="I56" s="13"/>
      <c r="J56" s="13"/>
      <c r="K56" s="13"/>
      <c r="L56" s="13"/>
      <c r="M56" s="13"/>
      <c r="N56" s="13"/>
      <c r="O56" s="13"/>
      <c r="P56" s="13"/>
      <c r="Q56" s="13"/>
      <c r="R56" s="13"/>
      <c r="S56" s="13"/>
    </row>
    <row r="57" spans="1:19" x14ac:dyDescent="0.3">
      <c r="A57" s="13" t="s">
        <v>317</v>
      </c>
      <c r="B57" s="13"/>
      <c r="C57" s="13">
        <v>3.79</v>
      </c>
      <c r="D57" s="13"/>
      <c r="E57" s="13"/>
      <c r="F57" s="13"/>
      <c r="G57" s="13"/>
      <c r="H57" s="13"/>
      <c r="I57" s="13"/>
      <c r="J57" s="13"/>
      <c r="K57" s="13"/>
      <c r="L57" s="13"/>
      <c r="M57" s="13"/>
      <c r="N57" s="13"/>
      <c r="O57" s="13"/>
      <c r="P57" s="13"/>
      <c r="Q57" s="13"/>
      <c r="R57" s="13"/>
      <c r="S57" s="13"/>
    </row>
    <row r="58" spans="1:19" x14ac:dyDescent="0.3">
      <c r="A58" s="13"/>
      <c r="B58" s="13" t="s">
        <v>318</v>
      </c>
      <c r="C58" s="13">
        <f>C57*SQRT(C56/I12)</f>
        <v>0.50097180282149767</v>
      </c>
      <c r="D58" s="13"/>
      <c r="E58" s="13"/>
      <c r="F58" s="13"/>
      <c r="G58" s="13"/>
      <c r="H58" s="13"/>
      <c r="I58" s="13"/>
      <c r="J58" s="13"/>
      <c r="K58" s="13"/>
      <c r="L58" s="13"/>
      <c r="M58" s="13"/>
      <c r="N58" s="13"/>
      <c r="O58" s="13"/>
      <c r="P58" s="13"/>
      <c r="Q58" s="13"/>
      <c r="R58" s="13"/>
      <c r="S58" s="13"/>
    </row>
    <row r="59" spans="1:19" x14ac:dyDescent="0.3">
      <c r="A59" s="13"/>
      <c r="B59" s="13"/>
      <c r="C59" s="13"/>
      <c r="D59" s="13"/>
      <c r="E59" s="13"/>
      <c r="F59" s="13"/>
      <c r="G59" s="13"/>
      <c r="H59" s="13"/>
      <c r="I59" s="13"/>
      <c r="J59" s="13"/>
      <c r="K59" s="13"/>
      <c r="L59" s="13"/>
      <c r="M59" s="13"/>
      <c r="N59" s="13"/>
      <c r="O59" s="13"/>
      <c r="P59" s="13"/>
      <c r="Q59" s="13"/>
      <c r="R59" s="13"/>
      <c r="S59" s="13"/>
    </row>
    <row r="60" spans="1:19" x14ac:dyDescent="0.3">
      <c r="A60" s="13"/>
      <c r="B60" s="13"/>
      <c r="C60" s="13" t="s">
        <v>292</v>
      </c>
      <c r="D60" s="13"/>
      <c r="E60" s="13" t="s">
        <v>293</v>
      </c>
      <c r="F60" s="13" t="s">
        <v>296</v>
      </c>
      <c r="G60" s="13" t="s">
        <v>297</v>
      </c>
      <c r="H60" s="13"/>
      <c r="I60" s="13"/>
      <c r="J60" s="13"/>
      <c r="K60" s="13"/>
      <c r="L60" s="13"/>
      <c r="M60" s="13"/>
      <c r="N60" s="13"/>
      <c r="O60" s="13"/>
      <c r="P60" s="13"/>
      <c r="Q60" s="13"/>
      <c r="R60" s="13"/>
      <c r="S60" s="13"/>
    </row>
    <row r="61" spans="1:19" x14ac:dyDescent="0.3">
      <c r="A61" s="13"/>
      <c r="B61" s="13" t="s">
        <v>298</v>
      </c>
      <c r="C61" s="13">
        <v>41.699999999999996</v>
      </c>
      <c r="D61" s="55" t="s">
        <v>293</v>
      </c>
      <c r="E61" s="55">
        <f>C61-C62</f>
        <v>0.11666666666666003</v>
      </c>
      <c r="F61" s="55">
        <f>E61+$C$58</f>
        <v>0.6176384694881577</v>
      </c>
      <c r="G61" s="55">
        <f>E61-$C$58</f>
        <v>-0.38430513615483763</v>
      </c>
      <c r="H61" s="13" t="s">
        <v>299</v>
      </c>
      <c r="I61" s="13"/>
      <c r="J61" s="13"/>
      <c r="K61" s="13"/>
      <c r="L61" s="13"/>
      <c r="M61" s="13"/>
      <c r="N61" s="13"/>
      <c r="O61" s="13"/>
      <c r="P61" s="13"/>
      <c r="Q61" s="13"/>
      <c r="R61" s="13"/>
      <c r="S61" s="13"/>
    </row>
    <row r="62" spans="1:19" x14ac:dyDescent="0.3">
      <c r="A62" s="13"/>
      <c r="B62" s="13" t="s">
        <v>300</v>
      </c>
      <c r="C62" s="13">
        <v>41.583333333333336</v>
      </c>
      <c r="D62" s="13" t="s">
        <v>301</v>
      </c>
      <c r="E62" s="13">
        <f>C61-C63</f>
        <v>0.24999999999998579</v>
      </c>
      <c r="F62" s="55">
        <f t="shared" ref="F62:F66" si="9">E62+$C$58</f>
        <v>0.75097180282148346</v>
      </c>
      <c r="G62" s="55">
        <f t="shared" ref="G62:G66" si="10">E62-$C$58</f>
        <v>-0.25097180282151188</v>
      </c>
      <c r="H62" s="13" t="s">
        <v>299</v>
      </c>
      <c r="I62" s="13"/>
      <c r="J62" s="13"/>
      <c r="K62" s="13"/>
      <c r="L62" s="13"/>
      <c r="M62" s="13"/>
      <c r="N62" s="13"/>
      <c r="O62" s="13"/>
      <c r="P62" s="13"/>
      <c r="Q62" s="13"/>
      <c r="R62" s="13"/>
      <c r="S62" s="13"/>
    </row>
    <row r="63" spans="1:19" x14ac:dyDescent="0.3">
      <c r="A63" s="13"/>
      <c r="B63" s="13" t="s">
        <v>302</v>
      </c>
      <c r="C63" s="13">
        <v>41.45000000000001</v>
      </c>
      <c r="D63" s="13" t="s">
        <v>303</v>
      </c>
      <c r="E63" s="13">
        <f>C61-C64</f>
        <v>0.36666666666666003</v>
      </c>
      <c r="F63" s="55">
        <f t="shared" si="9"/>
        <v>0.8676384694881577</v>
      </c>
      <c r="G63" s="55">
        <f t="shared" si="10"/>
        <v>-0.13430513615483763</v>
      </c>
      <c r="H63" s="13" t="s">
        <v>306</v>
      </c>
      <c r="I63" s="13"/>
      <c r="J63" s="13"/>
      <c r="K63" s="13"/>
      <c r="L63" s="13"/>
      <c r="M63" s="13"/>
      <c r="N63" s="13"/>
      <c r="O63" s="13"/>
      <c r="P63" s="13"/>
      <c r="Q63" s="13"/>
      <c r="R63" s="13"/>
      <c r="S63" s="13"/>
    </row>
    <row r="64" spans="1:19" x14ac:dyDescent="0.3">
      <c r="A64" s="13"/>
      <c r="B64" s="13" t="s">
        <v>304</v>
      </c>
      <c r="C64" s="13">
        <v>41.333333333333336</v>
      </c>
      <c r="D64" s="13" t="s">
        <v>305</v>
      </c>
      <c r="E64" s="13">
        <f>C62-C63</f>
        <v>0.13333333333332575</v>
      </c>
      <c r="F64" s="55">
        <f t="shared" si="9"/>
        <v>0.63430513615482342</v>
      </c>
      <c r="G64" s="55">
        <f t="shared" si="10"/>
        <v>-0.36763846948817192</v>
      </c>
      <c r="H64" s="13" t="s">
        <v>306</v>
      </c>
      <c r="I64" s="13"/>
      <c r="J64" s="13"/>
      <c r="K64" s="13"/>
      <c r="L64" s="13"/>
      <c r="M64" s="13"/>
      <c r="N64" s="13"/>
      <c r="O64" s="13"/>
      <c r="P64" s="13"/>
      <c r="Q64" s="13"/>
      <c r="R64" s="13"/>
      <c r="S64" s="13"/>
    </row>
    <row r="65" spans="1:19" x14ac:dyDescent="0.3">
      <c r="A65" s="13"/>
      <c r="B65" s="13"/>
      <c r="C65" s="13"/>
      <c r="D65" s="13" t="s">
        <v>307</v>
      </c>
      <c r="E65" s="13">
        <f>C62-C64</f>
        <v>0.25</v>
      </c>
      <c r="F65" s="55">
        <f t="shared" si="9"/>
        <v>0.75097180282149767</v>
      </c>
      <c r="G65" s="55">
        <f t="shared" si="10"/>
        <v>-0.25097180282149767</v>
      </c>
      <c r="H65" s="13" t="s">
        <v>306</v>
      </c>
      <c r="I65" s="13"/>
      <c r="J65" s="13"/>
      <c r="K65" s="13"/>
      <c r="L65" s="13"/>
      <c r="M65" s="13"/>
      <c r="N65" s="13"/>
      <c r="O65" s="13"/>
      <c r="P65" s="13"/>
      <c r="Q65" s="13"/>
      <c r="R65" s="13"/>
      <c r="S65" s="13"/>
    </row>
    <row r="66" spans="1:19" x14ac:dyDescent="0.3">
      <c r="A66" s="13"/>
      <c r="B66" s="13"/>
      <c r="C66" s="13"/>
      <c r="D66" s="13" t="s">
        <v>308</v>
      </c>
      <c r="E66" s="13">
        <f>C63-C64</f>
        <v>0.11666666666667425</v>
      </c>
      <c r="F66" s="55">
        <f t="shared" si="9"/>
        <v>0.61763846948817192</v>
      </c>
      <c r="G66" s="55">
        <f t="shared" si="10"/>
        <v>-0.38430513615482342</v>
      </c>
      <c r="H66" s="13" t="s">
        <v>306</v>
      </c>
      <c r="I66" s="13"/>
      <c r="J66" s="13"/>
      <c r="K66" s="13"/>
      <c r="L66" s="13"/>
      <c r="M66" s="13"/>
      <c r="N66" s="13"/>
      <c r="O66" s="13"/>
      <c r="P66" s="13"/>
      <c r="Q66" s="13"/>
      <c r="R66" s="13"/>
      <c r="S66" s="13"/>
    </row>
    <row r="67" spans="1:19" x14ac:dyDescent="0.3">
      <c r="A67" s="13"/>
      <c r="B67" s="13"/>
      <c r="C67" s="13"/>
      <c r="D67" s="13"/>
      <c r="E67" s="13"/>
      <c r="F67" s="13"/>
      <c r="G67" s="13"/>
      <c r="H67" s="13"/>
      <c r="I67" s="13"/>
      <c r="J67" s="13"/>
      <c r="K67" s="13"/>
      <c r="L67" s="13"/>
      <c r="M67" s="13"/>
      <c r="N67" s="13"/>
      <c r="O67" s="13"/>
      <c r="P67" s="13"/>
      <c r="Q67" s="13"/>
      <c r="R67" s="13"/>
      <c r="S67" s="13"/>
    </row>
    <row r="68" spans="1:19" x14ac:dyDescent="0.3">
      <c r="A68" s="13"/>
      <c r="B68" s="13"/>
      <c r="C68" s="13"/>
      <c r="D68" s="13"/>
      <c r="E68" s="13"/>
      <c r="F68" s="13"/>
      <c r="G68" s="13"/>
      <c r="H68" s="13"/>
      <c r="I68" s="13"/>
      <c r="J68" s="13"/>
      <c r="K68" s="13"/>
      <c r="L68" s="13"/>
      <c r="M68" s="13"/>
      <c r="N68" s="13"/>
      <c r="O68" s="13"/>
      <c r="P68" s="13"/>
      <c r="Q68" s="13"/>
      <c r="R68" s="13"/>
      <c r="S68" s="13"/>
    </row>
    <row r="69" spans="1:19" x14ac:dyDescent="0.3">
      <c r="A69" s="13"/>
      <c r="B69" s="13"/>
      <c r="C69" s="24" t="s">
        <v>309</v>
      </c>
      <c r="D69" s="13" t="s">
        <v>299</v>
      </c>
      <c r="E69" s="24" t="s">
        <v>310</v>
      </c>
      <c r="F69" s="13"/>
      <c r="G69" s="13"/>
      <c r="H69" s="13"/>
      <c r="I69" s="13"/>
      <c r="J69" s="13"/>
      <c r="K69" s="13"/>
      <c r="L69" s="13"/>
      <c r="M69" s="13"/>
      <c r="N69" s="13"/>
      <c r="O69" s="13"/>
      <c r="P69" s="13"/>
      <c r="Q69" s="13"/>
      <c r="R69" s="13"/>
      <c r="S69" s="13"/>
    </row>
    <row r="70" spans="1:19" x14ac:dyDescent="0.3">
      <c r="A70" s="13"/>
      <c r="B70" s="13"/>
      <c r="C70" s="24" t="s">
        <v>311</v>
      </c>
      <c r="D70" s="13" t="s">
        <v>299</v>
      </c>
      <c r="E70" s="24" t="s">
        <v>310</v>
      </c>
      <c r="F70" s="13"/>
      <c r="G70" s="13"/>
      <c r="H70" s="13"/>
      <c r="I70" s="13"/>
      <c r="J70" s="13"/>
      <c r="K70" s="13"/>
      <c r="L70" s="13"/>
      <c r="M70" s="13"/>
      <c r="N70" s="13"/>
      <c r="O70" s="13"/>
      <c r="P70" s="13"/>
      <c r="Q70" s="13"/>
      <c r="R70" s="13"/>
      <c r="S70" s="13"/>
    </row>
    <row r="71" spans="1:19" x14ac:dyDescent="0.3">
      <c r="A71" s="13"/>
      <c r="B71" s="13"/>
      <c r="C71" s="24" t="s">
        <v>312</v>
      </c>
      <c r="D71" s="13" t="s">
        <v>306</v>
      </c>
      <c r="E71" s="24" t="s">
        <v>310</v>
      </c>
      <c r="F71" s="13"/>
      <c r="G71" s="13"/>
      <c r="H71" s="13"/>
      <c r="I71" s="13"/>
      <c r="J71" s="13"/>
      <c r="K71" s="13"/>
      <c r="L71" s="13"/>
      <c r="M71" s="13"/>
      <c r="N71" s="13"/>
      <c r="O71" s="13"/>
      <c r="P71" s="13"/>
      <c r="Q71" s="13"/>
      <c r="R71" s="13"/>
      <c r="S71" s="13"/>
    </row>
    <row r="72" spans="1:19" x14ac:dyDescent="0.3">
      <c r="A72" s="13"/>
      <c r="B72" s="13"/>
      <c r="C72" s="24" t="s">
        <v>313</v>
      </c>
      <c r="D72" s="13" t="s">
        <v>306</v>
      </c>
      <c r="E72" s="24" t="s">
        <v>310</v>
      </c>
      <c r="F72" s="13"/>
      <c r="G72" s="13"/>
      <c r="H72" s="13"/>
      <c r="I72" s="13"/>
      <c r="J72" s="13"/>
      <c r="K72" s="13"/>
      <c r="L72" s="13"/>
      <c r="M72" s="13"/>
      <c r="N72" s="13"/>
      <c r="O72" s="13"/>
      <c r="P72" s="13"/>
      <c r="Q72" s="13"/>
      <c r="R72" s="13"/>
      <c r="S72" s="13"/>
    </row>
    <row r="73" spans="1:19" x14ac:dyDescent="0.3">
      <c r="A73" s="13"/>
      <c r="B73" s="13"/>
      <c r="C73" s="24" t="s">
        <v>314</v>
      </c>
      <c r="D73" s="13" t="s">
        <v>306</v>
      </c>
      <c r="E73" s="24" t="s">
        <v>310</v>
      </c>
      <c r="F73" s="13"/>
      <c r="G73" s="13"/>
      <c r="H73" s="13"/>
      <c r="I73" s="13"/>
      <c r="J73" s="13"/>
      <c r="K73" s="13"/>
      <c r="L73" s="13"/>
      <c r="M73" s="13"/>
      <c r="N73" s="13"/>
      <c r="O73" s="13"/>
      <c r="P73" s="13"/>
      <c r="Q73" s="13"/>
      <c r="R73" s="13"/>
      <c r="S73" s="13"/>
    </row>
    <row r="74" spans="1:19" x14ac:dyDescent="0.3">
      <c r="A74" s="13"/>
      <c r="B74" s="13"/>
      <c r="C74" s="24" t="s">
        <v>315</v>
      </c>
      <c r="D74" s="13" t="s">
        <v>306</v>
      </c>
      <c r="E74" s="24" t="s">
        <v>310</v>
      </c>
      <c r="F74" s="13"/>
      <c r="G74" s="13"/>
      <c r="H74" s="13"/>
      <c r="I74" s="13"/>
      <c r="J74" s="13"/>
      <c r="K74" s="13"/>
      <c r="L74" s="13"/>
      <c r="M74" s="13"/>
      <c r="N74" s="13"/>
      <c r="O74" s="13"/>
      <c r="P74" s="13"/>
      <c r="Q74" s="13"/>
      <c r="R74" s="13"/>
      <c r="S74" s="13"/>
    </row>
    <row r="76" spans="1:19" ht="18" x14ac:dyDescent="0.35">
      <c r="B76" s="124" t="s">
        <v>319</v>
      </c>
      <c r="C76" s="43"/>
      <c r="D76" s="43"/>
      <c r="E76" s="43"/>
      <c r="F76" s="43"/>
      <c r="G76" s="43"/>
      <c r="H76" s="43"/>
      <c r="I76" s="43"/>
      <c r="J76" s="43"/>
      <c r="K76" s="43"/>
      <c r="L76" s="43"/>
      <c r="M76" s="43"/>
      <c r="N76" s="43"/>
      <c r="O76" s="43"/>
      <c r="P76" s="43"/>
    </row>
    <row r="78" spans="1:19" x14ac:dyDescent="0.3">
      <c r="C78" t="s">
        <v>244</v>
      </c>
    </row>
    <row r="81" spans="3:8" ht="18" x14ac:dyDescent="0.3">
      <c r="C81" s="44" t="s">
        <v>331</v>
      </c>
    </row>
    <row r="82" spans="3:8" ht="15" x14ac:dyDescent="0.3">
      <c r="C82" s="45" t="s">
        <v>332</v>
      </c>
    </row>
    <row r="83" spans="3:8" x14ac:dyDescent="0.3">
      <c r="C83" s="46" t="s">
        <v>333</v>
      </c>
      <c r="D83" s="46" t="s">
        <v>334</v>
      </c>
    </row>
    <row r="84" spans="3:8" x14ac:dyDescent="0.3">
      <c r="C84" s="46" t="s">
        <v>335</v>
      </c>
      <c r="D84" s="46" t="s">
        <v>336</v>
      </c>
    </row>
    <row r="85" spans="3:8" x14ac:dyDescent="0.3">
      <c r="C85" s="46" t="s">
        <v>337</v>
      </c>
      <c r="D85" s="46" t="s">
        <v>338</v>
      </c>
    </row>
    <row r="86" spans="3:8" x14ac:dyDescent="0.3">
      <c r="C86" t="s">
        <v>339</v>
      </c>
    </row>
    <row r="87" spans="3:8" ht="15" x14ac:dyDescent="0.3">
      <c r="C87" s="45" t="s">
        <v>340</v>
      </c>
    </row>
    <row r="88" spans="3:8" ht="15" thickBot="1" x14ac:dyDescent="0.35">
      <c r="C88" s="47" t="s">
        <v>341</v>
      </c>
      <c r="D88" s="48" t="s">
        <v>342</v>
      </c>
      <c r="E88" s="47" t="s">
        <v>343</v>
      </c>
    </row>
    <row r="89" spans="3:8" x14ac:dyDescent="0.3">
      <c r="C89" s="46" t="s">
        <v>341</v>
      </c>
      <c r="D89" s="49">
        <v>4</v>
      </c>
      <c r="E89" s="46" t="s">
        <v>344</v>
      </c>
    </row>
    <row r="90" spans="3:8" ht="15" x14ac:dyDescent="0.3">
      <c r="C90" s="45" t="s">
        <v>226</v>
      </c>
    </row>
    <row r="91" spans="3:8" ht="15" thickBot="1" x14ac:dyDescent="0.35">
      <c r="C91" s="47" t="s">
        <v>227</v>
      </c>
      <c r="D91" s="48" t="s">
        <v>228</v>
      </c>
      <c r="E91" s="48" t="s">
        <v>229</v>
      </c>
      <c r="F91" s="48" t="s">
        <v>230</v>
      </c>
      <c r="G91" s="48" t="s">
        <v>231</v>
      </c>
      <c r="H91" s="48" t="s">
        <v>218</v>
      </c>
    </row>
    <row r="92" spans="3:8" x14ac:dyDescent="0.3">
      <c r="C92" s="46" t="s">
        <v>341</v>
      </c>
      <c r="D92" s="49">
        <v>3</v>
      </c>
      <c r="E92" s="49">
        <v>0.45669999999999999</v>
      </c>
      <c r="F92" s="49">
        <v>0.1522</v>
      </c>
      <c r="G92" s="49">
        <v>1.45</v>
      </c>
      <c r="H92" s="49">
        <v>0.25800000000000001</v>
      </c>
    </row>
    <row r="93" spans="3:8" x14ac:dyDescent="0.3">
      <c r="C93" s="46" t="s">
        <v>234</v>
      </c>
      <c r="D93" s="49">
        <v>20</v>
      </c>
      <c r="E93" s="49">
        <v>2.0966999999999998</v>
      </c>
      <c r="F93" s="49">
        <v>0.1048</v>
      </c>
      <c r="G93" s="50"/>
      <c r="H93" s="50"/>
    </row>
    <row r="94" spans="3:8" x14ac:dyDescent="0.3">
      <c r="C94" s="46" t="s">
        <v>156</v>
      </c>
      <c r="D94" s="49">
        <v>23</v>
      </c>
      <c r="E94" s="49">
        <v>2.5533000000000001</v>
      </c>
      <c r="F94" s="50"/>
      <c r="G94" s="50"/>
      <c r="H94" s="50"/>
    </row>
    <row r="95" spans="3:8" ht="15" x14ac:dyDescent="0.3">
      <c r="C95" s="45" t="s">
        <v>221</v>
      </c>
    </row>
    <row r="96" spans="3:8" ht="15" thickBot="1" x14ac:dyDescent="0.35">
      <c r="C96" s="48" t="s">
        <v>222</v>
      </c>
      <c r="D96" s="48" t="s">
        <v>223</v>
      </c>
      <c r="E96" s="48" t="s">
        <v>224</v>
      </c>
      <c r="F96" s="48" t="s">
        <v>225</v>
      </c>
    </row>
    <row r="97" spans="3:7" x14ac:dyDescent="0.3">
      <c r="C97" s="49">
        <v>0.32378000000000001</v>
      </c>
      <c r="D97" s="51">
        <v>0.1789</v>
      </c>
      <c r="E97" s="51">
        <v>5.57E-2</v>
      </c>
      <c r="F97" s="51">
        <v>0</v>
      </c>
    </row>
    <row r="98" spans="3:7" ht="15" x14ac:dyDescent="0.3">
      <c r="C98" s="45" t="s">
        <v>345</v>
      </c>
    </row>
    <row r="99" spans="3:7" ht="15" thickBot="1" x14ac:dyDescent="0.35">
      <c r="C99" s="47" t="s">
        <v>341</v>
      </c>
      <c r="D99" s="48" t="s">
        <v>346</v>
      </c>
      <c r="E99" s="48" t="s">
        <v>347</v>
      </c>
      <c r="F99" s="48" t="s">
        <v>348</v>
      </c>
      <c r="G99" s="62" t="s">
        <v>349</v>
      </c>
    </row>
    <row r="100" spans="3:7" x14ac:dyDescent="0.3">
      <c r="C100" s="46" t="s">
        <v>39</v>
      </c>
      <c r="D100" s="49">
        <v>6</v>
      </c>
      <c r="E100" s="49">
        <v>41.7</v>
      </c>
      <c r="F100" s="49">
        <v>0.1414</v>
      </c>
      <c r="G100" s="63" t="s">
        <v>350</v>
      </c>
    </row>
    <row r="101" spans="3:7" x14ac:dyDescent="0.3">
      <c r="C101" s="46" t="s">
        <v>40</v>
      </c>
      <c r="D101" s="49">
        <v>6</v>
      </c>
      <c r="E101" s="49">
        <v>41.583300000000001</v>
      </c>
      <c r="F101" s="49">
        <v>0.19409999999999999</v>
      </c>
      <c r="G101" s="63" t="s">
        <v>351</v>
      </c>
    </row>
    <row r="102" spans="3:7" x14ac:dyDescent="0.3">
      <c r="C102" s="46" t="s">
        <v>41</v>
      </c>
      <c r="D102" s="49">
        <v>6</v>
      </c>
      <c r="E102" s="49">
        <v>41.45</v>
      </c>
      <c r="F102" s="49">
        <v>0.33900000000000002</v>
      </c>
      <c r="G102" s="63" t="s">
        <v>352</v>
      </c>
    </row>
    <row r="103" spans="3:7" x14ac:dyDescent="0.3">
      <c r="C103" s="46" t="s">
        <v>42</v>
      </c>
      <c r="D103" s="49">
        <v>6</v>
      </c>
      <c r="E103" s="49">
        <v>41.332999999999998</v>
      </c>
      <c r="F103" s="49">
        <v>0.497</v>
      </c>
      <c r="G103" s="63" t="s">
        <v>353</v>
      </c>
    </row>
    <row r="104" spans="3:7" x14ac:dyDescent="0.3">
      <c r="C104" t="s">
        <v>354</v>
      </c>
    </row>
    <row r="105" spans="3:7" ht="15" x14ac:dyDescent="0.3">
      <c r="C105" s="45" t="s">
        <v>355</v>
      </c>
    </row>
    <row r="106" spans="3:7" ht="15" x14ac:dyDescent="0.3">
      <c r="C106" s="45" t="s">
        <v>356</v>
      </c>
    </row>
    <row r="107" spans="3:7" ht="15" thickBot="1" x14ac:dyDescent="0.35">
      <c r="C107" s="47" t="s">
        <v>341</v>
      </c>
      <c r="D107" s="48" t="s">
        <v>346</v>
      </c>
      <c r="E107" s="48" t="s">
        <v>347</v>
      </c>
      <c r="F107" s="47" t="s">
        <v>357</v>
      </c>
    </row>
    <row r="108" spans="3:7" x14ac:dyDescent="0.3">
      <c r="C108" s="46" t="s">
        <v>39</v>
      </c>
      <c r="D108" s="49">
        <v>6</v>
      </c>
      <c r="E108" s="49">
        <v>41.7</v>
      </c>
      <c r="F108" s="46" t="s">
        <v>358</v>
      </c>
    </row>
    <row r="109" spans="3:7" x14ac:dyDescent="0.3">
      <c r="C109" s="46" t="s">
        <v>40</v>
      </c>
      <c r="D109" s="49">
        <v>6</v>
      </c>
      <c r="E109" s="49">
        <v>41.583300000000001</v>
      </c>
      <c r="F109" s="46" t="s">
        <v>358</v>
      </c>
    </row>
    <row r="110" spans="3:7" x14ac:dyDescent="0.3">
      <c r="C110" s="46" t="s">
        <v>41</v>
      </c>
      <c r="D110" s="49">
        <v>6</v>
      </c>
      <c r="E110" s="49">
        <v>41.45</v>
      </c>
      <c r="F110" s="46" t="s">
        <v>358</v>
      </c>
    </row>
    <row r="111" spans="3:7" x14ac:dyDescent="0.3">
      <c r="C111" s="46" t="s">
        <v>42</v>
      </c>
      <c r="D111" s="49">
        <v>6</v>
      </c>
      <c r="E111" s="49">
        <v>41.332999999999998</v>
      </c>
      <c r="F111" s="46" t="s">
        <v>358</v>
      </c>
    </row>
    <row r="112" spans="3:7" x14ac:dyDescent="0.3">
      <c r="C112" t="s">
        <v>359</v>
      </c>
    </row>
    <row r="113" spans="3:8" ht="15" x14ac:dyDescent="0.3">
      <c r="C113" s="45" t="s">
        <v>360</v>
      </c>
    </row>
    <row r="114" spans="3:8" x14ac:dyDescent="0.3">
      <c r="C114" s="143" t="s">
        <v>361</v>
      </c>
      <c r="D114" s="64" t="s">
        <v>362</v>
      </c>
      <c r="E114" s="64" t="s">
        <v>364</v>
      </c>
      <c r="F114" s="145" t="s">
        <v>349</v>
      </c>
      <c r="G114" s="147" t="s">
        <v>217</v>
      </c>
      <c r="H114" s="64" t="s">
        <v>365</v>
      </c>
    </row>
    <row r="115" spans="3:8" ht="15" thickBot="1" x14ac:dyDescent="0.35">
      <c r="C115" s="144"/>
      <c r="D115" s="48" t="s">
        <v>363</v>
      </c>
      <c r="E115" s="48" t="s">
        <v>362</v>
      </c>
      <c r="F115" s="146"/>
      <c r="G115" s="148"/>
      <c r="H115" s="48" t="s">
        <v>218</v>
      </c>
    </row>
    <row r="116" spans="3:8" x14ac:dyDescent="0.3">
      <c r="C116" s="46" t="s">
        <v>366</v>
      </c>
      <c r="D116" s="49">
        <v>-0.11700000000000001</v>
      </c>
      <c r="E116" s="49">
        <v>0.187</v>
      </c>
      <c r="F116" s="63" t="s">
        <v>367</v>
      </c>
      <c r="G116" s="49">
        <v>-0.62</v>
      </c>
      <c r="H116" s="49">
        <v>0.92300000000000004</v>
      </c>
    </row>
    <row r="117" spans="3:8" x14ac:dyDescent="0.3">
      <c r="C117" s="46" t="s">
        <v>368</v>
      </c>
      <c r="D117" s="49">
        <v>-0.25</v>
      </c>
      <c r="E117" s="49">
        <v>0.187</v>
      </c>
      <c r="F117" s="63" t="s">
        <v>369</v>
      </c>
      <c r="G117" s="49">
        <v>-1.34</v>
      </c>
      <c r="H117" s="49">
        <v>0.55100000000000005</v>
      </c>
    </row>
    <row r="118" spans="3:8" x14ac:dyDescent="0.3">
      <c r="C118" s="46" t="s">
        <v>370</v>
      </c>
      <c r="D118" s="49">
        <v>-0.36699999999999999</v>
      </c>
      <c r="E118" s="49">
        <v>0.187</v>
      </c>
      <c r="F118" s="63" t="s">
        <v>371</v>
      </c>
      <c r="G118" s="49">
        <v>-1.96</v>
      </c>
      <c r="H118" s="49">
        <v>0.23499999999999999</v>
      </c>
    </row>
    <row r="119" spans="3:8" x14ac:dyDescent="0.3">
      <c r="C119" s="46" t="s">
        <v>372</v>
      </c>
      <c r="D119" s="49">
        <v>-0.13300000000000001</v>
      </c>
      <c r="E119" s="49">
        <v>0.187</v>
      </c>
      <c r="F119" s="63" t="s">
        <v>373</v>
      </c>
      <c r="G119" s="49">
        <v>-0.71</v>
      </c>
      <c r="H119" s="49">
        <v>0.89100000000000001</v>
      </c>
    </row>
    <row r="120" spans="3:8" x14ac:dyDescent="0.3">
      <c r="C120" s="46" t="s">
        <v>374</v>
      </c>
      <c r="D120" s="49">
        <v>-0.25</v>
      </c>
      <c r="E120" s="49">
        <v>0.187</v>
      </c>
      <c r="F120" s="63" t="s">
        <v>369</v>
      </c>
      <c r="G120" s="49">
        <v>-1.34</v>
      </c>
      <c r="H120" s="49">
        <v>0.55100000000000005</v>
      </c>
    </row>
    <row r="121" spans="3:8" x14ac:dyDescent="0.3">
      <c r="C121" s="46" t="s">
        <v>375</v>
      </c>
      <c r="D121" s="49">
        <v>-0.11700000000000001</v>
      </c>
      <c r="E121" s="49">
        <v>0.187</v>
      </c>
      <c r="F121" s="63" t="s">
        <v>367</v>
      </c>
      <c r="G121" s="49">
        <v>-0.62</v>
      </c>
      <c r="H121" s="49">
        <v>0.92300000000000004</v>
      </c>
    </row>
    <row r="122" spans="3:8" x14ac:dyDescent="0.3">
      <c r="C122" t="s">
        <v>376</v>
      </c>
    </row>
    <row r="123" spans="3:8" ht="15" x14ac:dyDescent="0.3">
      <c r="C123" s="45"/>
    </row>
    <row r="124" spans="3:8" x14ac:dyDescent="0.3">
      <c r="C124" s="26"/>
    </row>
    <row r="125" spans="3:8" x14ac:dyDescent="0.3">
      <c r="C125" s="26"/>
    </row>
    <row r="126" spans="3:8" x14ac:dyDescent="0.3">
      <c r="C126" s="26"/>
    </row>
    <row r="127" spans="3:8" x14ac:dyDescent="0.3">
      <c r="C127" s="26"/>
    </row>
    <row r="128" spans="3:8" x14ac:dyDescent="0.3">
      <c r="C128" s="26"/>
    </row>
    <row r="129" spans="3:3" x14ac:dyDescent="0.3">
      <c r="C129" s="26"/>
    </row>
    <row r="130" spans="3:3" x14ac:dyDescent="0.3">
      <c r="C130" s="26"/>
    </row>
    <row r="131" spans="3:3" x14ac:dyDescent="0.3">
      <c r="C131" s="26"/>
    </row>
    <row r="132" spans="3:3" x14ac:dyDescent="0.3">
      <c r="C132" s="26"/>
    </row>
    <row r="133" spans="3:3" x14ac:dyDescent="0.3">
      <c r="C133" s="26"/>
    </row>
    <row r="134" spans="3:3" x14ac:dyDescent="0.3">
      <c r="C134" s="26"/>
    </row>
    <row r="135" spans="3:3" x14ac:dyDescent="0.3">
      <c r="C135" s="26"/>
    </row>
    <row r="136" spans="3:3" x14ac:dyDescent="0.3">
      <c r="C136" s="26"/>
    </row>
    <row r="137" spans="3:3" x14ac:dyDescent="0.3">
      <c r="C137" s="26"/>
    </row>
    <row r="138" spans="3:3" x14ac:dyDescent="0.3">
      <c r="C138" s="26"/>
    </row>
    <row r="139" spans="3:3" x14ac:dyDescent="0.3">
      <c r="C139" s="26"/>
    </row>
    <row r="140" spans="3:3" x14ac:dyDescent="0.3">
      <c r="C140" s="26"/>
    </row>
    <row r="141" spans="3:3" x14ac:dyDescent="0.3">
      <c r="C141" s="26"/>
    </row>
    <row r="143" spans="3:3" ht="15" x14ac:dyDescent="0.3">
      <c r="C143" s="45" t="s">
        <v>377</v>
      </c>
    </row>
    <row r="144" spans="3:3" ht="15" x14ac:dyDescent="0.3">
      <c r="C144" s="45" t="s">
        <v>378</v>
      </c>
    </row>
    <row r="145" spans="3:8" ht="15" thickBot="1" x14ac:dyDescent="0.35">
      <c r="C145" s="47" t="s">
        <v>341</v>
      </c>
      <c r="D145" s="48" t="s">
        <v>346</v>
      </c>
      <c r="E145" s="48" t="s">
        <v>347</v>
      </c>
      <c r="F145" s="47" t="s">
        <v>357</v>
      </c>
    </row>
    <row r="146" spans="3:8" x14ac:dyDescent="0.3">
      <c r="C146" s="46" t="s">
        <v>39</v>
      </c>
      <c r="D146" s="49">
        <v>6</v>
      </c>
      <c r="E146" s="49">
        <v>41.7</v>
      </c>
      <c r="F146" s="46" t="s">
        <v>358</v>
      </c>
    </row>
    <row r="147" spans="3:8" x14ac:dyDescent="0.3">
      <c r="C147" s="46" t="s">
        <v>40</v>
      </c>
      <c r="D147" s="49">
        <v>6</v>
      </c>
      <c r="E147" s="49">
        <v>41.583300000000001</v>
      </c>
      <c r="F147" s="46" t="s">
        <v>358</v>
      </c>
    </row>
    <row r="148" spans="3:8" x14ac:dyDescent="0.3">
      <c r="C148" s="46" t="s">
        <v>41</v>
      </c>
      <c r="D148" s="49">
        <v>6</v>
      </c>
      <c r="E148" s="49">
        <v>41.45</v>
      </c>
      <c r="F148" s="46" t="s">
        <v>358</v>
      </c>
    </row>
    <row r="149" spans="3:8" x14ac:dyDescent="0.3">
      <c r="C149" s="46" t="s">
        <v>42</v>
      </c>
      <c r="D149" s="49">
        <v>6</v>
      </c>
      <c r="E149" s="49">
        <v>41.332999999999998</v>
      </c>
      <c r="F149" s="46" t="s">
        <v>358</v>
      </c>
    </row>
    <row r="150" spans="3:8" x14ac:dyDescent="0.3">
      <c r="C150" t="s">
        <v>359</v>
      </c>
    </row>
    <row r="151" spans="3:8" ht="15" x14ac:dyDescent="0.3">
      <c r="C151" s="45" t="s">
        <v>379</v>
      </c>
    </row>
    <row r="152" spans="3:8" x14ac:dyDescent="0.3">
      <c r="C152" s="143" t="s">
        <v>361</v>
      </c>
      <c r="D152" s="64" t="s">
        <v>362</v>
      </c>
      <c r="E152" s="64" t="s">
        <v>364</v>
      </c>
      <c r="F152" s="145" t="s">
        <v>349</v>
      </c>
      <c r="G152" s="147" t="s">
        <v>217</v>
      </c>
      <c r="H152" s="64" t="s">
        <v>365</v>
      </c>
    </row>
    <row r="153" spans="3:8" ht="15" thickBot="1" x14ac:dyDescent="0.35">
      <c r="C153" s="144"/>
      <c r="D153" s="48" t="s">
        <v>363</v>
      </c>
      <c r="E153" s="48" t="s">
        <v>362</v>
      </c>
      <c r="F153" s="146"/>
      <c r="G153" s="148"/>
      <c r="H153" s="48" t="s">
        <v>218</v>
      </c>
    </row>
    <row r="154" spans="3:8" x14ac:dyDescent="0.3">
      <c r="C154" s="46" t="s">
        <v>366</v>
      </c>
      <c r="D154" s="49">
        <v>-0.11700000000000001</v>
      </c>
      <c r="E154" s="49">
        <v>0.187</v>
      </c>
      <c r="F154" s="63" t="s">
        <v>380</v>
      </c>
      <c r="G154" s="49">
        <v>-0.62</v>
      </c>
      <c r="H154" s="49">
        <v>0.54</v>
      </c>
    </row>
    <row r="155" spans="3:8" x14ac:dyDescent="0.3">
      <c r="C155" s="46" t="s">
        <v>368</v>
      </c>
      <c r="D155" s="49">
        <v>-0.25</v>
      </c>
      <c r="E155" s="49">
        <v>0.187</v>
      </c>
      <c r="F155" s="63" t="s">
        <v>381</v>
      </c>
      <c r="G155" s="49">
        <v>-1.34</v>
      </c>
      <c r="H155" s="49">
        <v>0.19600000000000001</v>
      </c>
    </row>
    <row r="156" spans="3:8" x14ac:dyDescent="0.3">
      <c r="C156" s="46" t="s">
        <v>370</v>
      </c>
      <c r="D156" s="49">
        <v>-0.36699999999999999</v>
      </c>
      <c r="E156" s="49">
        <v>0.187</v>
      </c>
      <c r="F156" s="63" t="s">
        <v>382</v>
      </c>
      <c r="G156" s="49">
        <v>-1.96</v>
      </c>
      <c r="H156" s="49">
        <v>6.4000000000000001E-2</v>
      </c>
    </row>
    <row r="157" spans="3:8" x14ac:dyDescent="0.3">
      <c r="C157" s="46" t="s">
        <v>372</v>
      </c>
      <c r="D157" s="49">
        <v>-0.13300000000000001</v>
      </c>
      <c r="E157" s="49">
        <v>0.187</v>
      </c>
      <c r="F157" s="63" t="s">
        <v>383</v>
      </c>
      <c r="G157" s="49">
        <v>-0.71</v>
      </c>
      <c r="H157" s="49">
        <v>0.48399999999999999</v>
      </c>
    </row>
    <row r="158" spans="3:8" x14ac:dyDescent="0.3">
      <c r="C158" s="46" t="s">
        <v>374</v>
      </c>
      <c r="D158" s="49">
        <v>-0.25</v>
      </c>
      <c r="E158" s="49">
        <v>0.187</v>
      </c>
      <c r="F158" s="63" t="s">
        <v>381</v>
      </c>
      <c r="G158" s="49">
        <v>-1.34</v>
      </c>
      <c r="H158" s="49">
        <v>0.19600000000000001</v>
      </c>
    </row>
    <row r="159" spans="3:8" x14ac:dyDescent="0.3">
      <c r="C159" s="46" t="s">
        <v>375</v>
      </c>
      <c r="D159" s="49">
        <v>-0.11700000000000001</v>
      </c>
      <c r="E159" s="49">
        <v>0.187</v>
      </c>
      <c r="F159" s="63" t="s">
        <v>380</v>
      </c>
      <c r="G159" s="49">
        <v>-0.62</v>
      </c>
      <c r="H159" s="49">
        <v>0.54</v>
      </c>
    </row>
    <row r="160" spans="3:8" x14ac:dyDescent="0.3">
      <c r="C160" t="s">
        <v>384</v>
      </c>
    </row>
    <row r="161" spans="3:3" ht="15" x14ac:dyDescent="0.3">
      <c r="C161" s="45"/>
    </row>
    <row r="162" spans="3:3" x14ac:dyDescent="0.3">
      <c r="C162" s="26"/>
    </row>
    <row r="163" spans="3:3" x14ac:dyDescent="0.3">
      <c r="C163" s="26"/>
    </row>
    <row r="164" spans="3:3" x14ac:dyDescent="0.3">
      <c r="C164" s="26"/>
    </row>
    <row r="165" spans="3:3" x14ac:dyDescent="0.3">
      <c r="C165" s="26"/>
    </row>
    <row r="166" spans="3:3" x14ac:dyDescent="0.3">
      <c r="C166" s="26"/>
    </row>
    <row r="167" spans="3:3" x14ac:dyDescent="0.3">
      <c r="C167" s="26"/>
    </row>
    <row r="168" spans="3:3" x14ac:dyDescent="0.3">
      <c r="C168" s="26"/>
    </row>
    <row r="169" spans="3:3" x14ac:dyDescent="0.3">
      <c r="C169" s="26"/>
    </row>
    <row r="170" spans="3:3" x14ac:dyDescent="0.3">
      <c r="C170" s="26"/>
    </row>
    <row r="171" spans="3:3" x14ac:dyDescent="0.3">
      <c r="C171" s="26"/>
    </row>
    <row r="172" spans="3:3" x14ac:dyDescent="0.3">
      <c r="C172" s="26"/>
    </row>
    <row r="173" spans="3:3" x14ac:dyDescent="0.3">
      <c r="C173" s="26"/>
    </row>
    <row r="174" spans="3:3" x14ac:dyDescent="0.3">
      <c r="C174" s="26"/>
    </row>
    <row r="175" spans="3:3" x14ac:dyDescent="0.3">
      <c r="C175" s="26"/>
    </row>
    <row r="176" spans="3:3" x14ac:dyDescent="0.3">
      <c r="C176" s="26"/>
    </row>
    <row r="177" spans="3:3" x14ac:dyDescent="0.3">
      <c r="C177" s="26"/>
    </row>
    <row r="178" spans="3:3" x14ac:dyDescent="0.3">
      <c r="C178" s="26"/>
    </row>
    <row r="179" spans="3:3" x14ac:dyDescent="0.3">
      <c r="C179" s="26"/>
    </row>
    <row r="180" spans="3:3" ht="15" x14ac:dyDescent="0.3">
      <c r="C180" s="45"/>
    </row>
    <row r="181" spans="3:3" ht="15" x14ac:dyDescent="0.3">
      <c r="C181" s="45"/>
    </row>
    <row r="182" spans="3:3" x14ac:dyDescent="0.3">
      <c r="C182" s="26"/>
    </row>
    <row r="183" spans="3:3" x14ac:dyDescent="0.3">
      <c r="C183" s="26"/>
    </row>
    <row r="184" spans="3:3" x14ac:dyDescent="0.3">
      <c r="C184" s="26"/>
    </row>
    <row r="185" spans="3:3" x14ac:dyDescent="0.3">
      <c r="C185" s="26"/>
    </row>
    <row r="186" spans="3:3" x14ac:dyDescent="0.3">
      <c r="C186" s="26"/>
    </row>
    <row r="187" spans="3:3" x14ac:dyDescent="0.3">
      <c r="C187" s="26"/>
    </row>
    <row r="188" spans="3:3" x14ac:dyDescent="0.3">
      <c r="C188" s="26"/>
    </row>
    <row r="189" spans="3:3" x14ac:dyDescent="0.3">
      <c r="C189" s="26"/>
    </row>
    <row r="190" spans="3:3" x14ac:dyDescent="0.3">
      <c r="C190" s="26"/>
    </row>
    <row r="191" spans="3:3" x14ac:dyDescent="0.3">
      <c r="C191" s="26"/>
    </row>
    <row r="192" spans="3:3" x14ac:dyDescent="0.3">
      <c r="C192" s="26"/>
    </row>
    <row r="193" spans="3:3" x14ac:dyDescent="0.3">
      <c r="C193" s="26"/>
    </row>
    <row r="194" spans="3:3" x14ac:dyDescent="0.3">
      <c r="C194" s="26"/>
    </row>
    <row r="195" spans="3:3" x14ac:dyDescent="0.3">
      <c r="C195" s="26"/>
    </row>
    <row r="196" spans="3:3" x14ac:dyDescent="0.3">
      <c r="C196" s="26"/>
    </row>
    <row r="197" spans="3:3" x14ac:dyDescent="0.3">
      <c r="C197" s="26"/>
    </row>
    <row r="198" spans="3:3" x14ac:dyDescent="0.3">
      <c r="C198" s="26"/>
    </row>
    <row r="199" spans="3:3" x14ac:dyDescent="0.3">
      <c r="C199" s="26"/>
    </row>
  </sheetData>
  <mergeCells count="9">
    <mergeCell ref="C152:C153"/>
    <mergeCell ref="F152:F153"/>
    <mergeCell ref="G152:G153"/>
    <mergeCell ref="F25:P25"/>
    <mergeCell ref="C28:F28"/>
    <mergeCell ref="L28:O28"/>
    <mergeCell ref="C114:C115"/>
    <mergeCell ref="F114:F115"/>
    <mergeCell ref="G114:G1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E16B4-EFCA-4659-A4C2-D009176DA444}">
  <dimension ref="A1:R128"/>
  <sheetViews>
    <sheetView topLeftCell="A103" workbookViewId="0">
      <selection activeCell="C129" sqref="C129"/>
    </sheetView>
  </sheetViews>
  <sheetFormatPr defaultRowHeight="14.4" x14ac:dyDescent="0.3"/>
  <cols>
    <col min="3" max="3" width="12" bestFit="1" customWidth="1"/>
    <col min="14" max="14" width="9.5546875" bestFit="1" customWidth="1"/>
    <col min="15" max="15" width="11.33203125" bestFit="1" customWidth="1"/>
    <col min="16" max="16" width="11.109375" bestFit="1" customWidth="1"/>
    <col min="17" max="17" width="14.33203125" bestFit="1" customWidth="1"/>
  </cols>
  <sheetData>
    <row r="1" spans="1:17" ht="18" x14ac:dyDescent="0.35">
      <c r="A1" s="151" t="s">
        <v>43</v>
      </c>
      <c r="B1" s="152"/>
      <c r="C1" s="152"/>
      <c r="D1" s="152"/>
      <c r="E1" s="152"/>
      <c r="F1" s="152"/>
      <c r="G1" s="152"/>
      <c r="H1" s="152"/>
      <c r="I1" s="152"/>
      <c r="J1" s="152"/>
      <c r="K1" s="152"/>
      <c r="L1" s="152"/>
      <c r="M1" s="152"/>
      <c r="N1" s="14" t="s">
        <v>44</v>
      </c>
      <c r="O1" s="14" t="s">
        <v>45</v>
      </c>
      <c r="P1" s="14" t="s">
        <v>46</v>
      </c>
      <c r="Q1" s="14" t="s">
        <v>47</v>
      </c>
    </row>
    <row r="2" spans="1:17" ht="18" x14ac:dyDescent="0.35">
      <c r="A2" s="153"/>
      <c r="B2" s="152"/>
      <c r="C2" s="152"/>
      <c r="D2" s="152"/>
      <c r="E2" s="152"/>
      <c r="F2" s="152"/>
      <c r="G2" s="152"/>
      <c r="H2" s="152"/>
      <c r="I2" s="152"/>
      <c r="J2" s="152"/>
      <c r="K2" s="152"/>
      <c r="L2" s="152"/>
      <c r="M2" s="152"/>
      <c r="N2" s="14">
        <v>1</v>
      </c>
      <c r="O2" s="14">
        <v>233</v>
      </c>
      <c r="P2" s="14">
        <v>233</v>
      </c>
      <c r="Q2" s="14">
        <v>56</v>
      </c>
    </row>
    <row r="3" spans="1:17" ht="18" x14ac:dyDescent="0.35">
      <c r="A3" s="153"/>
      <c r="B3" s="152"/>
      <c r="C3" s="152"/>
      <c r="D3" s="152"/>
      <c r="E3" s="152"/>
      <c r="F3" s="152"/>
      <c r="G3" s="152"/>
      <c r="H3" s="152"/>
      <c r="I3" s="152"/>
      <c r="J3" s="152"/>
      <c r="K3" s="152"/>
      <c r="L3" s="152"/>
      <c r="M3" s="152"/>
      <c r="N3" s="14">
        <v>2</v>
      </c>
      <c r="O3" s="14">
        <v>272</v>
      </c>
      <c r="P3" s="14">
        <v>209</v>
      </c>
      <c r="Q3" s="14">
        <v>74</v>
      </c>
    </row>
    <row r="4" spans="1:17" ht="18" x14ac:dyDescent="0.35">
      <c r="A4" s="153"/>
      <c r="B4" s="152"/>
      <c r="C4" s="152"/>
      <c r="D4" s="152"/>
      <c r="E4" s="152"/>
      <c r="F4" s="152"/>
      <c r="G4" s="152"/>
      <c r="H4" s="152"/>
      <c r="I4" s="152"/>
      <c r="J4" s="152"/>
      <c r="K4" s="152"/>
      <c r="L4" s="152"/>
      <c r="M4" s="152"/>
      <c r="N4" s="14">
        <v>3</v>
      </c>
      <c r="O4" s="14">
        <v>253</v>
      </c>
      <c r="P4" s="14">
        <v>206</v>
      </c>
      <c r="Q4" s="14">
        <v>67</v>
      </c>
    </row>
    <row r="5" spans="1:17" ht="18" x14ac:dyDescent="0.35">
      <c r="A5" s="153"/>
      <c r="B5" s="152"/>
      <c r="C5" s="152"/>
      <c r="D5" s="152"/>
      <c r="E5" s="152"/>
      <c r="F5" s="152"/>
      <c r="G5" s="152"/>
      <c r="H5" s="152"/>
      <c r="I5" s="152"/>
      <c r="J5" s="152"/>
      <c r="K5" s="152"/>
      <c r="L5" s="152"/>
      <c r="M5" s="152"/>
      <c r="N5" s="14">
        <v>4</v>
      </c>
      <c r="O5" s="14">
        <v>296</v>
      </c>
      <c r="P5" s="14">
        <v>232</v>
      </c>
      <c r="Q5" s="14">
        <v>78</v>
      </c>
    </row>
    <row r="6" spans="1:17" ht="18" x14ac:dyDescent="0.35">
      <c r="A6" s="153"/>
      <c r="B6" s="152"/>
      <c r="C6" s="152"/>
      <c r="D6" s="152"/>
      <c r="E6" s="152"/>
      <c r="F6" s="152"/>
      <c r="G6" s="152"/>
      <c r="H6" s="152"/>
      <c r="I6" s="152"/>
      <c r="J6" s="152"/>
      <c r="K6" s="152"/>
      <c r="L6" s="152"/>
      <c r="M6" s="152"/>
      <c r="N6" s="14">
        <v>5</v>
      </c>
      <c r="O6" s="14">
        <v>268</v>
      </c>
      <c r="P6" s="14">
        <v>125</v>
      </c>
      <c r="Q6" s="14">
        <v>73</v>
      </c>
    </row>
    <row r="7" spans="1:17" ht="18" x14ac:dyDescent="0.35">
      <c r="A7" s="153"/>
      <c r="B7" s="152"/>
      <c r="C7" s="152"/>
      <c r="D7" s="152"/>
      <c r="E7" s="152"/>
      <c r="F7" s="152"/>
      <c r="G7" s="152"/>
      <c r="H7" s="152"/>
      <c r="I7" s="152"/>
      <c r="J7" s="152"/>
      <c r="K7" s="152"/>
      <c r="L7" s="152"/>
      <c r="M7" s="152"/>
      <c r="N7" s="14">
        <v>6</v>
      </c>
      <c r="O7" s="14">
        <v>296</v>
      </c>
      <c r="P7" s="14">
        <v>245</v>
      </c>
      <c r="Q7" s="14">
        <v>54</v>
      </c>
    </row>
    <row r="8" spans="1:17" ht="18" x14ac:dyDescent="0.35">
      <c r="A8" s="153"/>
      <c r="B8" s="152"/>
      <c r="C8" s="152"/>
      <c r="D8" s="152"/>
      <c r="E8" s="152"/>
      <c r="F8" s="152"/>
      <c r="G8" s="152"/>
      <c r="H8" s="152"/>
      <c r="I8" s="152"/>
      <c r="J8" s="152"/>
      <c r="K8" s="152"/>
      <c r="L8" s="152"/>
      <c r="M8" s="152"/>
      <c r="N8" s="14">
        <v>7</v>
      </c>
      <c r="O8" s="14">
        <v>276</v>
      </c>
      <c r="P8" s="14">
        <v>213</v>
      </c>
      <c r="Q8" s="14">
        <v>100</v>
      </c>
    </row>
    <row r="9" spans="1:17" ht="18" x14ac:dyDescent="0.35">
      <c r="A9" s="153"/>
      <c r="B9" s="152"/>
      <c r="C9" s="152"/>
      <c r="D9" s="152"/>
      <c r="E9" s="152"/>
      <c r="F9" s="152"/>
      <c r="G9" s="152"/>
      <c r="H9" s="152"/>
      <c r="I9" s="152"/>
      <c r="J9" s="152"/>
      <c r="K9" s="152"/>
      <c r="L9" s="152"/>
      <c r="M9" s="152"/>
      <c r="N9" s="14">
        <v>8</v>
      </c>
      <c r="O9" s="14">
        <v>235</v>
      </c>
      <c r="P9" s="14">
        <v>134</v>
      </c>
      <c r="Q9" s="14">
        <v>98</v>
      </c>
    </row>
    <row r="10" spans="1:17" ht="18" x14ac:dyDescent="0.35">
      <c r="A10" s="153"/>
      <c r="B10" s="152"/>
      <c r="C10" s="152"/>
      <c r="D10" s="152"/>
      <c r="E10" s="152"/>
      <c r="F10" s="152"/>
      <c r="G10" s="152"/>
      <c r="H10" s="152"/>
      <c r="I10" s="152"/>
      <c r="J10" s="152"/>
      <c r="K10" s="152"/>
      <c r="L10" s="152"/>
      <c r="M10" s="152"/>
      <c r="N10" s="14">
        <v>9</v>
      </c>
      <c r="O10" s="14">
        <v>253</v>
      </c>
      <c r="P10" s="14">
        <v>140</v>
      </c>
      <c r="Q10" s="14">
        <v>95</v>
      </c>
    </row>
    <row r="11" spans="1:17" ht="18" x14ac:dyDescent="0.35">
      <c r="A11" s="153"/>
      <c r="B11" s="152"/>
      <c r="C11" s="152"/>
      <c r="D11" s="152"/>
      <c r="E11" s="152"/>
      <c r="F11" s="152"/>
      <c r="G11" s="152"/>
      <c r="H11" s="152"/>
      <c r="I11" s="152"/>
      <c r="J11" s="152"/>
      <c r="K11" s="152"/>
      <c r="L11" s="152"/>
      <c r="M11" s="152"/>
      <c r="N11" s="14">
        <v>10</v>
      </c>
      <c r="O11" s="14">
        <v>233</v>
      </c>
      <c r="P11" s="14">
        <v>165</v>
      </c>
      <c r="Q11" s="14">
        <v>81</v>
      </c>
    </row>
    <row r="12" spans="1:17" ht="18" x14ac:dyDescent="0.35">
      <c r="A12" s="153"/>
      <c r="B12" s="152"/>
      <c r="C12" s="152"/>
      <c r="D12" s="152"/>
      <c r="E12" s="152"/>
      <c r="F12" s="152"/>
      <c r="G12" s="152"/>
      <c r="H12" s="152"/>
      <c r="I12" s="152"/>
      <c r="J12" s="152"/>
      <c r="K12" s="152"/>
      <c r="L12" s="152"/>
      <c r="M12" s="152"/>
      <c r="N12" s="14">
        <v>11</v>
      </c>
      <c r="O12" s="14">
        <v>240</v>
      </c>
      <c r="P12" s="14">
        <v>234</v>
      </c>
      <c r="Q12" s="14">
        <v>52</v>
      </c>
    </row>
    <row r="13" spans="1:17" ht="18" x14ac:dyDescent="0.35">
      <c r="N13" s="14">
        <v>12</v>
      </c>
      <c r="O13" s="14">
        <v>267</v>
      </c>
      <c r="P13" s="14">
        <v>205</v>
      </c>
      <c r="Q13" s="14">
        <v>96</v>
      </c>
    </row>
    <row r="14" spans="1:17" ht="18" x14ac:dyDescent="0.35">
      <c r="A14" t="s">
        <v>320</v>
      </c>
      <c r="N14" s="14">
        <v>13</v>
      </c>
      <c r="O14" s="14">
        <v>338</v>
      </c>
      <c r="P14" s="14">
        <v>214</v>
      </c>
      <c r="Q14" s="14">
        <v>96</v>
      </c>
    </row>
    <row r="15" spans="1:17" ht="18" x14ac:dyDescent="0.35">
      <c r="N15" s="14">
        <v>14</v>
      </c>
      <c r="O15" s="14">
        <v>243</v>
      </c>
      <c r="P15" s="14">
        <v>183</v>
      </c>
      <c r="Q15" s="14">
        <v>73</v>
      </c>
    </row>
    <row r="16" spans="1:17" ht="18" x14ac:dyDescent="0.35">
      <c r="N16" s="14">
        <v>15</v>
      </c>
      <c r="O16" s="14">
        <v>252</v>
      </c>
      <c r="P16" s="14">
        <v>230</v>
      </c>
      <c r="Q16" s="14">
        <v>55</v>
      </c>
    </row>
    <row r="17" spans="14:17" ht="18" x14ac:dyDescent="0.35">
      <c r="N17" s="14">
        <v>16</v>
      </c>
      <c r="O17" s="14">
        <v>269</v>
      </c>
      <c r="P17" s="14">
        <v>238</v>
      </c>
      <c r="Q17" s="14">
        <v>91</v>
      </c>
    </row>
    <row r="18" spans="14:17" ht="18" x14ac:dyDescent="0.35">
      <c r="N18" s="14">
        <v>17</v>
      </c>
      <c r="O18" s="14">
        <v>242</v>
      </c>
      <c r="P18" s="14">
        <v>144</v>
      </c>
      <c r="Q18" s="14">
        <v>64</v>
      </c>
    </row>
    <row r="19" spans="14:17" ht="18" x14ac:dyDescent="0.35">
      <c r="N19" s="14">
        <v>18</v>
      </c>
      <c r="O19" s="14">
        <v>233</v>
      </c>
      <c r="P19" s="14">
        <v>220</v>
      </c>
      <c r="Q19" s="14">
        <v>60</v>
      </c>
    </row>
    <row r="20" spans="14:17" ht="18" x14ac:dyDescent="0.35">
      <c r="N20" s="14">
        <v>19</v>
      </c>
      <c r="O20" s="14">
        <v>234</v>
      </c>
      <c r="P20" s="14">
        <v>170</v>
      </c>
      <c r="Q20" s="14">
        <v>60</v>
      </c>
    </row>
    <row r="21" spans="14:17" ht="18" x14ac:dyDescent="0.35">
      <c r="N21" s="14">
        <v>20</v>
      </c>
      <c r="O21" s="14">
        <v>450</v>
      </c>
      <c r="P21" s="14">
        <v>170</v>
      </c>
      <c r="Q21" s="14">
        <v>240</v>
      </c>
    </row>
    <row r="22" spans="14:17" ht="18" x14ac:dyDescent="0.35">
      <c r="N22" s="14">
        <v>21</v>
      </c>
      <c r="O22" s="14">
        <v>340</v>
      </c>
      <c r="P22" s="14">
        <v>290</v>
      </c>
      <c r="Q22" s="14">
        <v>70</v>
      </c>
    </row>
    <row r="23" spans="14:17" ht="18" x14ac:dyDescent="0.35">
      <c r="N23" s="14">
        <v>22</v>
      </c>
      <c r="O23" s="14">
        <v>200</v>
      </c>
      <c r="P23" s="14">
        <v>340</v>
      </c>
      <c r="Q23" s="14">
        <v>75</v>
      </c>
    </row>
    <row r="40" spans="1:10" ht="15" thickBot="1" x14ac:dyDescent="0.35"/>
    <row r="41" spans="1:10" x14ac:dyDescent="0.3">
      <c r="A41" t="s">
        <v>196</v>
      </c>
      <c r="B41" s="40"/>
      <c r="C41" s="40" t="s">
        <v>46</v>
      </c>
      <c r="D41" s="40" t="s">
        <v>47</v>
      </c>
    </row>
    <row r="42" spans="1:10" x14ac:dyDescent="0.3">
      <c r="B42" s="38" t="s">
        <v>46</v>
      </c>
      <c r="C42" s="38">
        <v>1</v>
      </c>
      <c r="D42" s="38"/>
      <c r="F42" s="13"/>
    </row>
    <row r="43" spans="1:10" ht="15" thickBot="1" x14ac:dyDescent="0.35">
      <c r="B43" s="39" t="s">
        <v>47</v>
      </c>
      <c r="C43" s="119">
        <v>-0.23964988549444641</v>
      </c>
      <c r="D43" s="39">
        <v>1</v>
      </c>
    </row>
    <row r="45" spans="1:10" x14ac:dyDescent="0.3">
      <c r="B45" s="103" t="s">
        <v>321</v>
      </c>
      <c r="C45" s="103"/>
      <c r="D45" s="103"/>
      <c r="E45" s="103"/>
      <c r="F45" s="103"/>
      <c r="G45" s="103"/>
      <c r="H45" s="103"/>
      <c r="I45" s="103"/>
      <c r="J45" s="103"/>
    </row>
    <row r="47" spans="1:10" x14ac:dyDescent="0.3">
      <c r="A47" t="s">
        <v>199</v>
      </c>
      <c r="B47" t="s">
        <v>616</v>
      </c>
    </row>
    <row r="48" spans="1:10" x14ac:dyDescent="0.3">
      <c r="B48" t="s">
        <v>617</v>
      </c>
    </row>
    <row r="50" spans="1:17" x14ac:dyDescent="0.3">
      <c r="A50" t="s">
        <v>322</v>
      </c>
      <c r="B50" t="s">
        <v>146</v>
      </c>
      <c r="L50" t="s">
        <v>244</v>
      </c>
    </row>
    <row r="51" spans="1:17" ht="15" thickBot="1" x14ac:dyDescent="0.35"/>
    <row r="52" spans="1:17" x14ac:dyDescent="0.3">
      <c r="B52" s="41" t="s">
        <v>147</v>
      </c>
      <c r="C52" s="41"/>
    </row>
    <row r="53" spans="1:17" ht="18" x14ac:dyDescent="0.3">
      <c r="B53" s="38" t="s">
        <v>148</v>
      </c>
      <c r="C53" s="38">
        <v>0.77890989003750255</v>
      </c>
      <c r="L53" s="44" t="s">
        <v>385</v>
      </c>
    </row>
    <row r="54" spans="1:17" ht="15" x14ac:dyDescent="0.3">
      <c r="B54" s="38" t="s">
        <v>149</v>
      </c>
      <c r="C54" s="38">
        <v>0.60670061679823428</v>
      </c>
      <c r="L54" s="45" t="s">
        <v>211</v>
      </c>
    </row>
    <row r="55" spans="1:17" x14ac:dyDescent="0.3">
      <c r="B55" s="38" t="s">
        <v>150</v>
      </c>
      <c r="C55" s="38">
        <v>0.56530068172436421</v>
      </c>
      <c r="L55" s="46" t="s">
        <v>45</v>
      </c>
      <c r="M55" s="46" t="s">
        <v>212</v>
      </c>
      <c r="N55" s="46" t="s">
        <v>386</v>
      </c>
    </row>
    <row r="56" spans="1:17" ht="15" x14ac:dyDescent="0.3">
      <c r="B56" s="38" t="s">
        <v>151</v>
      </c>
      <c r="C56" s="38">
        <v>34.697367180022397</v>
      </c>
      <c r="L56" s="45" t="s">
        <v>163</v>
      </c>
    </row>
    <row r="57" spans="1:17" ht="15" thickBot="1" x14ac:dyDescent="0.35">
      <c r="B57" s="39" t="s">
        <v>152</v>
      </c>
      <c r="C57" s="39">
        <v>22</v>
      </c>
      <c r="L57" s="47" t="s">
        <v>214</v>
      </c>
      <c r="M57" s="48" t="s">
        <v>215</v>
      </c>
      <c r="N57" s="48" t="s">
        <v>216</v>
      </c>
      <c r="O57" s="48" t="s">
        <v>217</v>
      </c>
      <c r="P57" s="48" t="s">
        <v>218</v>
      </c>
      <c r="Q57" s="48" t="s">
        <v>219</v>
      </c>
    </row>
    <row r="58" spans="1:17" x14ac:dyDescent="0.3">
      <c r="L58" s="46" t="s">
        <v>220</v>
      </c>
      <c r="M58" s="49">
        <v>144.4</v>
      </c>
      <c r="N58" s="49">
        <v>39.5</v>
      </c>
      <c r="O58" s="49">
        <v>3.65</v>
      </c>
      <c r="P58" s="49">
        <v>2E-3</v>
      </c>
      <c r="Q58" s="50"/>
    </row>
    <row r="59" spans="1:17" ht="15" thickBot="1" x14ac:dyDescent="0.35">
      <c r="B59" t="s">
        <v>153</v>
      </c>
      <c r="L59" s="46" t="s">
        <v>46</v>
      </c>
      <c r="M59" s="49">
        <v>0.16900000000000001</v>
      </c>
      <c r="N59" s="49">
        <v>0.152</v>
      </c>
      <c r="O59" s="107">
        <v>1.1100000000000001</v>
      </c>
      <c r="P59" s="107">
        <v>0.27900000000000003</v>
      </c>
      <c r="Q59" s="49">
        <v>1.06</v>
      </c>
    </row>
    <row r="60" spans="1:17" x14ac:dyDescent="0.3">
      <c r="B60" s="40"/>
      <c r="C60" s="40" t="s">
        <v>158</v>
      </c>
      <c r="D60" s="40" t="s">
        <v>159</v>
      </c>
      <c r="E60" s="123" t="s">
        <v>160</v>
      </c>
      <c r="F60" s="123" t="s">
        <v>161</v>
      </c>
      <c r="G60" s="123" t="s">
        <v>162</v>
      </c>
      <c r="L60" s="46" t="s">
        <v>387</v>
      </c>
      <c r="M60" s="49">
        <v>1.0940000000000001</v>
      </c>
      <c r="N60" s="49">
        <v>0.20200000000000001</v>
      </c>
      <c r="O60" s="107">
        <v>5.41</v>
      </c>
      <c r="P60" s="107">
        <v>0</v>
      </c>
      <c r="Q60" s="49">
        <v>1.06</v>
      </c>
    </row>
    <row r="61" spans="1:17" ht="15" x14ac:dyDescent="0.3">
      <c r="B61" s="38" t="s">
        <v>154</v>
      </c>
      <c r="C61" s="38">
        <v>2</v>
      </c>
      <c r="D61" s="38">
        <v>35285.625141083015</v>
      </c>
      <c r="E61" s="118">
        <v>17642.812570541508</v>
      </c>
      <c r="F61" s="118">
        <v>14.654627252813224</v>
      </c>
      <c r="G61" s="118">
        <v>1.4121181028028392E-4</v>
      </c>
      <c r="L61" s="45" t="s">
        <v>221</v>
      </c>
    </row>
    <row r="62" spans="1:17" ht="15" thickBot="1" x14ac:dyDescent="0.35">
      <c r="B62" s="38" t="s">
        <v>155</v>
      </c>
      <c r="C62" s="38">
        <v>19</v>
      </c>
      <c r="D62" s="38">
        <v>22874.238495280613</v>
      </c>
      <c r="E62" s="118">
        <v>1203.9072892252955</v>
      </c>
      <c r="F62" s="38"/>
      <c r="G62" s="38"/>
      <c r="L62" s="48" t="s">
        <v>222</v>
      </c>
      <c r="M62" s="48" t="s">
        <v>223</v>
      </c>
      <c r="N62" s="48" t="s">
        <v>224</v>
      </c>
      <c r="O62" s="48" t="s">
        <v>225</v>
      </c>
    </row>
    <row r="63" spans="1:17" ht="15" thickBot="1" x14ac:dyDescent="0.35">
      <c r="B63" s="39" t="s">
        <v>156</v>
      </c>
      <c r="C63" s="39">
        <v>21</v>
      </c>
      <c r="D63" s="39">
        <v>58159.863636363632</v>
      </c>
      <c r="E63" s="39"/>
      <c r="F63" s="39"/>
      <c r="G63" s="39"/>
      <c r="L63" s="49">
        <v>34.697400000000002</v>
      </c>
      <c r="M63" s="51">
        <v>0.60670000000000002</v>
      </c>
      <c r="N63" s="51">
        <v>0.56530000000000002</v>
      </c>
      <c r="O63" s="51">
        <v>0.19370000000000001</v>
      </c>
    </row>
    <row r="64" spans="1:17" ht="15.6" thickBot="1" x14ac:dyDescent="0.35">
      <c r="L64" s="45" t="s">
        <v>226</v>
      </c>
    </row>
    <row r="65" spans="2:18" ht="15" thickBot="1" x14ac:dyDescent="0.35">
      <c r="B65" s="40"/>
      <c r="C65" s="40" t="s">
        <v>163</v>
      </c>
      <c r="D65" s="40" t="s">
        <v>151</v>
      </c>
      <c r="E65" s="40" t="s">
        <v>164</v>
      </c>
      <c r="F65" s="40" t="s">
        <v>165</v>
      </c>
      <c r="G65" s="40" t="s">
        <v>166</v>
      </c>
      <c r="H65" s="40" t="s">
        <v>167</v>
      </c>
      <c r="I65" s="40" t="s">
        <v>168</v>
      </c>
      <c r="J65" s="40" t="s">
        <v>169</v>
      </c>
      <c r="L65" s="47" t="s">
        <v>227</v>
      </c>
      <c r="M65" s="48" t="s">
        <v>228</v>
      </c>
      <c r="N65" s="48" t="s">
        <v>229</v>
      </c>
      <c r="O65" s="48" t="s">
        <v>230</v>
      </c>
      <c r="P65" s="48" t="s">
        <v>231</v>
      </c>
      <c r="Q65" s="48" t="s">
        <v>218</v>
      </c>
    </row>
    <row r="66" spans="2:18" x14ac:dyDescent="0.3">
      <c r="B66" s="38" t="s">
        <v>157</v>
      </c>
      <c r="C66" s="38">
        <v>144.38847442313505</v>
      </c>
      <c r="D66" s="38">
        <v>39.53121391590944</v>
      </c>
      <c r="E66" s="38">
        <v>3.6525181020314061</v>
      </c>
      <c r="F66" s="38">
        <v>1.6933941178009424E-3</v>
      </c>
      <c r="G66" s="38">
        <v>61.648692797176082</v>
      </c>
      <c r="H66" s="38">
        <v>227.12825604909403</v>
      </c>
      <c r="I66" s="38">
        <v>61.648692797176082</v>
      </c>
      <c r="J66" s="38">
        <v>227.12825604909403</v>
      </c>
      <c r="L66" s="46" t="s">
        <v>154</v>
      </c>
      <c r="M66" s="49">
        <v>2</v>
      </c>
      <c r="N66" s="49">
        <v>35286</v>
      </c>
      <c r="O66" s="49">
        <v>17643</v>
      </c>
      <c r="P66" s="86">
        <v>14.65</v>
      </c>
      <c r="Q66" s="86">
        <v>0</v>
      </c>
    </row>
    <row r="67" spans="2:18" x14ac:dyDescent="0.3">
      <c r="B67" s="38" t="s">
        <v>46</v>
      </c>
      <c r="C67" s="38">
        <v>0.16917717299185306</v>
      </c>
      <c r="D67" s="38">
        <v>0.1518601258236556</v>
      </c>
      <c r="E67" s="118">
        <v>1.1140328777832471</v>
      </c>
      <c r="F67" s="118">
        <v>0.2791598969039138</v>
      </c>
      <c r="G67" s="38">
        <v>-0.14866972326253061</v>
      </c>
      <c r="H67" s="38">
        <v>0.48702406924623676</v>
      </c>
      <c r="I67" s="38">
        <v>-0.14866972326253061</v>
      </c>
      <c r="J67" s="38">
        <v>0.48702406924623676</v>
      </c>
      <c r="L67" s="46" t="s">
        <v>388</v>
      </c>
      <c r="M67" s="49">
        <v>1</v>
      </c>
      <c r="N67" s="49">
        <v>1494</v>
      </c>
      <c r="O67" s="49">
        <v>1494</v>
      </c>
      <c r="P67" s="49">
        <v>1.24</v>
      </c>
      <c r="Q67" s="49">
        <v>0.27900000000000003</v>
      </c>
    </row>
    <row r="68" spans="2:18" ht="15" thickBot="1" x14ac:dyDescent="0.35">
      <c r="B68" s="39" t="s">
        <v>47</v>
      </c>
      <c r="C68" s="39">
        <v>1.0942418126703632</v>
      </c>
      <c r="D68" s="39">
        <v>0.20224284394511194</v>
      </c>
      <c r="E68" s="119">
        <v>5.4105341446213888</v>
      </c>
      <c r="F68" s="119">
        <v>3.2045480215995525E-5</v>
      </c>
      <c r="G68" s="39">
        <v>0.67094267546129793</v>
      </c>
      <c r="H68" s="39">
        <v>1.5175409498794286</v>
      </c>
      <c r="I68" s="39">
        <v>0.67094267546129793</v>
      </c>
      <c r="J68" s="39">
        <v>1.5175409498794286</v>
      </c>
      <c r="L68" s="46" t="s">
        <v>389</v>
      </c>
      <c r="M68" s="49">
        <v>1</v>
      </c>
      <c r="N68" s="49">
        <v>35243</v>
      </c>
      <c r="O68" s="49">
        <v>35243</v>
      </c>
      <c r="P68" s="49">
        <v>29.27</v>
      </c>
      <c r="Q68" s="49">
        <v>0</v>
      </c>
    </row>
    <row r="69" spans="2:18" x14ac:dyDescent="0.3">
      <c r="L69" s="46" t="s">
        <v>234</v>
      </c>
      <c r="M69" s="49">
        <v>19</v>
      </c>
      <c r="N69" s="49">
        <v>22874</v>
      </c>
      <c r="O69" s="49">
        <v>1204</v>
      </c>
      <c r="P69" s="50"/>
      <c r="Q69" s="50"/>
    </row>
    <row r="70" spans="2:18" x14ac:dyDescent="0.3">
      <c r="B70" s="13" t="s">
        <v>174</v>
      </c>
      <c r="C70" s="13">
        <f>C66</f>
        <v>144.38847442313505</v>
      </c>
      <c r="D70" s="13"/>
      <c r="E70" s="13"/>
      <c r="F70" s="13"/>
      <c r="G70" s="13"/>
      <c r="H70" s="13"/>
      <c r="I70" s="13"/>
      <c r="L70" s="46" t="s">
        <v>156</v>
      </c>
      <c r="M70" s="49">
        <v>21</v>
      </c>
      <c r="N70" s="49">
        <v>58160</v>
      </c>
      <c r="O70" s="50"/>
      <c r="P70" s="50"/>
      <c r="Q70" s="50"/>
    </row>
    <row r="71" spans="2:18" ht="15" x14ac:dyDescent="0.3">
      <c r="B71" s="13" t="s">
        <v>172</v>
      </c>
      <c r="C71" s="13">
        <f>C67</f>
        <v>0.16917717299185306</v>
      </c>
      <c r="D71" s="13"/>
      <c r="E71" s="13"/>
      <c r="F71" s="13"/>
      <c r="G71" s="13"/>
      <c r="H71" s="13"/>
      <c r="I71" s="13"/>
      <c r="L71" s="45" t="s">
        <v>237</v>
      </c>
    </row>
    <row r="72" spans="2:18" ht="15" thickBot="1" x14ac:dyDescent="0.35">
      <c r="B72" s="13" t="s">
        <v>200</v>
      </c>
      <c r="C72" s="13">
        <f>C68</f>
        <v>1.0942418126703632</v>
      </c>
      <c r="D72" s="13"/>
      <c r="E72" s="13"/>
      <c r="F72" s="13"/>
      <c r="G72" s="13"/>
      <c r="H72" s="13"/>
      <c r="I72" s="13"/>
      <c r="L72" s="48" t="s">
        <v>238</v>
      </c>
      <c r="M72" s="48" t="s">
        <v>45</v>
      </c>
      <c r="N72" s="48" t="s">
        <v>239</v>
      </c>
      <c r="O72" s="48" t="s">
        <v>240</v>
      </c>
      <c r="P72" s="48" t="s">
        <v>241</v>
      </c>
      <c r="Q72" s="47"/>
      <c r="R72" s="47"/>
    </row>
    <row r="73" spans="2:18" x14ac:dyDescent="0.3">
      <c r="B73" s="13" t="s">
        <v>201</v>
      </c>
      <c r="C73" s="13"/>
      <c r="D73" s="13"/>
      <c r="E73" s="13"/>
      <c r="F73" s="13"/>
      <c r="G73" s="13"/>
      <c r="H73" s="13"/>
      <c r="I73" s="13"/>
      <c r="L73" s="49">
        <v>20</v>
      </c>
      <c r="M73" s="49">
        <v>450</v>
      </c>
      <c r="N73" s="49">
        <v>435.8</v>
      </c>
      <c r="O73" s="49">
        <v>14.2</v>
      </c>
      <c r="P73" s="49">
        <v>1.05</v>
      </c>
      <c r="Q73" s="50"/>
      <c r="R73" s="46" t="s">
        <v>390</v>
      </c>
    </row>
    <row r="74" spans="2:18" x14ac:dyDescent="0.3">
      <c r="B74" s="43" t="s">
        <v>323</v>
      </c>
      <c r="C74" s="43"/>
      <c r="D74" s="43"/>
      <c r="E74" s="13"/>
      <c r="F74" s="13"/>
      <c r="G74" s="13"/>
      <c r="H74" s="13"/>
      <c r="I74" s="13"/>
      <c r="L74" s="49">
        <v>21</v>
      </c>
      <c r="M74" s="49">
        <v>340</v>
      </c>
      <c r="N74" s="49">
        <v>270</v>
      </c>
      <c r="O74" s="49">
        <v>70</v>
      </c>
      <c r="P74" s="49">
        <v>2.2200000000000002</v>
      </c>
      <c r="Q74" s="46" t="s">
        <v>242</v>
      </c>
      <c r="R74" s="50"/>
    </row>
    <row r="75" spans="2:18" x14ac:dyDescent="0.3">
      <c r="B75" s="13"/>
      <c r="C75" s="13"/>
      <c r="D75" s="13"/>
      <c r="E75" s="13"/>
      <c r="F75" s="13"/>
      <c r="G75" s="13"/>
      <c r="H75" s="13"/>
      <c r="I75" s="13"/>
      <c r="L75" s="49">
        <v>22</v>
      </c>
      <c r="M75" s="49">
        <v>200</v>
      </c>
      <c r="N75" s="49">
        <v>284</v>
      </c>
      <c r="O75" s="49">
        <v>-84</v>
      </c>
      <c r="P75" s="49">
        <v>-3.07</v>
      </c>
      <c r="Q75" s="46" t="s">
        <v>242</v>
      </c>
      <c r="R75" s="50"/>
    </row>
    <row r="76" spans="2:18" x14ac:dyDescent="0.3">
      <c r="B76" s="13"/>
      <c r="C76" s="13" t="s">
        <v>176</v>
      </c>
      <c r="D76" s="13" t="s">
        <v>177</v>
      </c>
      <c r="E76" s="13" t="s">
        <v>178</v>
      </c>
      <c r="F76" s="13" t="s">
        <v>203</v>
      </c>
      <c r="G76" s="13"/>
      <c r="H76" s="13"/>
      <c r="I76" s="13"/>
      <c r="L76" t="s">
        <v>243</v>
      </c>
    </row>
    <row r="77" spans="2:18" x14ac:dyDescent="0.3">
      <c r="B77" s="13"/>
      <c r="C77" s="13" t="s">
        <v>179</v>
      </c>
      <c r="D77" s="13" t="s">
        <v>180</v>
      </c>
      <c r="E77" s="13" t="s">
        <v>181</v>
      </c>
      <c r="F77" s="13" t="s">
        <v>204</v>
      </c>
      <c r="G77" s="13"/>
      <c r="H77" s="13"/>
      <c r="I77" s="13"/>
      <c r="L77" t="s">
        <v>391</v>
      </c>
    </row>
    <row r="78" spans="2:18" ht="15" x14ac:dyDescent="0.3">
      <c r="B78" s="13"/>
      <c r="C78" s="13" t="s">
        <v>205</v>
      </c>
      <c r="D78" s="13"/>
      <c r="E78" s="13"/>
      <c r="F78" s="13"/>
      <c r="G78" s="13"/>
      <c r="H78" s="13"/>
      <c r="I78" s="13"/>
      <c r="L78" s="45"/>
    </row>
    <row r="79" spans="2:18" x14ac:dyDescent="0.3">
      <c r="B79" s="13"/>
      <c r="C79" s="13"/>
      <c r="D79" s="13"/>
      <c r="E79" s="13"/>
      <c r="F79" s="13"/>
      <c r="G79" s="13"/>
      <c r="H79" s="13"/>
      <c r="I79" s="13"/>
      <c r="L79" s="26"/>
    </row>
    <row r="80" spans="2:18" x14ac:dyDescent="0.3">
      <c r="B80" s="103" t="s">
        <v>206</v>
      </c>
      <c r="C80" s="103">
        <f>E61/E62</f>
        <v>14.654627252813224</v>
      </c>
      <c r="D80" s="13"/>
      <c r="E80" s="13"/>
      <c r="F80" s="13"/>
      <c r="G80" s="13"/>
      <c r="H80" s="13"/>
      <c r="I80" s="103"/>
      <c r="L80" s="26"/>
    </row>
    <row r="81" spans="2:12" x14ac:dyDescent="0.3">
      <c r="B81" s="103" t="s">
        <v>187</v>
      </c>
      <c r="C81" s="103">
        <f>_xlfn.F.DIST.RT(C80,2,19)</f>
        <v>1.4121181028028392E-4</v>
      </c>
      <c r="D81" s="13"/>
      <c r="E81" s="13"/>
      <c r="F81" s="13"/>
      <c r="G81" s="13"/>
      <c r="H81" s="13"/>
      <c r="I81" s="13"/>
      <c r="L81" s="26"/>
    </row>
    <row r="82" spans="2:12" x14ac:dyDescent="0.3">
      <c r="B82" s="13"/>
      <c r="C82" s="43" t="s">
        <v>193</v>
      </c>
      <c r="D82" s="43"/>
      <c r="E82" s="43"/>
      <c r="F82" s="43"/>
      <c r="G82" s="43"/>
      <c r="H82" s="43"/>
      <c r="I82" s="43"/>
      <c r="J82" s="43"/>
      <c r="L82" s="26"/>
    </row>
    <row r="83" spans="2:12" x14ac:dyDescent="0.3">
      <c r="B83" s="13"/>
      <c r="C83" s="43" t="s">
        <v>324</v>
      </c>
      <c r="D83" s="43"/>
      <c r="E83" s="43"/>
      <c r="F83" s="43"/>
      <c r="G83" s="43"/>
      <c r="H83" s="43"/>
      <c r="I83" s="43"/>
      <c r="J83" s="43"/>
      <c r="L83" s="26"/>
    </row>
    <row r="84" spans="2:12" x14ac:dyDescent="0.3">
      <c r="B84" s="13"/>
      <c r="C84" s="13" t="s">
        <v>626</v>
      </c>
      <c r="D84" s="13"/>
      <c r="E84" s="13"/>
      <c r="F84" s="13"/>
      <c r="G84" s="13"/>
      <c r="H84" s="13"/>
      <c r="I84" s="13"/>
      <c r="L84" s="26"/>
    </row>
    <row r="85" spans="2:12" x14ac:dyDescent="0.3">
      <c r="B85" s="24" t="s">
        <v>325</v>
      </c>
      <c r="C85" s="24"/>
      <c r="D85" s="24"/>
      <c r="E85" s="24"/>
      <c r="F85" s="24"/>
      <c r="G85" s="24"/>
      <c r="H85" s="24"/>
      <c r="I85" s="24"/>
      <c r="J85" s="24"/>
      <c r="K85" s="24"/>
      <c r="L85" s="26"/>
    </row>
    <row r="86" spans="2:12" x14ac:dyDescent="0.3">
      <c r="L86" s="26"/>
    </row>
    <row r="87" spans="2:12" x14ac:dyDescent="0.3">
      <c r="B87" s="13"/>
      <c r="C87" s="13" t="s">
        <v>176</v>
      </c>
      <c r="D87" s="13" t="s">
        <v>177</v>
      </c>
      <c r="E87" s="13" t="s">
        <v>178</v>
      </c>
      <c r="F87" s="13" t="s">
        <v>621</v>
      </c>
      <c r="G87" s="13"/>
      <c r="H87" s="13"/>
      <c r="I87" s="13"/>
      <c r="J87" s="13"/>
      <c r="K87" s="13"/>
      <c r="L87" s="26"/>
    </row>
    <row r="88" spans="2:12" x14ac:dyDescent="0.3">
      <c r="B88" s="13"/>
      <c r="C88" s="13" t="s">
        <v>179</v>
      </c>
      <c r="D88" s="13" t="s">
        <v>180</v>
      </c>
      <c r="E88" s="13" t="s">
        <v>181</v>
      </c>
      <c r="F88" s="13" t="s">
        <v>620</v>
      </c>
      <c r="G88" s="13"/>
      <c r="H88" s="13"/>
      <c r="I88" s="13"/>
      <c r="J88" s="13"/>
      <c r="K88" s="13"/>
      <c r="L88" s="26"/>
    </row>
    <row r="89" spans="2:12" x14ac:dyDescent="0.3">
      <c r="B89" s="13"/>
      <c r="C89" s="13" t="s">
        <v>182</v>
      </c>
      <c r="D89" s="13"/>
      <c r="E89" s="13"/>
      <c r="F89" s="13"/>
      <c r="G89" s="13"/>
      <c r="H89" s="13"/>
      <c r="I89" s="13"/>
      <c r="J89" s="13" t="s">
        <v>183</v>
      </c>
      <c r="K89" s="13"/>
      <c r="L89" s="26"/>
    </row>
    <row r="90" spans="2:12" x14ac:dyDescent="0.3">
      <c r="B90" s="13"/>
      <c r="C90" s="13"/>
      <c r="D90" s="13"/>
      <c r="E90" s="13"/>
      <c r="F90" s="13"/>
      <c r="G90" s="13"/>
      <c r="H90" s="13"/>
      <c r="I90" s="13"/>
      <c r="J90" s="13" t="s">
        <v>184</v>
      </c>
      <c r="K90" s="13"/>
      <c r="L90" s="26"/>
    </row>
    <row r="91" spans="2:12" x14ac:dyDescent="0.3">
      <c r="B91" s="103" t="s">
        <v>185</v>
      </c>
      <c r="C91" s="103">
        <f>C67/D67</f>
        <v>1.1140328777832471</v>
      </c>
      <c r="D91" s="13"/>
      <c r="E91" s="13"/>
      <c r="F91" s="13"/>
      <c r="G91" s="13"/>
      <c r="H91" s="13"/>
      <c r="I91" s="13"/>
      <c r="J91" s="13" t="s">
        <v>186</v>
      </c>
      <c r="K91" s="13"/>
      <c r="L91" s="26"/>
    </row>
    <row r="92" spans="2:12" x14ac:dyDescent="0.3">
      <c r="B92" s="103" t="s">
        <v>187</v>
      </c>
      <c r="C92" s="103">
        <f>_xlfn.T.DIST.2T(C91,19)</f>
        <v>0.2791598969039138</v>
      </c>
      <c r="D92" s="13"/>
      <c r="E92" s="13"/>
      <c r="F92" s="13"/>
      <c r="G92" s="13"/>
      <c r="H92" s="13"/>
      <c r="I92" s="13"/>
      <c r="J92" s="13" t="s">
        <v>188</v>
      </c>
      <c r="K92" s="13"/>
      <c r="L92" s="26"/>
    </row>
    <row r="93" spans="2:12" x14ac:dyDescent="0.3">
      <c r="B93" s="13"/>
      <c r="C93" s="43" t="s">
        <v>189</v>
      </c>
      <c r="D93" s="43"/>
      <c r="E93" s="43"/>
      <c r="F93" s="43"/>
      <c r="G93" s="43"/>
      <c r="H93" s="43"/>
      <c r="I93" s="43"/>
      <c r="J93" s="13" t="s">
        <v>190</v>
      </c>
      <c r="K93" s="13"/>
      <c r="L93" s="26"/>
    </row>
    <row r="94" spans="2:12" x14ac:dyDescent="0.3">
      <c r="B94" s="13"/>
      <c r="C94" s="43" t="s">
        <v>327</v>
      </c>
      <c r="D94" s="43"/>
      <c r="E94" s="43"/>
      <c r="F94" s="43"/>
      <c r="G94" s="43"/>
      <c r="H94" s="43"/>
      <c r="I94" s="43"/>
      <c r="J94" s="13"/>
      <c r="K94" s="13"/>
      <c r="L94" s="26"/>
    </row>
    <row r="95" spans="2:12" x14ac:dyDescent="0.3">
      <c r="B95" s="13"/>
      <c r="C95" s="43" t="s">
        <v>328</v>
      </c>
      <c r="D95" s="43"/>
      <c r="E95" s="43"/>
      <c r="F95" s="43"/>
      <c r="G95" s="43"/>
      <c r="H95" s="43"/>
      <c r="I95" s="43"/>
      <c r="J95" s="13"/>
      <c r="K95" s="13"/>
      <c r="L95" s="26"/>
    </row>
    <row r="96" spans="2:12" x14ac:dyDescent="0.3">
      <c r="L96" s="26"/>
    </row>
    <row r="97" spans="1:12" ht="15" x14ac:dyDescent="0.3">
      <c r="B97" s="13"/>
      <c r="C97" s="13" t="s">
        <v>176</v>
      </c>
      <c r="D97" s="13" t="s">
        <v>177</v>
      </c>
      <c r="E97" s="13" t="s">
        <v>178</v>
      </c>
      <c r="F97" s="13" t="s">
        <v>619</v>
      </c>
      <c r="G97" s="13"/>
      <c r="H97" s="13"/>
      <c r="I97" s="13"/>
      <c r="J97" s="13"/>
      <c r="K97" s="13"/>
      <c r="L97" s="45"/>
    </row>
    <row r="98" spans="1:12" ht="15" x14ac:dyDescent="0.3">
      <c r="B98" s="13"/>
      <c r="C98" s="13" t="s">
        <v>179</v>
      </c>
      <c r="D98" s="13" t="s">
        <v>180</v>
      </c>
      <c r="E98" s="13" t="s">
        <v>181</v>
      </c>
      <c r="F98" s="13" t="s">
        <v>618</v>
      </c>
      <c r="G98" s="13"/>
      <c r="H98" s="13"/>
      <c r="I98" s="13"/>
      <c r="J98" s="13"/>
      <c r="K98" s="13"/>
      <c r="L98" s="45"/>
    </row>
    <row r="99" spans="1:12" x14ac:dyDescent="0.3">
      <c r="B99" s="13"/>
      <c r="C99" s="13" t="s">
        <v>326</v>
      </c>
      <c r="D99" s="13"/>
      <c r="E99" s="13"/>
      <c r="F99" s="13"/>
      <c r="G99" s="13"/>
      <c r="H99" s="13"/>
      <c r="I99" s="13"/>
      <c r="J99" s="13" t="s">
        <v>183</v>
      </c>
      <c r="K99" s="13"/>
      <c r="L99" s="26"/>
    </row>
    <row r="100" spans="1:12" x14ac:dyDescent="0.3">
      <c r="B100" s="13"/>
      <c r="C100" s="13"/>
      <c r="D100" s="13"/>
      <c r="E100" s="13"/>
      <c r="F100" s="13"/>
      <c r="G100" s="13"/>
      <c r="H100" s="13"/>
      <c r="I100" s="13"/>
      <c r="J100" s="13" t="s">
        <v>184</v>
      </c>
      <c r="K100" s="13"/>
      <c r="L100" s="26"/>
    </row>
    <row r="101" spans="1:12" x14ac:dyDescent="0.3">
      <c r="B101" s="103" t="s">
        <v>185</v>
      </c>
      <c r="C101" s="103">
        <f>C68/D68</f>
        <v>5.4105341446213888</v>
      </c>
      <c r="D101" s="13"/>
      <c r="E101" s="13"/>
      <c r="F101" s="13"/>
      <c r="G101" s="13"/>
      <c r="H101" s="13"/>
      <c r="I101" s="13"/>
      <c r="J101" s="13" t="s">
        <v>186</v>
      </c>
      <c r="K101" s="13"/>
      <c r="L101" s="26"/>
    </row>
    <row r="102" spans="1:12" x14ac:dyDescent="0.3">
      <c r="B102" s="103" t="s">
        <v>187</v>
      </c>
      <c r="C102" s="103">
        <f>_xlfn.T.DIST.2T(C101,19)</f>
        <v>3.2045480215995525E-5</v>
      </c>
      <c r="D102" s="13"/>
      <c r="E102" s="13"/>
      <c r="F102" s="13"/>
      <c r="G102" s="13"/>
      <c r="H102" s="13"/>
      <c r="I102" s="13"/>
      <c r="J102" s="13" t="s">
        <v>188</v>
      </c>
      <c r="K102" s="13"/>
      <c r="L102" s="26"/>
    </row>
    <row r="103" spans="1:12" x14ac:dyDescent="0.3">
      <c r="B103" s="13"/>
      <c r="C103" s="43" t="s">
        <v>193</v>
      </c>
      <c r="D103" s="43"/>
      <c r="E103" s="43"/>
      <c r="F103" s="43"/>
      <c r="G103" s="43"/>
      <c r="H103" s="43"/>
      <c r="I103" s="43"/>
      <c r="J103" s="13" t="s">
        <v>190</v>
      </c>
      <c r="K103" s="13"/>
      <c r="L103" s="26"/>
    </row>
    <row r="104" spans="1:12" x14ac:dyDescent="0.3">
      <c r="B104" s="13"/>
      <c r="C104" s="43" t="s">
        <v>329</v>
      </c>
      <c r="D104" s="43"/>
      <c r="E104" s="43"/>
      <c r="F104" s="43"/>
      <c r="G104" s="43"/>
      <c r="H104" s="43"/>
      <c r="I104" s="43"/>
      <c r="J104" s="13"/>
      <c r="K104" s="13"/>
      <c r="L104" s="26"/>
    </row>
    <row r="105" spans="1:12" x14ac:dyDescent="0.3">
      <c r="B105" s="13"/>
      <c r="C105" s="43" t="s">
        <v>330</v>
      </c>
      <c r="D105" s="43"/>
      <c r="E105" s="43"/>
      <c r="F105" s="43"/>
      <c r="G105" s="43"/>
      <c r="H105" s="43"/>
      <c r="I105" s="43"/>
      <c r="J105" s="13"/>
      <c r="K105" s="13"/>
      <c r="L105" s="26"/>
    </row>
    <row r="106" spans="1:12" x14ac:dyDescent="0.3">
      <c r="L106" s="26"/>
    </row>
    <row r="107" spans="1:12" x14ac:dyDescent="0.3">
      <c r="A107" t="s">
        <v>401</v>
      </c>
      <c r="B107" s="154" t="s">
        <v>622</v>
      </c>
      <c r="C107" s="154"/>
      <c r="D107" s="154"/>
      <c r="E107" s="154"/>
      <c r="F107" s="154"/>
      <c r="G107" s="154"/>
      <c r="H107" s="154"/>
      <c r="I107" s="154"/>
      <c r="J107" s="154"/>
      <c r="K107" s="154"/>
      <c r="L107" s="154"/>
    </row>
    <row r="108" spans="1:12" x14ac:dyDescent="0.3">
      <c r="B108" s="154"/>
      <c r="C108" s="154"/>
      <c r="D108" s="154"/>
      <c r="E108" s="154"/>
      <c r="F108" s="154"/>
      <c r="G108" s="154"/>
      <c r="H108" s="154"/>
      <c r="I108" s="154"/>
      <c r="J108" s="154"/>
      <c r="K108" s="154"/>
      <c r="L108" s="154"/>
    </row>
    <row r="109" spans="1:12" x14ac:dyDescent="0.3">
      <c r="B109" s="154"/>
      <c r="C109" s="154"/>
      <c r="D109" s="154"/>
      <c r="E109" s="154"/>
      <c r="F109" s="154"/>
      <c r="G109" s="154"/>
      <c r="H109" s="154"/>
      <c r="I109" s="154"/>
      <c r="J109" s="154"/>
      <c r="K109" s="154"/>
      <c r="L109" s="154"/>
    </row>
    <row r="110" spans="1:12" x14ac:dyDescent="0.3">
      <c r="L110" s="26"/>
    </row>
    <row r="111" spans="1:12" x14ac:dyDescent="0.3">
      <c r="L111" s="26"/>
    </row>
    <row r="112" spans="1:12" x14ac:dyDescent="0.3">
      <c r="L112" s="26"/>
    </row>
    <row r="113" spans="3:12" x14ac:dyDescent="0.3">
      <c r="L113" s="26"/>
    </row>
    <row r="114" spans="3:12" x14ac:dyDescent="0.3">
      <c r="L114" s="26"/>
    </row>
    <row r="115" spans="3:12" x14ac:dyDescent="0.3">
      <c r="L115" s="26"/>
    </row>
    <row r="116" spans="3:12" x14ac:dyDescent="0.3">
      <c r="L116" s="26"/>
    </row>
    <row r="128" spans="3:12" x14ac:dyDescent="0.3">
      <c r="C128" t="s">
        <v>627</v>
      </c>
    </row>
  </sheetData>
  <mergeCells count="2">
    <mergeCell ref="A1:M12"/>
    <mergeCell ref="B107:L10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ADA69-33D9-489F-A15D-92DFFBB117DE}">
  <dimension ref="A1:W95"/>
  <sheetViews>
    <sheetView topLeftCell="A25" workbookViewId="0">
      <selection activeCell="F94" sqref="F94"/>
    </sheetView>
  </sheetViews>
  <sheetFormatPr defaultRowHeight="14.4" x14ac:dyDescent="0.3"/>
  <cols>
    <col min="16" max="16" width="12" customWidth="1"/>
    <col min="17" max="17" width="13.44140625" customWidth="1"/>
  </cols>
  <sheetData>
    <row r="1" spans="11:22" x14ac:dyDescent="0.3">
      <c r="K1" s="15" t="s">
        <v>48</v>
      </c>
      <c r="L1" s="16" t="s">
        <v>49</v>
      </c>
      <c r="M1" t="s">
        <v>392</v>
      </c>
      <c r="N1" t="s">
        <v>146</v>
      </c>
    </row>
    <row r="2" spans="11:22" ht="15" thickBot="1" x14ac:dyDescent="0.35">
      <c r="K2" s="17">
        <v>110</v>
      </c>
      <c r="L2" s="18">
        <v>327.67</v>
      </c>
    </row>
    <row r="3" spans="11:22" x14ac:dyDescent="0.3">
      <c r="K3" s="17">
        <v>113</v>
      </c>
      <c r="L3" s="18">
        <v>376.68</v>
      </c>
      <c r="N3" s="41" t="s">
        <v>147</v>
      </c>
      <c r="O3" s="41"/>
    </row>
    <row r="4" spans="11:22" x14ac:dyDescent="0.3">
      <c r="K4" s="17">
        <v>114</v>
      </c>
      <c r="L4" s="18">
        <v>392.52</v>
      </c>
      <c r="N4" s="38" t="s">
        <v>148</v>
      </c>
      <c r="O4" s="38">
        <v>0.75223430036523264</v>
      </c>
    </row>
    <row r="5" spans="11:22" x14ac:dyDescent="0.3">
      <c r="K5" s="17">
        <v>134</v>
      </c>
      <c r="L5" s="18">
        <v>443.14</v>
      </c>
      <c r="N5" s="93" t="s">
        <v>149</v>
      </c>
      <c r="O5" s="93">
        <v>0.56585644264597101</v>
      </c>
    </row>
    <row r="6" spans="11:22" x14ac:dyDescent="0.3">
      <c r="K6" s="17">
        <v>93</v>
      </c>
      <c r="L6" s="18">
        <v>342.62</v>
      </c>
      <c r="N6" s="38" t="s">
        <v>150</v>
      </c>
      <c r="O6" s="38">
        <v>0.54173735612630269</v>
      </c>
    </row>
    <row r="7" spans="11:22" x14ac:dyDescent="0.3">
      <c r="K7" s="17">
        <v>141</v>
      </c>
      <c r="L7" s="18">
        <v>476.16</v>
      </c>
      <c r="N7" s="38" t="s">
        <v>151</v>
      </c>
      <c r="O7" s="38">
        <v>43.318479583321469</v>
      </c>
    </row>
    <row r="8" spans="11:22" ht="15" thickBot="1" x14ac:dyDescent="0.35">
      <c r="K8" s="17">
        <v>115</v>
      </c>
      <c r="L8" s="18">
        <v>324.74</v>
      </c>
      <c r="N8" s="39" t="s">
        <v>152</v>
      </c>
      <c r="O8" s="39">
        <v>20</v>
      </c>
    </row>
    <row r="9" spans="11:22" x14ac:dyDescent="0.3">
      <c r="K9" s="17">
        <v>115</v>
      </c>
      <c r="L9" s="18">
        <v>338.98</v>
      </c>
    </row>
    <row r="10" spans="11:22" ht="15" thickBot="1" x14ac:dyDescent="0.35">
      <c r="K10" s="17">
        <v>115</v>
      </c>
      <c r="L10" s="18">
        <v>433.45</v>
      </c>
      <c r="N10" t="s">
        <v>153</v>
      </c>
    </row>
    <row r="11" spans="11:22" x14ac:dyDescent="0.3">
      <c r="K11" s="17">
        <v>142</v>
      </c>
      <c r="L11" s="18">
        <v>526.37</v>
      </c>
      <c r="N11" s="40"/>
      <c r="O11" s="40" t="s">
        <v>158</v>
      </c>
      <c r="P11" s="40" t="s">
        <v>159</v>
      </c>
      <c r="Q11" s="40" t="s">
        <v>160</v>
      </c>
      <c r="R11" s="40" t="s">
        <v>161</v>
      </c>
      <c r="S11" s="40" t="s">
        <v>162</v>
      </c>
    </row>
    <row r="12" spans="11:22" x14ac:dyDescent="0.3">
      <c r="K12" s="17">
        <v>96</v>
      </c>
      <c r="L12" s="18">
        <v>362.42</v>
      </c>
      <c r="N12" s="38" t="s">
        <v>154</v>
      </c>
      <c r="O12" s="38">
        <v>1</v>
      </c>
      <c r="P12" s="38">
        <v>44024.235173608497</v>
      </c>
      <c r="Q12" s="38">
        <v>44024.235173608497</v>
      </c>
      <c r="R12" s="38">
        <v>23.460940039521592</v>
      </c>
      <c r="S12" s="38">
        <v>1.3037736804170718E-4</v>
      </c>
    </row>
    <row r="13" spans="11:22" x14ac:dyDescent="0.3">
      <c r="K13" s="17">
        <v>139</v>
      </c>
      <c r="L13" s="18">
        <v>448.76</v>
      </c>
      <c r="N13" s="38" t="s">
        <v>155</v>
      </c>
      <c r="O13" s="38">
        <v>18</v>
      </c>
      <c r="P13" s="38">
        <v>33776.832121391504</v>
      </c>
      <c r="Q13" s="38">
        <v>1876.4906734106391</v>
      </c>
      <c r="R13" s="38"/>
      <c r="S13" s="38"/>
    </row>
    <row r="14" spans="11:22" ht="15" thickBot="1" x14ac:dyDescent="0.35">
      <c r="K14" s="17">
        <v>89</v>
      </c>
      <c r="L14" s="18">
        <v>335.27</v>
      </c>
      <c r="N14" s="39" t="s">
        <v>156</v>
      </c>
      <c r="O14" s="39">
        <v>19</v>
      </c>
      <c r="P14" s="39">
        <v>77801.067295000001</v>
      </c>
      <c r="Q14" s="39"/>
      <c r="R14" s="39"/>
      <c r="S14" s="39"/>
    </row>
    <row r="15" spans="11:22" ht="15" thickBot="1" x14ac:dyDescent="0.35">
      <c r="K15" s="17">
        <v>93</v>
      </c>
      <c r="L15" s="18">
        <v>350.94</v>
      </c>
    </row>
    <row r="16" spans="11:22" x14ac:dyDescent="0.3">
      <c r="K16" s="17">
        <v>91</v>
      </c>
      <c r="L16" s="18">
        <v>291.81</v>
      </c>
      <c r="N16" s="40"/>
      <c r="O16" s="40" t="s">
        <v>163</v>
      </c>
      <c r="P16" s="40" t="s">
        <v>151</v>
      </c>
      <c r="Q16" s="40" t="s">
        <v>164</v>
      </c>
      <c r="R16" s="40" t="s">
        <v>165</v>
      </c>
      <c r="S16" s="40" t="s">
        <v>166</v>
      </c>
      <c r="T16" s="40" t="s">
        <v>167</v>
      </c>
      <c r="U16" s="40" t="s">
        <v>168</v>
      </c>
      <c r="V16" s="40" t="s">
        <v>169</v>
      </c>
    </row>
    <row r="17" spans="11:22" x14ac:dyDescent="0.3">
      <c r="K17" s="17">
        <v>109</v>
      </c>
      <c r="L17" s="18">
        <v>467.8</v>
      </c>
      <c r="N17" s="38" t="s">
        <v>157</v>
      </c>
      <c r="O17" s="38">
        <v>114.85246576484553</v>
      </c>
      <c r="P17" s="38">
        <v>58.685442513873525</v>
      </c>
      <c r="Q17" s="38">
        <v>1.9570861332040539</v>
      </c>
      <c r="R17" s="38">
        <v>6.6029842014108817E-2</v>
      </c>
      <c r="S17" s="38">
        <v>-8.4410738538497725</v>
      </c>
      <c r="T17" s="38">
        <v>238.14600538354085</v>
      </c>
      <c r="U17" s="38">
        <v>-8.4410738538497725</v>
      </c>
      <c r="V17" s="38">
        <v>238.14600538354085</v>
      </c>
    </row>
    <row r="18" spans="11:22" ht="15" thickBot="1" x14ac:dyDescent="0.35">
      <c r="K18" s="17">
        <v>138</v>
      </c>
      <c r="L18" s="18">
        <v>474.48</v>
      </c>
      <c r="N18" s="39" t="s">
        <v>48</v>
      </c>
      <c r="O18" s="39">
        <v>2.4733395168518251</v>
      </c>
      <c r="P18" s="39">
        <v>0.51063553215600233</v>
      </c>
      <c r="Q18" s="119">
        <v>4.8436494546490048</v>
      </c>
      <c r="R18" s="119">
        <v>1.3037736804170658E-4</v>
      </c>
      <c r="S18" s="39">
        <v>1.4005340728150686</v>
      </c>
      <c r="T18" s="39">
        <v>3.5461449608885816</v>
      </c>
      <c r="U18" s="39">
        <v>1.4005340728150686</v>
      </c>
      <c r="V18" s="39">
        <v>3.5461449608885816</v>
      </c>
    </row>
    <row r="19" spans="11:22" x14ac:dyDescent="0.3">
      <c r="K19" s="17">
        <v>83</v>
      </c>
      <c r="L19" s="18">
        <v>354.15</v>
      </c>
    </row>
    <row r="20" spans="11:22" x14ac:dyDescent="0.3">
      <c r="K20" s="17">
        <v>100</v>
      </c>
      <c r="L20" s="18">
        <v>420.11</v>
      </c>
      <c r="N20" s="13" t="s">
        <v>174</v>
      </c>
      <c r="O20" s="13">
        <f>O17</f>
        <v>114.85246576484553</v>
      </c>
    </row>
    <row r="21" spans="11:22" x14ac:dyDescent="0.3">
      <c r="K21" s="17">
        <v>137</v>
      </c>
      <c r="L21" s="18">
        <v>416.04</v>
      </c>
      <c r="N21" s="13" t="s">
        <v>172</v>
      </c>
      <c r="O21" s="13">
        <f>O18</f>
        <v>2.4733395168518251</v>
      </c>
    </row>
    <row r="22" spans="11:22" x14ac:dyDescent="0.3">
      <c r="N22" s="13" t="s">
        <v>173</v>
      </c>
      <c r="O22" s="13"/>
    </row>
    <row r="23" spans="11:22" x14ac:dyDescent="0.3">
      <c r="N23" s="43" t="s">
        <v>393</v>
      </c>
      <c r="O23" s="43"/>
    </row>
    <row r="25" spans="11:22" x14ac:dyDescent="0.3">
      <c r="M25" t="s">
        <v>394</v>
      </c>
      <c r="N25" s="154" t="s">
        <v>395</v>
      </c>
      <c r="O25" s="154"/>
      <c r="P25" s="154"/>
      <c r="Q25" s="154"/>
      <c r="R25" s="154"/>
      <c r="S25" s="154"/>
      <c r="T25" s="154"/>
      <c r="U25" s="154"/>
      <c r="V25" s="154"/>
    </row>
    <row r="26" spans="11:22" x14ac:dyDescent="0.3">
      <c r="N26" s="154"/>
      <c r="O26" s="154"/>
      <c r="P26" s="154"/>
      <c r="Q26" s="154"/>
      <c r="R26" s="154"/>
      <c r="S26" s="154"/>
      <c r="T26" s="154"/>
      <c r="U26" s="154"/>
      <c r="V26" s="154"/>
    </row>
    <row r="27" spans="11:22" x14ac:dyDescent="0.3">
      <c r="N27" s="154"/>
      <c r="O27" s="154"/>
      <c r="P27" s="154"/>
      <c r="Q27" s="154"/>
      <c r="R27" s="154"/>
      <c r="S27" s="154"/>
      <c r="T27" s="154"/>
      <c r="U27" s="154"/>
      <c r="V27" s="154"/>
    </row>
    <row r="28" spans="11:22" x14ac:dyDescent="0.3">
      <c r="N28" s="154"/>
      <c r="O28" s="154"/>
      <c r="P28" s="154"/>
      <c r="Q28" s="154"/>
      <c r="R28" s="154"/>
      <c r="S28" s="154"/>
      <c r="T28" s="154"/>
      <c r="U28" s="154"/>
      <c r="V28" s="154"/>
    </row>
    <row r="29" spans="11:22" x14ac:dyDescent="0.3">
      <c r="N29" s="154"/>
      <c r="O29" s="154"/>
      <c r="P29" s="154"/>
      <c r="Q29" s="154"/>
      <c r="R29" s="154"/>
      <c r="S29" s="154"/>
      <c r="T29" s="154"/>
      <c r="U29" s="154"/>
      <c r="V29" s="154"/>
    </row>
    <row r="30" spans="11:22" x14ac:dyDescent="0.3">
      <c r="N30" s="154"/>
      <c r="O30" s="154"/>
      <c r="P30" s="154"/>
      <c r="Q30" s="154"/>
      <c r="R30" s="154"/>
      <c r="S30" s="154"/>
      <c r="T30" s="154"/>
      <c r="U30" s="154"/>
      <c r="V30" s="154"/>
    </row>
    <row r="31" spans="11:22" x14ac:dyDescent="0.3">
      <c r="N31" s="154"/>
      <c r="O31" s="154"/>
      <c r="P31" s="154"/>
      <c r="Q31" s="154"/>
      <c r="R31" s="154"/>
      <c r="S31" s="154"/>
      <c r="T31" s="154"/>
      <c r="U31" s="154"/>
      <c r="V31" s="154"/>
    </row>
    <row r="33" spans="1:23" x14ac:dyDescent="0.3">
      <c r="N33" s="65" t="s">
        <v>397</v>
      </c>
      <c r="O33" s="65"/>
      <c r="P33" s="65"/>
      <c r="Q33" s="65"/>
      <c r="R33" s="65"/>
      <c r="S33" s="65"/>
      <c r="T33" s="65"/>
      <c r="U33" s="65"/>
      <c r="V33" s="65"/>
    </row>
    <row r="34" spans="1:23" x14ac:dyDescent="0.3">
      <c r="M34" t="s">
        <v>199</v>
      </c>
      <c r="N34" s="103" t="s">
        <v>396</v>
      </c>
      <c r="O34" s="103">
        <f>O5</f>
        <v>0.56585644264597101</v>
      </c>
    </row>
    <row r="35" spans="1:23" x14ac:dyDescent="0.3">
      <c r="N35" s="154" t="s">
        <v>398</v>
      </c>
      <c r="O35" s="154"/>
      <c r="P35" s="154"/>
      <c r="Q35" s="154"/>
      <c r="R35" s="154"/>
      <c r="S35" s="154"/>
      <c r="T35" s="154"/>
      <c r="U35" s="154"/>
      <c r="V35" s="154"/>
    </row>
    <row r="36" spans="1:23" x14ac:dyDescent="0.3">
      <c r="A36" t="s">
        <v>244</v>
      </c>
      <c r="N36" s="154"/>
      <c r="O36" s="154"/>
      <c r="P36" s="154"/>
      <c r="Q36" s="154"/>
      <c r="R36" s="154"/>
      <c r="S36" s="154"/>
      <c r="T36" s="154"/>
      <c r="U36" s="154"/>
      <c r="V36" s="154"/>
    </row>
    <row r="37" spans="1:23" x14ac:dyDescent="0.3">
      <c r="N37" s="154"/>
      <c r="O37" s="154"/>
      <c r="P37" s="154"/>
      <c r="Q37" s="154"/>
      <c r="R37" s="154"/>
      <c r="S37" s="154"/>
      <c r="T37" s="154"/>
      <c r="U37" s="154"/>
      <c r="V37" s="154"/>
    </row>
    <row r="38" spans="1:23" x14ac:dyDescent="0.3">
      <c r="A38">
        <v>4</v>
      </c>
      <c r="M38" s="43" t="s">
        <v>322</v>
      </c>
      <c r="N38" s="13"/>
      <c r="O38" s="13" t="s">
        <v>176</v>
      </c>
      <c r="P38" s="13" t="s">
        <v>177</v>
      </c>
      <c r="Q38" s="13" t="s">
        <v>178</v>
      </c>
      <c r="R38" s="13" t="s">
        <v>191</v>
      </c>
      <c r="S38" s="13"/>
      <c r="T38" s="13"/>
      <c r="U38" s="13"/>
      <c r="V38" s="13"/>
      <c r="W38" s="13"/>
    </row>
    <row r="39" spans="1:23" ht="18" x14ac:dyDescent="0.3">
      <c r="A39" s="44" t="s">
        <v>402</v>
      </c>
      <c r="N39" s="13"/>
      <c r="O39" s="13" t="s">
        <v>179</v>
      </c>
      <c r="P39" s="13" t="s">
        <v>180</v>
      </c>
      <c r="Q39" s="13" t="s">
        <v>181</v>
      </c>
      <c r="R39" s="13" t="s">
        <v>192</v>
      </c>
      <c r="S39" s="13"/>
      <c r="T39" s="13"/>
      <c r="U39" s="13"/>
      <c r="V39" s="13"/>
      <c r="W39" s="13"/>
    </row>
    <row r="40" spans="1:23" ht="15" x14ac:dyDescent="0.3">
      <c r="A40" s="45" t="s">
        <v>211</v>
      </c>
      <c r="N40" s="13"/>
      <c r="O40" s="13" t="s">
        <v>182</v>
      </c>
      <c r="P40" s="13"/>
      <c r="Q40" s="13"/>
      <c r="R40" s="13"/>
      <c r="S40" s="13"/>
      <c r="T40" s="13"/>
      <c r="U40" s="13"/>
      <c r="V40" s="13" t="s">
        <v>183</v>
      </c>
      <c r="W40" s="13"/>
    </row>
    <row r="41" spans="1:23" x14ac:dyDescent="0.3">
      <c r="A41" s="46" t="s">
        <v>49</v>
      </c>
      <c r="B41" s="46" t="s">
        <v>212</v>
      </c>
      <c r="C41" s="46" t="s">
        <v>403</v>
      </c>
      <c r="N41" s="13"/>
      <c r="O41" s="13"/>
      <c r="P41" s="13"/>
      <c r="Q41" s="13"/>
      <c r="R41" s="13"/>
      <c r="S41" s="13"/>
      <c r="T41" s="13"/>
      <c r="U41" s="13"/>
      <c r="V41" s="13" t="s">
        <v>184</v>
      </c>
      <c r="W41" s="13"/>
    </row>
    <row r="42" spans="1:23" ht="15" x14ac:dyDescent="0.3">
      <c r="A42" s="45" t="s">
        <v>163</v>
      </c>
      <c r="N42" s="103" t="s">
        <v>185</v>
      </c>
      <c r="O42" s="103">
        <f>O18/P18</f>
        <v>4.8436494546490048</v>
      </c>
      <c r="P42" s="13"/>
      <c r="Q42" s="13"/>
      <c r="R42" s="13"/>
      <c r="S42" s="13"/>
      <c r="T42" s="13"/>
      <c r="U42" s="13"/>
      <c r="V42" s="13" t="s">
        <v>186</v>
      </c>
      <c r="W42" s="13"/>
    </row>
    <row r="43" spans="1:23" ht="15" thickBot="1" x14ac:dyDescent="0.35">
      <c r="A43" s="47" t="s">
        <v>214</v>
      </c>
      <c r="B43" s="48" t="s">
        <v>215</v>
      </c>
      <c r="C43" s="48" t="s">
        <v>216</v>
      </c>
      <c r="D43" s="48" t="s">
        <v>217</v>
      </c>
      <c r="E43" s="48" t="s">
        <v>218</v>
      </c>
      <c r="F43" s="48" t="s">
        <v>219</v>
      </c>
      <c r="N43" s="103" t="s">
        <v>187</v>
      </c>
      <c r="O43" s="103">
        <f>_xlfn.T.DIST.2T(O42,18)</f>
        <v>1.3037736804170658E-4</v>
      </c>
      <c r="P43" s="13"/>
      <c r="Q43" s="13"/>
      <c r="R43" s="13"/>
      <c r="S43" s="13"/>
      <c r="T43" s="13"/>
      <c r="U43" s="13"/>
      <c r="V43" s="13" t="s">
        <v>188</v>
      </c>
      <c r="W43" s="13"/>
    </row>
    <row r="44" spans="1:23" x14ac:dyDescent="0.3">
      <c r="A44" s="46" t="s">
        <v>220</v>
      </c>
      <c r="B44" s="49">
        <v>114.9</v>
      </c>
      <c r="C44" s="49">
        <v>58.7</v>
      </c>
      <c r="D44" s="49">
        <v>1.96</v>
      </c>
      <c r="E44" s="49">
        <v>6.6000000000000003E-2</v>
      </c>
      <c r="F44" s="50"/>
      <c r="N44" s="13"/>
      <c r="O44" s="43" t="s">
        <v>193</v>
      </c>
      <c r="P44" s="43"/>
      <c r="Q44" s="43"/>
      <c r="R44" s="43"/>
      <c r="S44" s="43"/>
      <c r="T44" s="43"/>
      <c r="U44" s="43"/>
      <c r="V44" s="13" t="s">
        <v>190</v>
      </c>
      <c r="W44" s="13"/>
    </row>
    <row r="45" spans="1:23" x14ac:dyDescent="0.3">
      <c r="A45" s="46" t="s">
        <v>48</v>
      </c>
      <c r="B45" s="49">
        <v>2.4729999999999999</v>
      </c>
      <c r="C45" s="49">
        <v>0.51100000000000001</v>
      </c>
      <c r="D45" s="120">
        <v>4.84</v>
      </c>
      <c r="E45" s="120">
        <v>0</v>
      </c>
      <c r="F45" s="49">
        <v>1</v>
      </c>
      <c r="N45" s="13"/>
      <c r="O45" s="43" t="s">
        <v>399</v>
      </c>
      <c r="P45" s="43"/>
      <c r="Q45" s="43"/>
      <c r="R45" s="43"/>
      <c r="S45" s="43"/>
      <c r="T45" s="43"/>
      <c r="U45" s="43"/>
      <c r="V45" s="13"/>
      <c r="W45" s="13"/>
    </row>
    <row r="46" spans="1:23" ht="15" x14ac:dyDescent="0.3">
      <c r="A46" s="45" t="s">
        <v>221</v>
      </c>
      <c r="M46" t="s">
        <v>401</v>
      </c>
      <c r="N46" s="103" t="s">
        <v>400</v>
      </c>
      <c r="O46" s="103"/>
      <c r="P46" s="103"/>
      <c r="Q46" s="103"/>
      <c r="R46" s="103"/>
      <c r="S46" s="103"/>
      <c r="T46" s="103"/>
      <c r="U46" s="103"/>
      <c r="V46" s="103"/>
      <c r="W46" s="13"/>
    </row>
    <row r="47" spans="1:23" ht="15" thickBot="1" x14ac:dyDescent="0.35">
      <c r="A47" s="48" t="s">
        <v>222</v>
      </c>
      <c r="B47" s="48" t="s">
        <v>223</v>
      </c>
      <c r="C47" s="48" t="s">
        <v>224</v>
      </c>
      <c r="D47" s="48" t="s">
        <v>225</v>
      </c>
      <c r="N47" t="s">
        <v>405</v>
      </c>
    </row>
    <row r="48" spans="1:23" x14ac:dyDescent="0.3">
      <c r="A48" s="49">
        <v>43.3185</v>
      </c>
      <c r="B48" s="51">
        <v>0.56589999999999996</v>
      </c>
      <c r="C48" s="51">
        <v>0.54169999999999996</v>
      </c>
      <c r="D48" s="51">
        <v>0.48359999999999997</v>
      </c>
    </row>
    <row r="49" spans="1:17" ht="18" x14ac:dyDescent="0.3">
      <c r="A49" s="45" t="s">
        <v>226</v>
      </c>
      <c r="N49" s="44" t="s">
        <v>406</v>
      </c>
    </row>
    <row r="50" spans="1:17" ht="15.6" thickBot="1" x14ac:dyDescent="0.35">
      <c r="A50" s="47" t="s">
        <v>227</v>
      </c>
      <c r="B50" s="48" t="s">
        <v>228</v>
      </c>
      <c r="C50" s="48" t="s">
        <v>229</v>
      </c>
      <c r="D50" s="48" t="s">
        <v>230</v>
      </c>
      <c r="E50" s="48" t="s">
        <v>231</v>
      </c>
      <c r="F50" s="48" t="s">
        <v>218</v>
      </c>
      <c r="N50" s="45" t="s">
        <v>211</v>
      </c>
    </row>
    <row r="51" spans="1:17" x14ac:dyDescent="0.3">
      <c r="A51" s="46" t="s">
        <v>154</v>
      </c>
      <c r="B51" s="49">
        <v>1</v>
      </c>
      <c r="C51" s="49">
        <v>44024</v>
      </c>
      <c r="D51" s="49">
        <v>44024</v>
      </c>
      <c r="E51" s="49">
        <v>23.46</v>
      </c>
      <c r="F51" s="49">
        <v>0</v>
      </c>
      <c r="N51" s="46" t="s">
        <v>49</v>
      </c>
      <c r="O51" s="46" t="s">
        <v>212</v>
      </c>
      <c r="P51" s="46" t="s">
        <v>403</v>
      </c>
    </row>
    <row r="52" spans="1:17" ht="15" x14ac:dyDescent="0.3">
      <c r="A52" s="46" t="s">
        <v>404</v>
      </c>
      <c r="B52" s="49">
        <v>1</v>
      </c>
      <c r="C52" s="49">
        <v>44024</v>
      </c>
      <c r="D52" s="49">
        <v>44024</v>
      </c>
      <c r="E52" s="49">
        <v>23.46</v>
      </c>
      <c r="F52" s="49">
        <v>0</v>
      </c>
      <c r="N52" s="45" t="s">
        <v>407</v>
      </c>
    </row>
    <row r="53" spans="1:17" ht="15" thickBot="1" x14ac:dyDescent="0.35">
      <c r="A53" s="46" t="s">
        <v>234</v>
      </c>
      <c r="B53" s="49">
        <v>18</v>
      </c>
      <c r="C53" s="49">
        <v>33777</v>
      </c>
      <c r="D53" s="49">
        <v>1876</v>
      </c>
      <c r="E53" s="50"/>
      <c r="F53" s="50"/>
      <c r="N53" s="47" t="s">
        <v>408</v>
      </c>
      <c r="O53" s="48" t="s">
        <v>409</v>
      </c>
    </row>
    <row r="54" spans="1:17" x14ac:dyDescent="0.3">
      <c r="A54" s="46" t="s">
        <v>235</v>
      </c>
      <c r="B54" s="49">
        <v>15</v>
      </c>
      <c r="C54" s="49">
        <v>26760</v>
      </c>
      <c r="D54" s="49">
        <v>1784</v>
      </c>
      <c r="E54" s="49">
        <v>0.76</v>
      </c>
      <c r="F54" s="49">
        <v>0.69199999999999995</v>
      </c>
      <c r="N54" s="46" t="s">
        <v>48</v>
      </c>
      <c r="O54" s="49">
        <v>120</v>
      </c>
    </row>
    <row r="55" spans="1:17" ht="15" x14ac:dyDescent="0.3">
      <c r="A55" s="46" t="s">
        <v>236</v>
      </c>
      <c r="B55" s="49">
        <v>3</v>
      </c>
      <c r="C55" s="49">
        <v>7016</v>
      </c>
      <c r="D55" s="49">
        <v>2339</v>
      </c>
      <c r="E55" s="50"/>
      <c r="F55" s="50"/>
      <c r="N55" s="45" t="s">
        <v>410</v>
      </c>
    </row>
    <row r="56" spans="1:17" ht="15" thickBot="1" x14ac:dyDescent="0.35">
      <c r="A56" s="46" t="s">
        <v>156</v>
      </c>
      <c r="B56" s="49">
        <v>19</v>
      </c>
      <c r="C56" s="49">
        <v>77801</v>
      </c>
      <c r="D56" s="50"/>
      <c r="E56" s="50"/>
      <c r="F56" s="50"/>
      <c r="N56" s="48" t="s">
        <v>239</v>
      </c>
      <c r="O56" s="48" t="s">
        <v>411</v>
      </c>
      <c r="P56" s="125" t="s">
        <v>349</v>
      </c>
      <c r="Q56" s="125" t="s">
        <v>412</v>
      </c>
    </row>
    <row r="57" spans="1:17" ht="15" x14ac:dyDescent="0.3">
      <c r="A57" s="45"/>
      <c r="N57" s="49">
        <v>411.65300000000002</v>
      </c>
      <c r="O57" s="49">
        <v>10.2643</v>
      </c>
      <c r="P57" s="111" t="s">
        <v>413</v>
      </c>
      <c r="Q57" s="111" t="s">
        <v>414</v>
      </c>
    </row>
    <row r="58" spans="1:17" x14ac:dyDescent="0.3">
      <c r="A58" s="26"/>
    </row>
    <row r="59" spans="1:17" x14ac:dyDescent="0.3">
      <c r="A59" s="26"/>
      <c r="L59" s="127"/>
      <c r="N59" s="24" t="s">
        <v>415</v>
      </c>
    </row>
    <row r="60" spans="1:17" x14ac:dyDescent="0.3">
      <c r="A60" s="26"/>
    </row>
    <row r="61" spans="1:17" x14ac:dyDescent="0.3">
      <c r="A61" s="26"/>
    </row>
    <row r="62" spans="1:17" x14ac:dyDescent="0.3">
      <c r="A62" s="26"/>
    </row>
    <row r="63" spans="1:17" x14ac:dyDescent="0.3">
      <c r="A63" s="26"/>
    </row>
    <row r="64" spans="1:17" x14ac:dyDescent="0.3">
      <c r="A64" s="26"/>
    </row>
    <row r="65" spans="1:1" x14ac:dyDescent="0.3">
      <c r="A65" s="26"/>
    </row>
    <row r="66" spans="1:1" x14ac:dyDescent="0.3">
      <c r="A66" s="26"/>
    </row>
    <row r="67" spans="1:1" x14ac:dyDescent="0.3">
      <c r="A67" s="26"/>
    </row>
    <row r="68" spans="1:1" x14ac:dyDescent="0.3">
      <c r="A68" s="26"/>
    </row>
    <row r="69" spans="1:1" x14ac:dyDescent="0.3">
      <c r="A69" s="26"/>
    </row>
    <row r="70" spans="1:1" x14ac:dyDescent="0.3">
      <c r="A70" s="26"/>
    </row>
    <row r="71" spans="1:1" x14ac:dyDescent="0.3">
      <c r="A71" s="26"/>
    </row>
    <row r="72" spans="1:1" x14ac:dyDescent="0.3">
      <c r="A72" s="26"/>
    </row>
    <row r="73" spans="1:1" x14ac:dyDescent="0.3">
      <c r="A73" s="26"/>
    </row>
    <row r="74" spans="1:1" x14ac:dyDescent="0.3">
      <c r="A74" s="26"/>
    </row>
    <row r="75" spans="1:1" x14ac:dyDescent="0.3">
      <c r="A75" s="26"/>
    </row>
    <row r="76" spans="1:1" ht="15" x14ac:dyDescent="0.3">
      <c r="A76" s="45"/>
    </row>
    <row r="77" spans="1:1" ht="15" x14ac:dyDescent="0.3">
      <c r="A77" s="45"/>
    </row>
    <row r="78" spans="1:1" x14ac:dyDescent="0.3">
      <c r="A78" s="26"/>
    </row>
    <row r="79" spans="1:1" x14ac:dyDescent="0.3">
      <c r="A79" s="26"/>
    </row>
    <row r="80" spans="1:1" x14ac:dyDescent="0.3">
      <c r="A80" s="26"/>
    </row>
    <row r="81" spans="1:1" x14ac:dyDescent="0.3">
      <c r="A81" s="26"/>
    </row>
    <row r="82" spans="1:1" x14ac:dyDescent="0.3">
      <c r="A82" s="26"/>
    </row>
    <row r="83" spans="1:1" x14ac:dyDescent="0.3">
      <c r="A83" s="26"/>
    </row>
    <row r="84" spans="1:1" x14ac:dyDescent="0.3">
      <c r="A84" s="26"/>
    </row>
    <row r="85" spans="1:1" x14ac:dyDescent="0.3">
      <c r="A85" s="26"/>
    </row>
    <row r="86" spans="1:1" x14ac:dyDescent="0.3">
      <c r="A86" s="26"/>
    </row>
    <row r="87" spans="1:1" x14ac:dyDescent="0.3">
      <c r="A87" s="26"/>
    </row>
    <row r="88" spans="1:1" x14ac:dyDescent="0.3">
      <c r="A88" s="26"/>
    </row>
    <row r="89" spans="1:1" x14ac:dyDescent="0.3">
      <c r="A89" s="26"/>
    </row>
    <row r="90" spans="1:1" x14ac:dyDescent="0.3">
      <c r="A90" s="26"/>
    </row>
    <row r="91" spans="1:1" x14ac:dyDescent="0.3">
      <c r="A91" s="26"/>
    </row>
    <row r="92" spans="1:1" x14ac:dyDescent="0.3">
      <c r="A92" s="26"/>
    </row>
    <row r="93" spans="1:1" x14ac:dyDescent="0.3">
      <c r="A93" s="26"/>
    </row>
    <row r="94" spans="1:1" x14ac:dyDescent="0.3">
      <c r="A94" s="26"/>
    </row>
    <row r="95" spans="1:1" x14ac:dyDescent="0.3">
      <c r="A95" s="26"/>
    </row>
  </sheetData>
  <mergeCells count="2">
    <mergeCell ref="N25:V31"/>
    <mergeCell ref="N35:V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D7E67-AB64-4250-858C-E0EE225098E5}">
  <dimension ref="C1:V149"/>
  <sheetViews>
    <sheetView topLeftCell="A67" zoomScale="84" workbookViewId="0">
      <selection activeCell="L100" sqref="L100"/>
    </sheetView>
  </sheetViews>
  <sheetFormatPr defaultRowHeight="14.4" x14ac:dyDescent="0.3"/>
  <cols>
    <col min="14" max="14" width="12.88671875" customWidth="1"/>
    <col min="15" max="15" width="12.77734375" customWidth="1"/>
  </cols>
  <sheetData>
    <row r="1" spans="11:20" x14ac:dyDescent="0.3">
      <c r="L1" s="67"/>
      <c r="M1" s="67"/>
      <c r="N1" s="67"/>
      <c r="O1" s="67"/>
      <c r="P1" s="67"/>
      <c r="Q1" s="67"/>
      <c r="R1" s="67"/>
      <c r="S1" s="67"/>
      <c r="T1" s="67"/>
    </row>
    <row r="2" spans="11:20" x14ac:dyDescent="0.3">
      <c r="K2" t="s">
        <v>392</v>
      </c>
      <c r="L2" s="67"/>
      <c r="M2" s="67"/>
      <c r="N2" s="67"/>
      <c r="O2" s="67"/>
      <c r="P2" s="67"/>
      <c r="Q2" s="67"/>
      <c r="R2" s="67"/>
      <c r="S2" s="67"/>
      <c r="T2" s="67"/>
    </row>
    <row r="3" spans="11:20" x14ac:dyDescent="0.3">
      <c r="L3" s="67"/>
      <c r="M3" s="67"/>
      <c r="N3" s="67"/>
      <c r="O3" s="67"/>
      <c r="P3" s="67"/>
      <c r="Q3" s="67"/>
      <c r="R3" s="67"/>
      <c r="S3" s="67"/>
      <c r="T3" s="67"/>
    </row>
    <row r="4" spans="11:20" x14ac:dyDescent="0.3">
      <c r="L4" s="67"/>
      <c r="M4" s="67"/>
      <c r="N4" s="67"/>
      <c r="O4" s="67"/>
      <c r="P4" s="67"/>
      <c r="Q4" s="67"/>
      <c r="R4" s="67"/>
      <c r="S4" s="67"/>
      <c r="T4" s="67"/>
    </row>
    <row r="5" spans="11:20" x14ac:dyDescent="0.3">
      <c r="L5" s="67"/>
      <c r="M5" s="67"/>
      <c r="N5" s="67"/>
      <c r="O5" s="67"/>
      <c r="P5" s="67"/>
      <c r="Q5" s="67"/>
      <c r="R5" s="67"/>
      <c r="S5" s="67"/>
      <c r="T5" s="67"/>
    </row>
    <row r="6" spans="11:20" x14ac:dyDescent="0.3">
      <c r="L6" s="67"/>
      <c r="M6" s="67"/>
      <c r="N6" s="67"/>
      <c r="O6" s="67"/>
      <c r="P6" s="67"/>
      <c r="Q6" s="67"/>
      <c r="R6" s="67"/>
      <c r="S6" s="67"/>
      <c r="T6" s="67"/>
    </row>
    <row r="7" spans="11:20" x14ac:dyDescent="0.3">
      <c r="L7" s="67"/>
      <c r="M7" s="67"/>
      <c r="N7" s="67"/>
      <c r="O7" s="67"/>
      <c r="P7" s="67"/>
      <c r="Q7" s="67"/>
      <c r="R7" s="67"/>
      <c r="S7" s="67"/>
      <c r="T7" s="67"/>
    </row>
    <row r="8" spans="11:20" x14ac:dyDescent="0.3">
      <c r="L8" s="67"/>
      <c r="M8" s="67"/>
      <c r="N8" s="67"/>
      <c r="O8" s="67"/>
      <c r="P8" s="67"/>
      <c r="Q8" s="67"/>
      <c r="R8" s="67"/>
      <c r="S8" s="67"/>
      <c r="T8" s="67"/>
    </row>
    <row r="9" spans="11:20" x14ac:dyDescent="0.3">
      <c r="L9" s="67"/>
      <c r="M9" s="67"/>
      <c r="N9" s="67"/>
      <c r="O9" s="67"/>
      <c r="P9" s="67"/>
      <c r="Q9" s="67"/>
      <c r="R9" s="67"/>
      <c r="S9" s="67"/>
      <c r="T9" s="67"/>
    </row>
    <row r="10" spans="11:20" x14ac:dyDescent="0.3">
      <c r="L10" s="67"/>
      <c r="M10" s="67"/>
      <c r="N10" s="67"/>
      <c r="O10" s="67"/>
      <c r="P10" s="67"/>
      <c r="Q10" s="67"/>
      <c r="R10" s="67"/>
      <c r="S10" s="67"/>
      <c r="T10" s="67"/>
    </row>
    <row r="11" spans="11:20" x14ac:dyDescent="0.3">
      <c r="L11" s="67"/>
      <c r="M11" s="67"/>
      <c r="N11" s="67"/>
      <c r="O11" s="67"/>
      <c r="P11" s="67"/>
      <c r="Q11" s="67"/>
      <c r="R11" s="67"/>
      <c r="S11" s="67"/>
      <c r="T11" s="67"/>
    </row>
    <row r="12" spans="11:20" x14ac:dyDescent="0.3">
      <c r="L12" s="67"/>
      <c r="M12" s="67"/>
      <c r="N12" s="67"/>
      <c r="O12" s="67"/>
      <c r="P12" s="67"/>
      <c r="Q12" s="67"/>
      <c r="R12" s="67"/>
      <c r="S12" s="67"/>
      <c r="T12" s="67"/>
    </row>
    <row r="13" spans="11:20" x14ac:dyDescent="0.3">
      <c r="L13" s="67"/>
      <c r="M13" s="67"/>
      <c r="N13" s="67"/>
      <c r="O13" s="67"/>
      <c r="P13" s="67"/>
      <c r="Q13" s="67"/>
      <c r="R13" s="67"/>
      <c r="S13" s="67"/>
      <c r="T13" s="67"/>
    </row>
    <row r="14" spans="11:20" x14ac:dyDescent="0.3">
      <c r="L14" s="67"/>
      <c r="M14" s="67"/>
      <c r="N14" s="67"/>
      <c r="O14" s="67"/>
      <c r="P14" s="67"/>
      <c r="Q14" s="67"/>
      <c r="R14" s="67"/>
      <c r="S14" s="67"/>
      <c r="T14" s="67"/>
    </row>
    <row r="15" spans="11:20" x14ac:dyDescent="0.3">
      <c r="L15" s="67"/>
      <c r="M15" s="67"/>
      <c r="N15" s="67"/>
      <c r="O15" s="67"/>
      <c r="P15" s="67"/>
      <c r="Q15" s="67"/>
      <c r="R15" s="67"/>
      <c r="S15" s="67"/>
      <c r="T15" s="67"/>
    </row>
    <row r="16" spans="11:20" x14ac:dyDescent="0.3">
      <c r="L16" t="s">
        <v>417</v>
      </c>
    </row>
    <row r="17" spans="3:18" ht="15.6" x14ac:dyDescent="0.3">
      <c r="K17" t="s">
        <v>394</v>
      </c>
      <c r="L17" s="88" t="s">
        <v>418</v>
      </c>
    </row>
    <row r="18" spans="3:18" ht="15" x14ac:dyDescent="0.3">
      <c r="L18" s="78" t="s">
        <v>332</v>
      </c>
    </row>
    <row r="19" spans="3:18" x14ac:dyDescent="0.3">
      <c r="L19" s="46" t="s">
        <v>419</v>
      </c>
      <c r="M19" s="46" t="s">
        <v>420</v>
      </c>
    </row>
    <row r="20" spans="3:18" ht="15" x14ac:dyDescent="0.3">
      <c r="L20" s="78" t="s">
        <v>211</v>
      </c>
    </row>
    <row r="21" spans="3:18" ht="15" thickBot="1" x14ac:dyDescent="0.35">
      <c r="L21" s="79" t="s">
        <v>51</v>
      </c>
      <c r="M21" s="79"/>
      <c r="N21" s="79"/>
      <c r="O21" s="79"/>
    </row>
    <row r="22" spans="3:18" x14ac:dyDescent="0.3">
      <c r="L22" s="46">
        <v>0</v>
      </c>
      <c r="M22" s="46" t="s">
        <v>416</v>
      </c>
      <c r="N22" s="46" t="s">
        <v>212</v>
      </c>
      <c r="O22" s="46" t="s">
        <v>421</v>
      </c>
    </row>
    <row r="23" spans="3:18" x14ac:dyDescent="0.3">
      <c r="L23" s="63"/>
      <c r="M23" s="50"/>
      <c r="N23" s="50"/>
      <c r="O23" s="50"/>
    </row>
    <row r="24" spans="3:18" x14ac:dyDescent="0.3">
      <c r="L24" s="46">
        <v>1</v>
      </c>
      <c r="M24" s="46" t="s">
        <v>416</v>
      </c>
      <c r="N24" s="46" t="s">
        <v>212</v>
      </c>
      <c r="O24" s="46" t="s">
        <v>422</v>
      </c>
    </row>
    <row r="25" spans="3:18" ht="15" x14ac:dyDescent="0.3">
      <c r="L25" s="78" t="s">
        <v>163</v>
      </c>
    </row>
    <row r="26" spans="3:18" ht="15" thickBot="1" x14ac:dyDescent="0.35">
      <c r="L26" s="79" t="s">
        <v>214</v>
      </c>
      <c r="M26" s="80" t="s">
        <v>215</v>
      </c>
      <c r="N26" s="80" t="s">
        <v>216</v>
      </c>
      <c r="O26" s="80" t="s">
        <v>217</v>
      </c>
      <c r="P26" s="80" t="s">
        <v>218</v>
      </c>
      <c r="Q26" s="80" t="s">
        <v>219</v>
      </c>
    </row>
    <row r="27" spans="3:18" x14ac:dyDescent="0.3">
      <c r="L27" s="81" t="s">
        <v>220</v>
      </c>
      <c r="M27" s="82">
        <v>137.72</v>
      </c>
      <c r="N27" s="82">
        <v>5.47</v>
      </c>
      <c r="O27" s="82">
        <v>25.19</v>
      </c>
      <c r="P27" s="82">
        <v>0</v>
      </c>
      <c r="Q27" s="83"/>
    </row>
    <row r="28" spans="3:18" x14ac:dyDescent="0.3">
      <c r="C28" s="68" t="s">
        <v>50</v>
      </c>
      <c r="D28" s="71" t="s">
        <v>416</v>
      </c>
      <c r="E28" s="68" t="s">
        <v>51</v>
      </c>
      <c r="F28" s="89"/>
      <c r="G28" s="89"/>
      <c r="H28" s="89"/>
      <c r="I28" s="89"/>
      <c r="J28" s="89"/>
      <c r="L28" s="85" t="s">
        <v>50</v>
      </c>
      <c r="M28" s="86">
        <v>3.778</v>
      </c>
      <c r="N28" s="86">
        <v>0.78700000000000003</v>
      </c>
      <c r="O28" s="86">
        <v>4.8</v>
      </c>
      <c r="P28" s="86">
        <v>0</v>
      </c>
      <c r="Q28" s="86">
        <v>1.24</v>
      </c>
      <c r="R28" s="87"/>
    </row>
    <row r="29" spans="3:18" x14ac:dyDescent="0.3">
      <c r="C29" s="69">
        <v>5.8</v>
      </c>
      <c r="D29" s="72">
        <v>154.9</v>
      </c>
      <c r="E29" s="70">
        <v>0</v>
      </c>
      <c r="F29" s="89"/>
      <c r="G29" s="89"/>
      <c r="H29" s="89"/>
      <c r="I29" s="89"/>
      <c r="J29" s="89"/>
      <c r="L29" s="81" t="s">
        <v>51</v>
      </c>
      <c r="M29" s="83"/>
      <c r="N29" s="83"/>
      <c r="O29" s="83"/>
      <c r="P29" s="83"/>
      <c r="Q29" s="83"/>
    </row>
    <row r="30" spans="3:18" x14ac:dyDescent="0.3">
      <c r="C30" s="69">
        <v>6.1</v>
      </c>
      <c r="D30" s="73">
        <v>154.9</v>
      </c>
      <c r="E30" s="70">
        <v>0</v>
      </c>
      <c r="F30" s="89"/>
      <c r="G30" s="89"/>
      <c r="H30" s="89"/>
      <c r="I30" s="89"/>
      <c r="J30" s="89"/>
      <c r="L30" s="81" t="s">
        <v>423</v>
      </c>
      <c r="M30" s="82">
        <v>12.16</v>
      </c>
      <c r="N30" s="82">
        <v>1.21</v>
      </c>
      <c r="O30" s="82">
        <v>10.08</v>
      </c>
      <c r="P30" s="82">
        <v>0</v>
      </c>
      <c r="Q30" s="82">
        <v>1.24</v>
      </c>
    </row>
    <row r="31" spans="3:18" ht="15" x14ac:dyDescent="0.3">
      <c r="C31" s="69">
        <v>6.1</v>
      </c>
      <c r="D31" s="72">
        <v>154.9</v>
      </c>
      <c r="E31" s="70">
        <v>0</v>
      </c>
      <c r="F31" s="89"/>
      <c r="G31" s="89"/>
      <c r="H31" s="89"/>
      <c r="I31" s="89"/>
      <c r="J31" s="89"/>
      <c r="L31" s="78" t="s">
        <v>221</v>
      </c>
    </row>
    <row r="32" spans="3:18" ht="15" thickBot="1" x14ac:dyDescent="0.35">
      <c r="C32" s="69">
        <v>6.8</v>
      </c>
      <c r="D32" s="73">
        <v>154.9</v>
      </c>
      <c r="E32" s="70">
        <v>0</v>
      </c>
      <c r="F32" s="89"/>
      <c r="G32" s="89"/>
      <c r="H32" s="89"/>
      <c r="I32" s="89"/>
      <c r="J32" s="89"/>
      <c r="L32" s="80" t="s">
        <v>222</v>
      </c>
      <c r="M32" s="80" t="s">
        <v>223</v>
      </c>
      <c r="N32" s="80" t="s">
        <v>224</v>
      </c>
      <c r="O32" s="80" t="s">
        <v>225</v>
      </c>
    </row>
    <row r="33" spans="3:21" x14ac:dyDescent="0.3">
      <c r="C33" s="69">
        <v>6.9</v>
      </c>
      <c r="D33" s="72">
        <v>154.9</v>
      </c>
      <c r="E33" s="70">
        <v>0</v>
      </c>
      <c r="F33" s="89"/>
      <c r="G33" s="89"/>
      <c r="H33" s="89"/>
      <c r="I33" s="89"/>
      <c r="J33" s="89"/>
      <c r="L33" s="49">
        <v>5.8998600000000003</v>
      </c>
      <c r="M33" s="51">
        <v>0.63849999999999996</v>
      </c>
      <c r="N33" s="51">
        <v>0.63239999999999996</v>
      </c>
      <c r="O33" s="51">
        <v>0.621</v>
      </c>
    </row>
    <row r="34" spans="3:21" ht="15" x14ac:dyDescent="0.3">
      <c r="C34" s="69">
        <v>7.2</v>
      </c>
      <c r="D34" s="73">
        <v>154.9</v>
      </c>
      <c r="E34" s="70">
        <v>0</v>
      </c>
      <c r="F34" s="89"/>
      <c r="G34" s="89"/>
      <c r="H34" s="89"/>
      <c r="I34" s="89"/>
      <c r="J34" s="89"/>
      <c r="L34" s="78" t="s">
        <v>226</v>
      </c>
    </row>
    <row r="35" spans="3:21" ht="15" thickBot="1" x14ac:dyDescent="0.35">
      <c r="C35" s="69">
        <v>6.3</v>
      </c>
      <c r="D35" s="72">
        <v>155</v>
      </c>
      <c r="E35" s="70">
        <v>0</v>
      </c>
      <c r="F35" s="89"/>
      <c r="G35" s="89"/>
      <c r="H35" s="89"/>
      <c r="I35" s="89"/>
      <c r="J35" s="89"/>
      <c r="L35" s="79" t="s">
        <v>227</v>
      </c>
      <c r="M35" s="80" t="s">
        <v>228</v>
      </c>
      <c r="N35" s="80" t="s">
        <v>229</v>
      </c>
      <c r="O35" s="80" t="s">
        <v>230</v>
      </c>
      <c r="P35" s="80" t="s">
        <v>231</v>
      </c>
      <c r="Q35" s="80" t="s">
        <v>218</v>
      </c>
    </row>
    <row r="36" spans="3:21" x14ac:dyDescent="0.3">
      <c r="C36" s="69">
        <v>6.55</v>
      </c>
      <c r="D36" s="73">
        <v>155</v>
      </c>
      <c r="E36" s="70">
        <v>0</v>
      </c>
      <c r="F36" s="89"/>
      <c r="G36" s="89"/>
      <c r="H36" s="89"/>
      <c r="I36" s="89"/>
      <c r="J36" s="89"/>
      <c r="L36" s="46" t="s">
        <v>154</v>
      </c>
      <c r="M36" s="49">
        <v>2</v>
      </c>
      <c r="N36" s="49">
        <v>7255.3</v>
      </c>
      <c r="O36" s="49">
        <v>3627.64</v>
      </c>
      <c r="P36" s="49">
        <v>104.22</v>
      </c>
      <c r="Q36" s="49">
        <v>0</v>
      </c>
    </row>
    <row r="37" spans="3:21" x14ac:dyDescent="0.3">
      <c r="C37" s="69">
        <v>7.25</v>
      </c>
      <c r="D37" s="72">
        <v>155</v>
      </c>
      <c r="E37" s="70">
        <v>0</v>
      </c>
      <c r="F37" s="89"/>
      <c r="G37" s="89"/>
      <c r="H37" s="89"/>
      <c r="I37" s="89"/>
      <c r="J37" s="89"/>
      <c r="L37" s="46" t="s">
        <v>424</v>
      </c>
      <c r="M37" s="49">
        <v>1</v>
      </c>
      <c r="N37" s="49">
        <v>801</v>
      </c>
      <c r="O37" s="49">
        <v>801.04</v>
      </c>
      <c r="P37" s="49">
        <v>23.01</v>
      </c>
      <c r="Q37" s="49">
        <v>0</v>
      </c>
    </row>
    <row r="38" spans="3:21" x14ac:dyDescent="0.3">
      <c r="C38" s="69">
        <v>6</v>
      </c>
      <c r="D38" s="73">
        <v>156.19999999999999</v>
      </c>
      <c r="E38" s="70">
        <v>0</v>
      </c>
      <c r="F38" s="90"/>
      <c r="G38" s="90"/>
      <c r="H38" s="90"/>
      <c r="I38" s="89"/>
      <c r="J38" s="89"/>
      <c r="L38" s="46" t="s">
        <v>425</v>
      </c>
      <c r="M38" s="49">
        <v>1</v>
      </c>
      <c r="N38" s="49">
        <v>3539.9</v>
      </c>
      <c r="O38" s="49">
        <v>3539.92</v>
      </c>
      <c r="P38" s="49">
        <v>101.7</v>
      </c>
      <c r="Q38" s="49">
        <v>0</v>
      </c>
    </row>
    <row r="39" spans="3:21" x14ac:dyDescent="0.3">
      <c r="C39" s="69">
        <v>4.8</v>
      </c>
      <c r="D39" s="72">
        <v>157.5</v>
      </c>
      <c r="E39" s="70">
        <v>0</v>
      </c>
      <c r="F39" s="38"/>
      <c r="G39" s="38"/>
      <c r="H39" s="38"/>
      <c r="I39" s="89"/>
      <c r="J39" s="89"/>
      <c r="L39" s="46" t="s">
        <v>234</v>
      </c>
      <c r="M39" s="49">
        <v>118</v>
      </c>
      <c r="N39" s="49">
        <v>4107.3999999999996</v>
      </c>
      <c r="O39" s="49">
        <v>34.81</v>
      </c>
      <c r="P39" s="50"/>
      <c r="Q39" s="50"/>
    </row>
    <row r="40" spans="3:21" x14ac:dyDescent="0.3">
      <c r="C40" s="69">
        <v>6.6</v>
      </c>
      <c r="D40" s="73">
        <v>157.5</v>
      </c>
      <c r="E40" s="70">
        <v>0</v>
      </c>
      <c r="F40" s="38"/>
      <c r="G40" s="38"/>
      <c r="H40" s="38"/>
      <c r="I40" s="89"/>
      <c r="J40" s="89"/>
      <c r="L40" s="46" t="s">
        <v>235</v>
      </c>
      <c r="M40" s="49">
        <v>47</v>
      </c>
      <c r="N40" s="49">
        <v>1527.7</v>
      </c>
      <c r="O40" s="49">
        <v>32.5</v>
      </c>
      <c r="P40" s="49">
        <v>0.89</v>
      </c>
      <c r="Q40" s="49">
        <v>0.65400000000000003</v>
      </c>
      <c r="U40" s="67"/>
    </row>
    <row r="41" spans="3:21" x14ac:dyDescent="0.3">
      <c r="C41" s="69">
        <v>6.7</v>
      </c>
      <c r="D41" s="72">
        <v>157.5</v>
      </c>
      <c r="E41" s="70">
        <v>0</v>
      </c>
      <c r="F41" s="38"/>
      <c r="G41" s="38"/>
      <c r="H41" s="38"/>
      <c r="I41" s="89"/>
      <c r="J41" s="89"/>
      <c r="L41" s="46" t="s">
        <v>236</v>
      </c>
      <c r="M41" s="49">
        <v>71</v>
      </c>
      <c r="N41" s="49">
        <v>2579.6999999999998</v>
      </c>
      <c r="O41" s="49">
        <v>36.33</v>
      </c>
      <c r="P41" s="50"/>
      <c r="Q41" s="50"/>
      <c r="U41" s="67"/>
    </row>
    <row r="42" spans="3:21" x14ac:dyDescent="0.3">
      <c r="C42" s="69">
        <v>6.7</v>
      </c>
      <c r="D42" s="73">
        <v>157.5</v>
      </c>
      <c r="E42" s="70">
        <v>0</v>
      </c>
      <c r="F42" s="89"/>
      <c r="G42" s="89"/>
      <c r="H42" s="89"/>
      <c r="I42" s="89"/>
      <c r="J42" s="89"/>
      <c r="L42" s="46" t="s">
        <v>156</v>
      </c>
      <c r="M42" s="49">
        <v>120</v>
      </c>
      <c r="N42" s="49">
        <v>11362.7</v>
      </c>
      <c r="O42" s="50"/>
      <c r="P42" s="50"/>
      <c r="Q42" s="50"/>
      <c r="U42" s="67"/>
    </row>
    <row r="43" spans="3:21" ht="15" x14ac:dyDescent="0.3">
      <c r="C43" s="69">
        <v>6.4</v>
      </c>
      <c r="D43" s="72">
        <v>160</v>
      </c>
      <c r="E43" s="70">
        <v>0</v>
      </c>
      <c r="F43" s="90"/>
      <c r="G43" s="90"/>
      <c r="H43" s="90"/>
      <c r="I43" s="90"/>
      <c r="J43" s="90"/>
      <c r="L43" s="78" t="s">
        <v>237</v>
      </c>
      <c r="U43" s="67"/>
    </row>
    <row r="44" spans="3:21" ht="15" thickBot="1" x14ac:dyDescent="0.35">
      <c r="C44" s="69">
        <v>6.4</v>
      </c>
      <c r="D44" s="73">
        <v>160</v>
      </c>
      <c r="E44" s="70">
        <v>0</v>
      </c>
      <c r="F44" s="38"/>
      <c r="G44" s="38"/>
      <c r="H44" s="38"/>
      <c r="I44" s="38"/>
      <c r="J44" s="38"/>
      <c r="L44" s="80" t="s">
        <v>238</v>
      </c>
      <c r="M44" s="80" t="s">
        <v>416</v>
      </c>
      <c r="N44" s="80" t="s">
        <v>239</v>
      </c>
      <c r="O44" s="80" t="s">
        <v>240</v>
      </c>
      <c r="P44" s="80" t="s">
        <v>241</v>
      </c>
      <c r="Q44" s="79"/>
      <c r="U44" s="67"/>
    </row>
    <row r="45" spans="3:21" x14ac:dyDescent="0.3">
      <c r="C45" s="69">
        <v>6.5</v>
      </c>
      <c r="D45" s="72">
        <v>160</v>
      </c>
      <c r="E45" s="70">
        <v>0</v>
      </c>
      <c r="F45" s="38"/>
      <c r="G45" s="38"/>
      <c r="H45" s="38"/>
      <c r="I45" s="38"/>
      <c r="J45" s="38"/>
      <c r="L45" s="49">
        <v>11</v>
      </c>
      <c r="M45" s="49">
        <v>157.5</v>
      </c>
      <c r="N45" s="49">
        <v>155.86000000000001</v>
      </c>
      <c r="O45" s="49">
        <v>1.64</v>
      </c>
      <c r="P45" s="49">
        <v>0.28999999999999998</v>
      </c>
      <c r="Q45" s="50"/>
      <c r="U45" s="67"/>
    </row>
    <row r="46" spans="3:21" ht="15" thickBot="1" x14ac:dyDescent="0.35">
      <c r="C46" s="69">
        <v>7.1</v>
      </c>
      <c r="D46" s="73">
        <v>161.30000000000001</v>
      </c>
      <c r="E46" s="70">
        <v>0</v>
      </c>
      <c r="F46" s="89"/>
      <c r="G46" s="89"/>
      <c r="H46" s="89"/>
      <c r="I46" s="89"/>
      <c r="J46" s="89"/>
      <c r="L46" s="49">
        <v>31</v>
      </c>
      <c r="M46" s="49">
        <v>165.1</v>
      </c>
      <c r="N46" s="49">
        <v>156.61000000000001</v>
      </c>
      <c r="O46" s="49">
        <v>8.49</v>
      </c>
      <c r="P46" s="49">
        <v>1.5</v>
      </c>
      <c r="Q46" s="50"/>
      <c r="R46" s="79"/>
      <c r="U46" s="67"/>
    </row>
    <row r="47" spans="3:21" x14ac:dyDescent="0.3">
      <c r="C47" s="69">
        <v>6</v>
      </c>
      <c r="D47" s="72">
        <v>162.6</v>
      </c>
      <c r="E47" s="70">
        <v>0</v>
      </c>
      <c r="F47" s="89"/>
      <c r="G47" s="89"/>
      <c r="H47" s="89"/>
      <c r="I47" s="89"/>
      <c r="J47" s="89"/>
      <c r="L47" s="49">
        <v>37</v>
      </c>
      <c r="M47" s="49">
        <v>165.1</v>
      </c>
      <c r="N47" s="49">
        <v>180.1</v>
      </c>
      <c r="O47" s="49">
        <v>-15</v>
      </c>
      <c r="P47" s="49">
        <v>-2.57</v>
      </c>
      <c r="Q47" s="46" t="s">
        <v>242</v>
      </c>
      <c r="R47" s="46" t="s">
        <v>390</v>
      </c>
      <c r="U47" s="67"/>
    </row>
    <row r="48" spans="3:21" x14ac:dyDescent="0.3">
      <c r="C48" s="69">
        <v>6.1</v>
      </c>
      <c r="D48" s="73">
        <v>162.6</v>
      </c>
      <c r="E48" s="70">
        <v>0</v>
      </c>
      <c r="F48" s="89"/>
      <c r="G48" s="89"/>
      <c r="H48" s="89"/>
      <c r="I48" s="89"/>
      <c r="J48" s="89"/>
      <c r="L48" s="49">
        <v>63</v>
      </c>
      <c r="M48" s="49">
        <v>172.7</v>
      </c>
      <c r="N48" s="49">
        <v>171.72</v>
      </c>
      <c r="O48" s="49">
        <v>0.98</v>
      </c>
      <c r="P48" s="49">
        <v>0.17</v>
      </c>
      <c r="Q48" s="50"/>
      <c r="R48" s="46" t="s">
        <v>390</v>
      </c>
      <c r="U48" s="67"/>
    </row>
    <row r="49" spans="3:20" x14ac:dyDescent="0.3">
      <c r="C49" s="69">
        <v>6.5</v>
      </c>
      <c r="D49" s="72">
        <v>162.6</v>
      </c>
      <c r="E49" s="70">
        <v>0</v>
      </c>
      <c r="F49" s="89"/>
      <c r="G49" s="89"/>
      <c r="H49" s="89"/>
      <c r="I49" s="89"/>
      <c r="J49" s="89"/>
      <c r="L49" s="49">
        <v>67</v>
      </c>
      <c r="M49" s="49">
        <v>175.3</v>
      </c>
      <c r="N49" s="49">
        <v>162.66</v>
      </c>
      <c r="O49" s="49">
        <v>12.64</v>
      </c>
      <c r="P49" s="49">
        <v>2.17</v>
      </c>
      <c r="Q49" s="46" t="s">
        <v>242</v>
      </c>
      <c r="R49" s="50"/>
    </row>
    <row r="50" spans="3:20" x14ac:dyDescent="0.3">
      <c r="C50" s="69">
        <v>6.8</v>
      </c>
      <c r="D50" s="73">
        <v>162.6</v>
      </c>
      <c r="E50" s="70">
        <v>0</v>
      </c>
      <c r="L50" s="49">
        <v>88</v>
      </c>
      <c r="M50" s="49">
        <v>179.1</v>
      </c>
      <c r="N50" s="49">
        <v>166.06</v>
      </c>
      <c r="O50" s="49">
        <v>13.04</v>
      </c>
      <c r="P50" s="49">
        <v>2.2400000000000002</v>
      </c>
      <c r="Q50" s="46" t="s">
        <v>242</v>
      </c>
      <c r="R50" s="46" t="s">
        <v>390</v>
      </c>
    </row>
    <row r="51" spans="3:20" x14ac:dyDescent="0.3">
      <c r="C51" s="69">
        <v>7</v>
      </c>
      <c r="D51" s="72">
        <v>162.6</v>
      </c>
      <c r="E51" s="70">
        <v>0</v>
      </c>
      <c r="L51" s="49">
        <v>92</v>
      </c>
      <c r="M51" s="49">
        <v>180.3</v>
      </c>
      <c r="N51" s="49">
        <v>171.41</v>
      </c>
      <c r="O51" s="49">
        <v>8.89</v>
      </c>
      <c r="P51" s="49">
        <v>1.57</v>
      </c>
      <c r="Q51" s="50"/>
      <c r="R51" s="50"/>
    </row>
    <row r="52" spans="3:20" x14ac:dyDescent="0.3">
      <c r="C52" s="69">
        <v>7</v>
      </c>
      <c r="D52" s="73">
        <v>162.6</v>
      </c>
      <c r="E52" s="70">
        <v>0</v>
      </c>
      <c r="L52" s="49">
        <v>93</v>
      </c>
      <c r="M52" s="49">
        <v>180.3</v>
      </c>
      <c r="N52" s="49">
        <v>164.54</v>
      </c>
      <c r="O52" s="49">
        <v>15.76</v>
      </c>
      <c r="P52" s="49">
        <v>2.7</v>
      </c>
      <c r="Q52" s="46" t="s">
        <v>242</v>
      </c>
      <c r="R52" s="50"/>
    </row>
    <row r="53" spans="3:20" x14ac:dyDescent="0.3">
      <c r="C53" s="69">
        <v>7.4</v>
      </c>
      <c r="D53" s="72">
        <v>162.6</v>
      </c>
      <c r="E53" s="70">
        <v>0</v>
      </c>
      <c r="L53" s="49">
        <v>119</v>
      </c>
      <c r="M53" s="49">
        <v>190.5</v>
      </c>
      <c r="N53" s="49">
        <v>178.21</v>
      </c>
      <c r="O53" s="49">
        <v>12.29</v>
      </c>
      <c r="P53" s="49">
        <v>2.1</v>
      </c>
      <c r="Q53" s="46" t="s">
        <v>242</v>
      </c>
      <c r="R53" s="46" t="s">
        <v>390</v>
      </c>
    </row>
    <row r="54" spans="3:20" x14ac:dyDescent="0.3">
      <c r="C54" s="69">
        <v>7.5</v>
      </c>
      <c r="D54" s="73">
        <v>162.6</v>
      </c>
      <c r="E54" s="70">
        <v>0</v>
      </c>
      <c r="R54" s="50"/>
    </row>
    <row r="55" spans="3:20" x14ac:dyDescent="0.3">
      <c r="C55" s="69">
        <v>6.6</v>
      </c>
      <c r="D55" s="72">
        <v>163</v>
      </c>
      <c r="E55" s="70">
        <v>0</v>
      </c>
      <c r="L55" s="67" t="s">
        <v>176</v>
      </c>
      <c r="M55" s="67" t="s">
        <v>177</v>
      </c>
      <c r="N55" s="67" t="s">
        <v>178</v>
      </c>
      <c r="O55" s="67" t="s">
        <v>438</v>
      </c>
      <c r="P55" s="67"/>
      <c r="Q55" s="67"/>
      <c r="R55" s="67"/>
      <c r="T55" s="67"/>
    </row>
    <row r="56" spans="3:20" x14ac:dyDescent="0.3">
      <c r="C56" s="69">
        <v>6.7</v>
      </c>
      <c r="D56" s="73">
        <v>163.5</v>
      </c>
      <c r="E56" s="70">
        <v>0</v>
      </c>
      <c r="L56" s="67" t="s">
        <v>179</v>
      </c>
      <c r="M56" s="67" t="s">
        <v>180</v>
      </c>
      <c r="N56" s="67" t="s">
        <v>181</v>
      </c>
      <c r="O56" s="67" t="s">
        <v>439</v>
      </c>
      <c r="P56" s="67"/>
      <c r="Q56" s="67"/>
      <c r="R56" s="67"/>
      <c r="T56" s="67"/>
    </row>
    <row r="57" spans="3:20" x14ac:dyDescent="0.3">
      <c r="C57" s="69">
        <v>6.4</v>
      </c>
      <c r="D57" s="72">
        <v>163.80000000000001</v>
      </c>
      <c r="E57" s="70">
        <v>0</v>
      </c>
      <c r="L57" s="67" t="s">
        <v>182</v>
      </c>
      <c r="M57" s="67"/>
      <c r="N57" s="67"/>
      <c r="O57" s="67"/>
      <c r="P57" s="67"/>
      <c r="Q57" s="67"/>
      <c r="R57" s="67"/>
      <c r="T57" s="67" t="s">
        <v>183</v>
      </c>
    </row>
    <row r="58" spans="3:20" x14ac:dyDescent="0.3">
      <c r="C58" s="69">
        <v>7.15</v>
      </c>
      <c r="D58" s="73">
        <v>165</v>
      </c>
      <c r="E58" s="70">
        <v>0</v>
      </c>
      <c r="L58" s="67"/>
      <c r="M58" s="67"/>
      <c r="N58" s="67"/>
      <c r="O58" s="67"/>
      <c r="P58" s="67"/>
      <c r="Q58" s="67"/>
      <c r="R58" s="67"/>
      <c r="S58" s="67"/>
      <c r="T58" s="67" t="s">
        <v>184</v>
      </c>
    </row>
    <row r="59" spans="3:20" x14ac:dyDescent="0.3">
      <c r="C59" s="69">
        <v>5</v>
      </c>
      <c r="D59" s="72">
        <v>165.1</v>
      </c>
      <c r="E59" s="70">
        <v>0</v>
      </c>
      <c r="L59" s="103" t="s">
        <v>185</v>
      </c>
      <c r="M59" s="103">
        <f>M28/N28</f>
        <v>4.8005082592121981</v>
      </c>
      <c r="N59" s="67"/>
      <c r="O59" s="67"/>
      <c r="P59" s="67"/>
      <c r="Q59" s="67"/>
      <c r="R59" s="67"/>
      <c r="S59" s="67"/>
      <c r="T59" s="67" t="s">
        <v>186</v>
      </c>
    </row>
    <row r="60" spans="3:20" x14ac:dyDescent="0.3">
      <c r="C60" s="69">
        <v>6.4</v>
      </c>
      <c r="D60" s="73">
        <v>165.1</v>
      </c>
      <c r="E60" s="70">
        <v>0</v>
      </c>
      <c r="L60" s="103" t="s">
        <v>187</v>
      </c>
      <c r="M60" s="103">
        <f>P28</f>
        <v>0</v>
      </c>
      <c r="N60" s="67"/>
      <c r="O60" s="67"/>
      <c r="P60" s="67"/>
      <c r="Q60" s="67"/>
      <c r="R60" s="67"/>
      <c r="S60" s="67"/>
      <c r="T60" s="67" t="s">
        <v>188</v>
      </c>
    </row>
    <row r="61" spans="3:20" x14ac:dyDescent="0.3">
      <c r="C61" s="69">
        <v>6.6</v>
      </c>
      <c r="D61" s="72">
        <v>165.1</v>
      </c>
      <c r="E61" s="70">
        <v>0</v>
      </c>
      <c r="L61" s="43" t="s">
        <v>193</v>
      </c>
      <c r="M61" s="43"/>
      <c r="N61" s="43"/>
      <c r="O61" s="43"/>
      <c r="P61" s="43"/>
      <c r="Q61" s="43"/>
      <c r="R61" s="43"/>
      <c r="S61" s="43"/>
      <c r="T61" s="67" t="s">
        <v>190</v>
      </c>
    </row>
    <row r="62" spans="3:20" x14ac:dyDescent="0.3">
      <c r="C62" s="69">
        <v>6.8</v>
      </c>
      <c r="D62" s="73">
        <v>165.1</v>
      </c>
      <c r="E62" s="70">
        <v>0</v>
      </c>
      <c r="L62" s="43" t="s">
        <v>426</v>
      </c>
      <c r="M62" s="43"/>
      <c r="N62" s="43"/>
      <c r="O62" s="43"/>
      <c r="P62" s="43"/>
      <c r="Q62" s="43"/>
      <c r="R62" s="43"/>
      <c r="S62" s="43"/>
      <c r="T62" s="67"/>
    </row>
    <row r="63" spans="3:20" x14ac:dyDescent="0.3">
      <c r="C63" s="69">
        <v>7.1</v>
      </c>
      <c r="D63" s="72">
        <v>165.1</v>
      </c>
      <c r="E63" s="70">
        <v>0</v>
      </c>
      <c r="L63" s="43" t="s">
        <v>427</v>
      </c>
      <c r="M63" s="43"/>
      <c r="N63" s="43"/>
      <c r="O63" s="43"/>
      <c r="P63" s="43"/>
      <c r="Q63" s="43"/>
      <c r="R63" s="43"/>
      <c r="S63" s="43"/>
      <c r="T63" s="67"/>
    </row>
    <row r="64" spans="3:20" x14ac:dyDescent="0.3">
      <c r="C64" s="69">
        <v>7.5</v>
      </c>
      <c r="D64" s="73">
        <v>165.1</v>
      </c>
      <c r="E64" s="70">
        <v>0</v>
      </c>
    </row>
    <row r="65" spans="3:22" ht="18" x14ac:dyDescent="0.35">
      <c r="C65" s="69">
        <v>8</v>
      </c>
      <c r="D65" s="72">
        <v>165.1</v>
      </c>
      <c r="E65" s="70">
        <v>1</v>
      </c>
      <c r="K65" t="s">
        <v>199</v>
      </c>
      <c r="L65" s="124" t="s">
        <v>435</v>
      </c>
      <c r="M65" s="124"/>
      <c r="N65" s="124"/>
      <c r="O65" s="124"/>
    </row>
    <row r="66" spans="3:22" x14ac:dyDescent="0.3">
      <c r="C66" s="69">
        <v>8.3000000000000007</v>
      </c>
      <c r="D66" s="73">
        <v>165.1</v>
      </c>
      <c r="E66" s="70">
        <v>0</v>
      </c>
    </row>
    <row r="67" spans="3:22" ht="18" x14ac:dyDescent="0.3">
      <c r="C67" s="69">
        <v>6.85</v>
      </c>
      <c r="D67" s="72">
        <v>166</v>
      </c>
      <c r="E67" s="70">
        <v>0</v>
      </c>
      <c r="L67" s="44" t="s">
        <v>428</v>
      </c>
    </row>
    <row r="68" spans="3:22" ht="15" x14ac:dyDescent="0.3">
      <c r="C68" s="69">
        <v>7</v>
      </c>
      <c r="D68" s="73">
        <v>166.4</v>
      </c>
      <c r="E68" s="70">
        <v>0</v>
      </c>
      <c r="L68" s="78" t="s">
        <v>211</v>
      </c>
    </row>
    <row r="69" spans="3:22" x14ac:dyDescent="0.3">
      <c r="C69" s="69">
        <v>7</v>
      </c>
      <c r="D69" s="72">
        <v>166.4</v>
      </c>
      <c r="E69" s="70">
        <v>1</v>
      </c>
      <c r="L69" s="46" t="s">
        <v>416</v>
      </c>
      <c r="M69" s="46" t="s">
        <v>429</v>
      </c>
    </row>
    <row r="70" spans="3:22" ht="15" x14ac:dyDescent="0.3">
      <c r="C70" s="69">
        <v>7.4</v>
      </c>
      <c r="D70" s="73">
        <v>166.4</v>
      </c>
      <c r="E70" s="70">
        <v>0</v>
      </c>
      <c r="L70" s="78" t="s">
        <v>407</v>
      </c>
    </row>
    <row r="71" spans="3:22" ht="15" thickBot="1" x14ac:dyDescent="0.35">
      <c r="C71" s="69">
        <v>6.4</v>
      </c>
      <c r="D71" s="72">
        <v>167.6</v>
      </c>
      <c r="E71" s="70">
        <v>1</v>
      </c>
      <c r="L71" s="79" t="s">
        <v>408</v>
      </c>
      <c r="M71" s="80" t="s">
        <v>409</v>
      </c>
    </row>
    <row r="72" spans="3:22" x14ac:dyDescent="0.3">
      <c r="C72" s="69">
        <v>6.5</v>
      </c>
      <c r="D72" s="73">
        <v>167.6</v>
      </c>
      <c r="E72" s="70">
        <v>0</v>
      </c>
      <c r="L72" s="46" t="s">
        <v>50</v>
      </c>
      <c r="M72" s="49">
        <v>6.5</v>
      </c>
    </row>
    <row r="73" spans="3:22" x14ac:dyDescent="0.3">
      <c r="C73" s="69">
        <v>7.3</v>
      </c>
      <c r="D73" s="72">
        <v>167.6</v>
      </c>
      <c r="E73" s="70">
        <v>0</v>
      </c>
      <c r="L73" s="46" t="s">
        <v>51</v>
      </c>
      <c r="M73" s="49">
        <v>1</v>
      </c>
    </row>
    <row r="74" spans="3:22" ht="15" x14ac:dyDescent="0.3">
      <c r="C74" s="69">
        <v>7.5</v>
      </c>
      <c r="D74" s="73">
        <v>167.6</v>
      </c>
      <c r="E74" s="70">
        <v>0</v>
      </c>
      <c r="L74" s="78" t="s">
        <v>410</v>
      </c>
    </row>
    <row r="75" spans="3:22" ht="15" thickBot="1" x14ac:dyDescent="0.35">
      <c r="C75" s="69">
        <v>7.6</v>
      </c>
      <c r="D75" s="72">
        <v>167.6</v>
      </c>
      <c r="E75" s="70">
        <v>0</v>
      </c>
      <c r="L75" s="80" t="s">
        <v>239</v>
      </c>
      <c r="M75" s="80" t="s">
        <v>411</v>
      </c>
      <c r="N75" s="129" t="s">
        <v>349</v>
      </c>
      <c r="O75" s="129" t="s">
        <v>412</v>
      </c>
    </row>
    <row r="76" spans="3:22" x14ac:dyDescent="0.3">
      <c r="C76" s="69">
        <v>8.5</v>
      </c>
      <c r="D76" s="73">
        <v>167.6</v>
      </c>
      <c r="E76" s="70">
        <v>0</v>
      </c>
      <c r="L76" s="49">
        <v>174.43700000000001</v>
      </c>
      <c r="M76" s="49">
        <v>1.0899000000000001</v>
      </c>
      <c r="N76" s="130" t="s">
        <v>430</v>
      </c>
      <c r="O76" s="130" t="s">
        <v>431</v>
      </c>
    </row>
    <row r="77" spans="3:22" x14ac:dyDescent="0.3">
      <c r="C77" s="69">
        <v>6.5</v>
      </c>
      <c r="D77" s="72">
        <v>168.4</v>
      </c>
      <c r="E77" s="70">
        <v>1</v>
      </c>
      <c r="L77" s="155" t="s">
        <v>436</v>
      </c>
      <c r="M77" s="155"/>
      <c r="N77" s="155"/>
      <c r="O77" s="155"/>
      <c r="P77" s="155"/>
      <c r="Q77" s="155"/>
      <c r="R77" s="155"/>
      <c r="S77" s="155"/>
      <c r="T77" s="84"/>
      <c r="U77" s="84"/>
      <c r="V77" s="84"/>
    </row>
    <row r="78" spans="3:22" x14ac:dyDescent="0.3">
      <c r="C78" s="69">
        <v>6.8</v>
      </c>
      <c r="D78" s="73">
        <v>168.9</v>
      </c>
      <c r="E78" s="70">
        <v>1</v>
      </c>
      <c r="L78" s="155"/>
      <c r="M78" s="155"/>
      <c r="N78" s="155"/>
      <c r="O78" s="155"/>
      <c r="P78" s="155"/>
      <c r="Q78" s="155"/>
      <c r="R78" s="155"/>
      <c r="S78" s="155"/>
    </row>
    <row r="79" spans="3:22" ht="18" x14ac:dyDescent="0.35">
      <c r="C79" s="69">
        <v>7.9</v>
      </c>
      <c r="D79" s="72">
        <v>170</v>
      </c>
      <c r="E79" s="70">
        <v>1</v>
      </c>
      <c r="L79" s="128" t="s">
        <v>432</v>
      </c>
      <c r="M79" s="128"/>
      <c r="N79" s="128"/>
    </row>
    <row r="80" spans="3:22" ht="18" x14ac:dyDescent="0.3">
      <c r="C80" s="69">
        <v>5.8</v>
      </c>
      <c r="D80" s="73">
        <v>170.2</v>
      </c>
      <c r="E80" s="70">
        <v>1</v>
      </c>
      <c r="L80" s="44" t="s">
        <v>428</v>
      </c>
    </row>
    <row r="81" spans="3:19" ht="15" x14ac:dyDescent="0.3">
      <c r="C81" s="69">
        <v>7.1</v>
      </c>
      <c r="D81" s="72">
        <v>170.2</v>
      </c>
      <c r="E81" s="70">
        <v>1</v>
      </c>
      <c r="L81" s="78" t="s">
        <v>211</v>
      </c>
    </row>
    <row r="82" spans="3:19" x14ac:dyDescent="0.3">
      <c r="C82" s="69">
        <v>7.5</v>
      </c>
      <c r="D82" s="73">
        <v>170.2</v>
      </c>
      <c r="E82" s="70">
        <v>1</v>
      </c>
      <c r="L82" s="46" t="s">
        <v>416</v>
      </c>
      <c r="M82" s="46" t="s">
        <v>212</v>
      </c>
      <c r="N82" s="46" t="s">
        <v>429</v>
      </c>
    </row>
    <row r="83" spans="3:19" ht="15" x14ac:dyDescent="0.3">
      <c r="C83" s="69">
        <v>7.5</v>
      </c>
      <c r="D83" s="72">
        <v>170.2</v>
      </c>
      <c r="E83" s="70">
        <v>1</v>
      </c>
      <c r="L83" s="78" t="s">
        <v>407</v>
      </c>
    </row>
    <row r="84" spans="3:19" ht="15" thickBot="1" x14ac:dyDescent="0.35">
      <c r="C84" s="69">
        <v>7.8</v>
      </c>
      <c r="D84" s="73">
        <v>170.3</v>
      </c>
      <c r="E84" s="70">
        <v>0</v>
      </c>
      <c r="L84" s="79" t="s">
        <v>408</v>
      </c>
      <c r="M84" s="80" t="s">
        <v>409</v>
      </c>
    </row>
    <row r="85" spans="3:19" x14ac:dyDescent="0.3">
      <c r="C85" s="69">
        <v>7.5</v>
      </c>
      <c r="D85" s="72">
        <v>171.5</v>
      </c>
      <c r="E85" s="70">
        <v>1</v>
      </c>
      <c r="L85" s="46" t="s">
        <v>50</v>
      </c>
      <c r="M85" s="49">
        <v>6.5</v>
      </c>
    </row>
    <row r="86" spans="3:19" x14ac:dyDescent="0.3">
      <c r="C86" s="69">
        <v>7.6</v>
      </c>
      <c r="D86" s="73">
        <v>172.1</v>
      </c>
      <c r="E86" s="70">
        <v>1</v>
      </c>
      <c r="L86" s="46" t="s">
        <v>51</v>
      </c>
      <c r="M86" s="49">
        <v>0</v>
      </c>
    </row>
    <row r="87" spans="3:19" ht="15" x14ac:dyDescent="0.3">
      <c r="C87" s="69">
        <v>7.3</v>
      </c>
      <c r="D87" s="72">
        <v>172.7</v>
      </c>
      <c r="E87" s="70">
        <v>0</v>
      </c>
      <c r="L87" s="78" t="s">
        <v>410</v>
      </c>
    </row>
    <row r="88" spans="3:19" ht="15" thickBot="1" x14ac:dyDescent="0.35">
      <c r="C88" s="69">
        <v>7.5</v>
      </c>
      <c r="D88" s="73">
        <v>172.7</v>
      </c>
      <c r="E88" s="70">
        <v>1</v>
      </c>
      <c r="L88" s="80" t="s">
        <v>239</v>
      </c>
      <c r="M88" s="80" t="s">
        <v>411</v>
      </c>
      <c r="N88" s="129" t="s">
        <v>349</v>
      </c>
      <c r="O88" s="129" t="s">
        <v>412</v>
      </c>
    </row>
    <row r="89" spans="3:19" x14ac:dyDescent="0.3">
      <c r="C89" s="69">
        <v>7.9</v>
      </c>
      <c r="D89" s="72">
        <v>172.7</v>
      </c>
      <c r="E89" s="70">
        <v>1</v>
      </c>
      <c r="L89" s="49">
        <v>162.27799999999999</v>
      </c>
      <c r="M89" s="49">
        <v>0.86014000000000002</v>
      </c>
      <c r="N89" s="130" t="s">
        <v>433</v>
      </c>
      <c r="O89" s="130" t="s">
        <v>434</v>
      </c>
    </row>
    <row r="90" spans="3:19" ht="14.4" customHeight="1" x14ac:dyDescent="0.3">
      <c r="C90" s="69">
        <v>8.1999999999999993</v>
      </c>
      <c r="D90" s="73">
        <v>172.7</v>
      </c>
      <c r="E90" s="70">
        <v>1</v>
      </c>
    </row>
    <row r="91" spans="3:19" x14ac:dyDescent="0.3">
      <c r="C91" s="69">
        <v>9</v>
      </c>
      <c r="D91" s="72">
        <v>172.7</v>
      </c>
      <c r="E91" s="70">
        <v>0</v>
      </c>
      <c r="L91" s="156" t="s">
        <v>437</v>
      </c>
      <c r="M91" s="156"/>
      <c r="N91" s="156"/>
      <c r="O91" s="156"/>
      <c r="P91" s="156"/>
      <c r="Q91" s="156"/>
      <c r="R91" s="156"/>
      <c r="S91" s="156"/>
    </row>
    <row r="92" spans="3:19" x14ac:dyDescent="0.3">
      <c r="C92" s="69">
        <v>7.2</v>
      </c>
      <c r="D92" s="73">
        <v>173</v>
      </c>
      <c r="E92" s="70">
        <v>1</v>
      </c>
      <c r="L92" s="156"/>
      <c r="M92" s="156"/>
      <c r="N92" s="156"/>
      <c r="O92" s="156"/>
      <c r="P92" s="156"/>
      <c r="Q92" s="156"/>
      <c r="R92" s="156"/>
      <c r="S92" s="156"/>
    </row>
    <row r="93" spans="3:19" x14ac:dyDescent="0.3">
      <c r="C93" s="69">
        <v>7.7</v>
      </c>
      <c r="D93" s="72">
        <v>174.5</v>
      </c>
      <c r="E93" s="70">
        <v>1</v>
      </c>
    </row>
    <row r="94" spans="3:19" ht="14.4" customHeight="1" x14ac:dyDescent="0.3">
      <c r="C94" s="69">
        <v>7.4</v>
      </c>
      <c r="D94" s="73">
        <v>174.6</v>
      </c>
      <c r="E94" s="70">
        <v>1</v>
      </c>
      <c r="L94" s="157" t="s">
        <v>624</v>
      </c>
      <c r="M94" s="157"/>
      <c r="N94" s="157"/>
      <c r="O94" s="157"/>
      <c r="P94" s="157"/>
      <c r="Q94" s="157"/>
      <c r="R94" s="157"/>
      <c r="S94" s="157"/>
    </row>
    <row r="95" spans="3:19" x14ac:dyDescent="0.3">
      <c r="C95" s="69">
        <v>6.6</v>
      </c>
      <c r="D95" s="72">
        <v>175.3</v>
      </c>
      <c r="E95" s="70">
        <v>0</v>
      </c>
      <c r="L95" s="157"/>
      <c r="M95" s="157"/>
      <c r="N95" s="157"/>
      <c r="O95" s="157"/>
      <c r="P95" s="157"/>
      <c r="Q95" s="157"/>
      <c r="R95" s="157"/>
      <c r="S95" s="157"/>
    </row>
    <row r="96" spans="3:19" x14ac:dyDescent="0.3">
      <c r="C96" s="69">
        <v>7</v>
      </c>
      <c r="D96" s="73">
        <v>175.3</v>
      </c>
      <c r="E96" s="70">
        <v>1</v>
      </c>
      <c r="L96" s="157"/>
      <c r="M96" s="157"/>
      <c r="N96" s="157"/>
      <c r="O96" s="157"/>
      <c r="P96" s="157"/>
      <c r="Q96" s="157"/>
      <c r="R96" s="157"/>
      <c r="S96" s="157"/>
    </row>
    <row r="97" spans="3:19" x14ac:dyDescent="0.3">
      <c r="C97" s="69">
        <v>7</v>
      </c>
      <c r="D97" s="72">
        <v>175.3</v>
      </c>
      <c r="E97" s="70">
        <v>1</v>
      </c>
      <c r="L97" s="157"/>
      <c r="M97" s="157"/>
      <c r="N97" s="157"/>
      <c r="O97" s="157"/>
      <c r="P97" s="157"/>
      <c r="Q97" s="157"/>
      <c r="R97" s="157"/>
      <c r="S97" s="157"/>
    </row>
    <row r="98" spans="3:19" x14ac:dyDescent="0.3">
      <c r="C98" s="69">
        <v>7.1</v>
      </c>
      <c r="D98" s="73">
        <v>175.3</v>
      </c>
      <c r="E98" s="70">
        <v>0</v>
      </c>
      <c r="L98" s="157"/>
      <c r="M98" s="157"/>
      <c r="N98" s="157"/>
      <c r="O98" s="157"/>
      <c r="P98" s="157"/>
      <c r="Q98" s="157"/>
      <c r="R98" s="157"/>
      <c r="S98" s="157"/>
    </row>
    <row r="99" spans="3:19" x14ac:dyDescent="0.3">
      <c r="C99" s="69">
        <v>7.2</v>
      </c>
      <c r="D99" s="72">
        <v>175.3</v>
      </c>
      <c r="E99" s="70">
        <v>1</v>
      </c>
      <c r="L99" s="157"/>
      <c r="M99" s="157"/>
      <c r="N99" s="157"/>
      <c r="O99" s="157"/>
      <c r="P99" s="157"/>
      <c r="Q99" s="157"/>
      <c r="R99" s="157"/>
      <c r="S99" s="157"/>
    </row>
    <row r="100" spans="3:19" x14ac:dyDescent="0.3">
      <c r="C100" s="69">
        <v>7.5</v>
      </c>
      <c r="D100" s="73">
        <v>175.3</v>
      </c>
      <c r="E100" s="70">
        <v>1</v>
      </c>
    </row>
    <row r="101" spans="3:19" x14ac:dyDescent="0.3">
      <c r="C101" s="69">
        <v>7.5</v>
      </c>
      <c r="D101" s="72">
        <v>175.3</v>
      </c>
      <c r="E101" s="70">
        <v>1</v>
      </c>
    </row>
    <row r="102" spans="3:19" x14ac:dyDescent="0.3">
      <c r="C102" s="69">
        <v>7.6</v>
      </c>
      <c r="D102" s="73">
        <v>175.3</v>
      </c>
      <c r="E102" s="70">
        <v>1</v>
      </c>
    </row>
    <row r="103" spans="3:19" x14ac:dyDescent="0.3">
      <c r="C103" s="69">
        <v>8</v>
      </c>
      <c r="D103" s="72">
        <v>175.3</v>
      </c>
      <c r="E103" s="70">
        <v>1</v>
      </c>
    </row>
    <row r="104" spans="3:19" x14ac:dyDescent="0.3">
      <c r="C104" s="69">
        <v>8.1</v>
      </c>
      <c r="D104" s="73">
        <v>175.3</v>
      </c>
      <c r="E104" s="70">
        <v>1</v>
      </c>
    </row>
    <row r="105" spans="3:19" x14ac:dyDescent="0.3">
      <c r="C105" s="69">
        <v>7.6</v>
      </c>
      <c r="D105" s="72">
        <v>176.4</v>
      </c>
      <c r="E105" s="70">
        <v>1</v>
      </c>
    </row>
    <row r="106" spans="3:19" x14ac:dyDescent="0.3">
      <c r="C106" s="69">
        <v>6.4</v>
      </c>
      <c r="D106" s="73">
        <v>176.5</v>
      </c>
      <c r="E106" s="70">
        <v>1</v>
      </c>
    </row>
    <row r="107" spans="3:19" x14ac:dyDescent="0.3">
      <c r="C107" s="69">
        <v>7</v>
      </c>
      <c r="D107" s="72">
        <v>176.5</v>
      </c>
      <c r="E107" s="70">
        <v>1</v>
      </c>
    </row>
    <row r="108" spans="3:19" x14ac:dyDescent="0.3">
      <c r="C108" s="69">
        <v>7.1</v>
      </c>
      <c r="D108" s="73">
        <v>176.5</v>
      </c>
      <c r="E108" s="70">
        <v>1</v>
      </c>
    </row>
    <row r="109" spans="3:19" x14ac:dyDescent="0.3">
      <c r="C109" s="69">
        <v>6.8</v>
      </c>
      <c r="D109" s="72">
        <v>177.8</v>
      </c>
      <c r="E109" s="70">
        <v>1</v>
      </c>
    </row>
    <row r="110" spans="3:19" x14ac:dyDescent="0.3">
      <c r="C110" s="69">
        <v>7.4</v>
      </c>
      <c r="D110" s="73">
        <v>177.8</v>
      </c>
      <c r="E110" s="70">
        <v>1</v>
      </c>
    </row>
    <row r="111" spans="3:19" x14ac:dyDescent="0.3">
      <c r="C111" s="69">
        <v>7.8</v>
      </c>
      <c r="D111" s="72">
        <v>177.8</v>
      </c>
      <c r="E111" s="70">
        <v>0</v>
      </c>
    </row>
    <row r="112" spans="3:19" x14ac:dyDescent="0.3">
      <c r="C112" s="69">
        <v>8.1</v>
      </c>
      <c r="D112" s="73">
        <v>177.8</v>
      </c>
      <c r="E112" s="70">
        <v>1</v>
      </c>
    </row>
    <row r="113" spans="3:5" x14ac:dyDescent="0.3">
      <c r="C113" s="69">
        <v>8.1999999999999993</v>
      </c>
      <c r="D113" s="72">
        <v>177.8</v>
      </c>
      <c r="E113" s="70">
        <v>1</v>
      </c>
    </row>
    <row r="114" spans="3:5" x14ac:dyDescent="0.3">
      <c r="C114" s="69">
        <v>7.6</v>
      </c>
      <c r="D114" s="73">
        <v>178.2</v>
      </c>
      <c r="E114" s="70">
        <v>1</v>
      </c>
    </row>
    <row r="115" spans="3:5" x14ac:dyDescent="0.3">
      <c r="C115" s="69">
        <v>7</v>
      </c>
      <c r="D115" s="72">
        <v>179.1</v>
      </c>
      <c r="E115" s="70">
        <v>1</v>
      </c>
    </row>
    <row r="116" spans="3:5" x14ac:dyDescent="0.3">
      <c r="C116" s="69">
        <v>7.5</v>
      </c>
      <c r="D116" s="73">
        <v>179.1</v>
      </c>
      <c r="E116" s="70">
        <v>0</v>
      </c>
    </row>
    <row r="117" spans="3:5" x14ac:dyDescent="0.3">
      <c r="C117" s="69">
        <v>7.6</v>
      </c>
      <c r="D117" s="72">
        <v>179.1</v>
      </c>
      <c r="E117" s="70">
        <v>1</v>
      </c>
    </row>
    <row r="118" spans="3:5" x14ac:dyDescent="0.3">
      <c r="C118" s="69">
        <v>7.9</v>
      </c>
      <c r="D118" s="73">
        <v>180</v>
      </c>
      <c r="E118" s="70">
        <v>1</v>
      </c>
    </row>
    <row r="119" spans="3:5" x14ac:dyDescent="0.3">
      <c r="C119" s="69">
        <v>8.5</v>
      </c>
      <c r="D119" s="72">
        <v>180.1</v>
      </c>
      <c r="E119" s="70">
        <v>1</v>
      </c>
    </row>
    <row r="120" spans="3:5" x14ac:dyDescent="0.3">
      <c r="C120" s="69">
        <v>5.7</v>
      </c>
      <c r="D120" s="73">
        <v>180.3</v>
      </c>
      <c r="E120" s="70">
        <v>1</v>
      </c>
    </row>
    <row r="121" spans="3:5" x14ac:dyDescent="0.3">
      <c r="C121" s="69">
        <v>7.1</v>
      </c>
      <c r="D121" s="72">
        <v>180.3</v>
      </c>
      <c r="E121" s="70">
        <v>0</v>
      </c>
    </row>
    <row r="122" spans="3:5" x14ac:dyDescent="0.3">
      <c r="C122" s="69">
        <v>7.1</v>
      </c>
      <c r="D122" s="73">
        <v>180.3</v>
      </c>
      <c r="E122" s="70">
        <v>1</v>
      </c>
    </row>
    <row r="123" spans="3:5" x14ac:dyDescent="0.3">
      <c r="C123" s="69">
        <v>7.5</v>
      </c>
      <c r="D123" s="72">
        <v>180.3</v>
      </c>
      <c r="E123" s="70">
        <v>1</v>
      </c>
    </row>
    <row r="124" spans="3:5" x14ac:dyDescent="0.3">
      <c r="C124" s="69">
        <v>7.8</v>
      </c>
      <c r="D124" s="73">
        <v>180.3</v>
      </c>
      <c r="E124" s="70">
        <v>1</v>
      </c>
    </row>
    <row r="125" spans="3:5" x14ac:dyDescent="0.3">
      <c r="C125" s="69">
        <v>7.8</v>
      </c>
      <c r="D125" s="72">
        <v>180.3</v>
      </c>
      <c r="E125" s="70">
        <v>1</v>
      </c>
    </row>
    <row r="126" spans="3:5" x14ac:dyDescent="0.3">
      <c r="C126" s="69">
        <v>7.9</v>
      </c>
      <c r="D126" s="73">
        <v>180.3</v>
      </c>
      <c r="E126" s="70">
        <v>1</v>
      </c>
    </row>
    <row r="127" spans="3:5" x14ac:dyDescent="0.3">
      <c r="C127" s="69">
        <v>9</v>
      </c>
      <c r="D127" s="72">
        <v>180.3</v>
      </c>
      <c r="E127" s="70">
        <v>1</v>
      </c>
    </row>
    <row r="128" spans="3:5" x14ac:dyDescent="0.3">
      <c r="C128" s="69">
        <v>8.4</v>
      </c>
      <c r="D128" s="73">
        <v>180.4</v>
      </c>
      <c r="E128" s="70">
        <v>1</v>
      </c>
    </row>
    <row r="129" spans="3:5" x14ac:dyDescent="0.3">
      <c r="C129" s="69">
        <v>8.3000000000000007</v>
      </c>
      <c r="D129" s="72">
        <v>181.7</v>
      </c>
      <c r="E129" s="70">
        <v>1</v>
      </c>
    </row>
    <row r="130" spans="3:5" x14ac:dyDescent="0.3">
      <c r="C130" s="69">
        <v>7.8</v>
      </c>
      <c r="D130" s="73">
        <v>181.8</v>
      </c>
      <c r="E130" s="70">
        <v>1</v>
      </c>
    </row>
    <row r="131" spans="3:5" x14ac:dyDescent="0.3">
      <c r="C131" s="69">
        <v>7.6</v>
      </c>
      <c r="D131" s="72">
        <v>181.9</v>
      </c>
      <c r="E131" s="70">
        <v>1</v>
      </c>
    </row>
    <row r="132" spans="3:5" x14ac:dyDescent="0.3">
      <c r="C132" s="69">
        <v>6.9</v>
      </c>
      <c r="D132" s="73">
        <v>182.9</v>
      </c>
      <c r="E132" s="70">
        <v>1</v>
      </c>
    </row>
    <row r="133" spans="3:5" x14ac:dyDescent="0.3">
      <c r="C133" s="69">
        <v>7</v>
      </c>
      <c r="D133" s="72">
        <v>182.9</v>
      </c>
      <c r="E133" s="70">
        <v>1</v>
      </c>
    </row>
    <row r="134" spans="3:5" x14ac:dyDescent="0.3">
      <c r="C134" s="69">
        <v>7.5</v>
      </c>
      <c r="D134" s="73">
        <v>182.9</v>
      </c>
      <c r="E134" s="70">
        <v>1</v>
      </c>
    </row>
    <row r="135" spans="3:5" x14ac:dyDescent="0.3">
      <c r="C135" s="69">
        <v>9</v>
      </c>
      <c r="D135" s="72">
        <v>182.9</v>
      </c>
      <c r="E135" s="70">
        <v>1</v>
      </c>
    </row>
    <row r="136" spans="3:5" x14ac:dyDescent="0.3">
      <c r="C136" s="69">
        <v>7.9</v>
      </c>
      <c r="D136" s="73">
        <v>185</v>
      </c>
      <c r="E136" s="70">
        <v>1</v>
      </c>
    </row>
    <row r="137" spans="3:5" x14ac:dyDescent="0.3">
      <c r="C137" s="69">
        <v>7.1</v>
      </c>
      <c r="D137" s="72">
        <v>185.4</v>
      </c>
      <c r="E137" s="70">
        <v>1</v>
      </c>
    </row>
    <row r="138" spans="3:5" x14ac:dyDescent="0.3">
      <c r="C138" s="69">
        <v>7.3</v>
      </c>
      <c r="D138" s="73">
        <v>185.4</v>
      </c>
      <c r="E138" s="70">
        <v>1</v>
      </c>
    </row>
    <row r="139" spans="3:5" x14ac:dyDescent="0.3">
      <c r="C139" s="69">
        <v>7.6</v>
      </c>
      <c r="D139" s="72">
        <v>185.4</v>
      </c>
      <c r="E139" s="70">
        <v>1</v>
      </c>
    </row>
    <row r="140" spans="3:5" x14ac:dyDescent="0.3">
      <c r="C140" s="69">
        <v>8</v>
      </c>
      <c r="D140" s="73">
        <v>185.4</v>
      </c>
      <c r="E140" s="70">
        <v>1</v>
      </c>
    </row>
    <row r="141" spans="3:5" x14ac:dyDescent="0.3">
      <c r="C141" s="69">
        <v>8.3000000000000007</v>
      </c>
      <c r="D141" s="72">
        <v>185.4</v>
      </c>
      <c r="E141" s="70">
        <v>1</v>
      </c>
    </row>
    <row r="142" spans="3:5" x14ac:dyDescent="0.3">
      <c r="C142" s="69">
        <v>7.3</v>
      </c>
      <c r="D142" s="73">
        <v>186.7</v>
      </c>
      <c r="E142" s="70">
        <v>1</v>
      </c>
    </row>
    <row r="143" spans="3:5" x14ac:dyDescent="0.3">
      <c r="C143" s="69">
        <v>8</v>
      </c>
      <c r="D143" s="72">
        <v>187.5</v>
      </c>
      <c r="E143" s="70">
        <v>1</v>
      </c>
    </row>
    <row r="144" spans="3:5" x14ac:dyDescent="0.3">
      <c r="C144" s="69">
        <v>7.1</v>
      </c>
      <c r="D144" s="73">
        <v>188</v>
      </c>
      <c r="E144" s="70">
        <v>1</v>
      </c>
    </row>
    <row r="145" spans="3:5" x14ac:dyDescent="0.3">
      <c r="C145" s="69">
        <v>8.5</v>
      </c>
      <c r="D145" s="72">
        <v>188</v>
      </c>
      <c r="E145" s="70">
        <v>1</v>
      </c>
    </row>
    <row r="146" spans="3:5" x14ac:dyDescent="0.3">
      <c r="C146" s="69">
        <v>8.3000000000000007</v>
      </c>
      <c r="D146" s="73">
        <v>188.3</v>
      </c>
      <c r="E146" s="70">
        <v>1</v>
      </c>
    </row>
    <row r="147" spans="3:5" x14ac:dyDescent="0.3">
      <c r="C147" s="69">
        <v>7.5</v>
      </c>
      <c r="D147" s="72">
        <v>190.5</v>
      </c>
      <c r="E147" s="70">
        <v>1</v>
      </c>
    </row>
    <row r="148" spans="3:5" x14ac:dyDescent="0.3">
      <c r="C148" s="69">
        <v>8.1999999999999993</v>
      </c>
      <c r="D148" s="73">
        <v>191</v>
      </c>
      <c r="E148" s="70">
        <v>1</v>
      </c>
    </row>
    <row r="149" spans="3:5" x14ac:dyDescent="0.3">
      <c r="C149" s="69">
        <v>8</v>
      </c>
      <c r="D149" s="72">
        <v>191.4</v>
      </c>
      <c r="E149" s="70">
        <v>1</v>
      </c>
    </row>
  </sheetData>
  <mergeCells count="3">
    <mergeCell ref="L77:S78"/>
    <mergeCell ref="L91:S92"/>
    <mergeCell ref="L94:S9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51E90-7780-4155-B28D-0BC5468A8F43}">
  <dimension ref="A1:AA117"/>
  <sheetViews>
    <sheetView topLeftCell="A31" zoomScale="85" zoomScaleNormal="85" workbookViewId="0">
      <selection activeCell="L64" sqref="L64"/>
    </sheetView>
  </sheetViews>
  <sheetFormatPr defaultRowHeight="14.4" x14ac:dyDescent="0.3"/>
  <cols>
    <col min="11" max="11" width="10.6640625" bestFit="1" customWidth="1"/>
    <col min="12" max="12" width="12" bestFit="1" customWidth="1"/>
    <col min="13" max="13" width="7.33203125" bestFit="1" customWidth="1"/>
    <col min="14" max="14" width="6.109375" bestFit="1" customWidth="1"/>
    <col min="15" max="15" width="8.5546875" bestFit="1" customWidth="1"/>
    <col min="20" max="20" width="8.88671875" style="67"/>
  </cols>
  <sheetData>
    <row r="1" spans="11:27" x14ac:dyDescent="0.3">
      <c r="K1" t="s">
        <v>146</v>
      </c>
    </row>
    <row r="2" spans="11:27" ht="18.600000000000001" thickBot="1" x14ac:dyDescent="0.35">
      <c r="V2" s="44" t="s">
        <v>440</v>
      </c>
    </row>
    <row r="3" spans="11:27" ht="15" x14ac:dyDescent="0.3">
      <c r="K3" s="41" t="s">
        <v>147</v>
      </c>
      <c r="L3" s="41"/>
      <c r="V3" s="78" t="s">
        <v>211</v>
      </c>
    </row>
    <row r="4" spans="11:27" x14ac:dyDescent="0.3">
      <c r="K4" s="38" t="s">
        <v>148</v>
      </c>
      <c r="L4" s="38">
        <v>0.68083160249391139</v>
      </c>
      <c r="V4" s="46" t="s">
        <v>52</v>
      </c>
      <c r="W4" s="46" t="s">
        <v>212</v>
      </c>
      <c r="X4" s="46" t="s">
        <v>441</v>
      </c>
    </row>
    <row r="5" spans="11:27" ht="15" x14ac:dyDescent="0.3">
      <c r="K5" s="38" t="s">
        <v>149</v>
      </c>
      <c r="L5" s="38">
        <v>0.46353167095442743</v>
      </c>
      <c r="V5" s="78" t="s">
        <v>163</v>
      </c>
    </row>
    <row r="6" spans="11:27" ht="15" thickBot="1" x14ac:dyDescent="0.35">
      <c r="K6" s="38" t="s">
        <v>150</v>
      </c>
      <c r="L6" s="38">
        <v>0.44459749463517195</v>
      </c>
      <c r="V6" s="79" t="s">
        <v>214</v>
      </c>
      <c r="W6" s="80" t="s">
        <v>215</v>
      </c>
      <c r="X6" s="80" t="s">
        <v>216</v>
      </c>
      <c r="Y6" s="80" t="s">
        <v>217</v>
      </c>
      <c r="Z6" s="80" t="s">
        <v>218</v>
      </c>
      <c r="AA6" s="80" t="s">
        <v>219</v>
      </c>
    </row>
    <row r="7" spans="11:27" x14ac:dyDescent="0.3">
      <c r="K7" s="38" t="s">
        <v>151</v>
      </c>
      <c r="L7" s="38">
        <v>0.78793827171983166</v>
      </c>
      <c r="V7" s="46" t="s">
        <v>220</v>
      </c>
      <c r="W7" s="49">
        <v>0.47</v>
      </c>
      <c r="X7" s="49">
        <v>1.51</v>
      </c>
      <c r="Y7" s="49">
        <v>0.31</v>
      </c>
      <c r="Z7" s="49">
        <v>0.75800000000000001</v>
      </c>
      <c r="AA7" s="50"/>
    </row>
    <row r="8" spans="11:27" ht="15" thickBot="1" x14ac:dyDescent="0.35">
      <c r="K8" s="39" t="s">
        <v>152</v>
      </c>
      <c r="L8" s="39">
        <v>89</v>
      </c>
      <c r="V8" s="46" t="s">
        <v>53</v>
      </c>
      <c r="W8" s="49">
        <v>6.3E-2</v>
      </c>
      <c r="X8" s="49">
        <v>0.12</v>
      </c>
      <c r="Y8" s="132">
        <v>0.52</v>
      </c>
      <c r="Z8" s="132">
        <v>0.60199999999999998</v>
      </c>
      <c r="AA8" s="49">
        <v>1</v>
      </c>
    </row>
    <row r="9" spans="11:27" x14ac:dyDescent="0.3">
      <c r="V9" s="46" t="s">
        <v>54</v>
      </c>
      <c r="W9" s="49">
        <v>1.128E-2</v>
      </c>
      <c r="X9" s="49">
        <v>1.3799999999999999E-3</v>
      </c>
      <c r="Y9" s="132">
        <v>8.16</v>
      </c>
      <c r="Z9" s="132">
        <v>0</v>
      </c>
      <c r="AA9" s="49">
        <v>1</v>
      </c>
    </row>
    <row r="10" spans="11:27" ht="15" thickBot="1" x14ac:dyDescent="0.35">
      <c r="K10" t="s">
        <v>153</v>
      </c>
      <c r="V10" s="46" t="s">
        <v>55</v>
      </c>
      <c r="W10" s="49">
        <v>9.2600000000000002E-2</v>
      </c>
      <c r="X10" s="49">
        <v>3.09E-2</v>
      </c>
      <c r="Y10" s="132">
        <v>3</v>
      </c>
      <c r="Z10" s="132">
        <v>4.0000000000000001E-3</v>
      </c>
      <c r="AA10" s="49">
        <v>1</v>
      </c>
    </row>
    <row r="11" spans="11:27" ht="15" x14ac:dyDescent="0.3">
      <c r="K11" s="40"/>
      <c r="L11" s="40" t="s">
        <v>158</v>
      </c>
      <c r="M11" s="40" t="s">
        <v>159</v>
      </c>
      <c r="N11" s="131" t="s">
        <v>160</v>
      </c>
      <c r="O11" s="131" t="s">
        <v>161</v>
      </c>
      <c r="P11" s="131" t="s">
        <v>162</v>
      </c>
      <c r="V11" s="78" t="s">
        <v>221</v>
      </c>
    </row>
    <row r="12" spans="11:27" ht="15" thickBot="1" x14ac:dyDescent="0.35">
      <c r="K12" s="38" t="s">
        <v>154</v>
      </c>
      <c r="L12" s="38">
        <v>3</v>
      </c>
      <c r="M12" s="38">
        <v>45.597249021248096</v>
      </c>
      <c r="N12" s="118">
        <v>15.199083007082699</v>
      </c>
      <c r="O12" s="118">
        <v>24.481216565149936</v>
      </c>
      <c r="P12" s="118">
        <v>1.6397701746494485E-11</v>
      </c>
      <c r="V12" s="80" t="s">
        <v>222</v>
      </c>
      <c r="W12" s="80" t="s">
        <v>223</v>
      </c>
      <c r="X12" s="80" t="s">
        <v>224</v>
      </c>
      <c r="Y12" s="80" t="s">
        <v>225</v>
      </c>
    </row>
    <row r="13" spans="11:27" x14ac:dyDescent="0.3">
      <c r="K13" s="38" t="s">
        <v>155</v>
      </c>
      <c r="L13" s="38">
        <v>85</v>
      </c>
      <c r="M13" s="38">
        <v>52.77197120347099</v>
      </c>
      <c r="N13" s="118">
        <v>0.62084672004083519</v>
      </c>
      <c r="O13" s="38"/>
      <c r="P13" s="38"/>
      <c r="V13" s="49">
        <v>0.78793800000000003</v>
      </c>
      <c r="W13" s="51">
        <v>0.46350000000000002</v>
      </c>
      <c r="X13" s="51">
        <v>0.4446</v>
      </c>
      <c r="Y13" s="51">
        <v>0.4103</v>
      </c>
    </row>
    <row r="14" spans="11:27" ht="15.6" thickBot="1" x14ac:dyDescent="0.35">
      <c r="K14" s="39" t="s">
        <v>156</v>
      </c>
      <c r="L14" s="39">
        <v>88</v>
      </c>
      <c r="M14" s="39">
        <v>98.369220224719086</v>
      </c>
      <c r="N14" s="39"/>
      <c r="O14" s="39"/>
      <c r="P14" s="39"/>
      <c r="V14" s="78" t="s">
        <v>226</v>
      </c>
    </row>
    <row r="15" spans="11:27" ht="15" thickBot="1" x14ac:dyDescent="0.35">
      <c r="V15" s="79" t="s">
        <v>227</v>
      </c>
      <c r="W15" s="80" t="s">
        <v>228</v>
      </c>
      <c r="X15" s="80" t="s">
        <v>229</v>
      </c>
      <c r="Y15" s="80" t="s">
        <v>230</v>
      </c>
      <c r="Z15" s="80" t="s">
        <v>231</v>
      </c>
      <c r="AA15" s="80" t="s">
        <v>218</v>
      </c>
    </row>
    <row r="16" spans="11:27" x14ac:dyDescent="0.3">
      <c r="K16" s="40"/>
      <c r="L16" s="40" t="s">
        <v>163</v>
      </c>
      <c r="M16" s="40" t="s">
        <v>151</v>
      </c>
      <c r="N16" s="40" t="s">
        <v>164</v>
      </c>
      <c r="O16" s="40" t="s">
        <v>165</v>
      </c>
      <c r="P16" s="40" t="s">
        <v>166</v>
      </c>
      <c r="Q16" s="40" t="s">
        <v>167</v>
      </c>
      <c r="R16" s="40" t="s">
        <v>168</v>
      </c>
      <c r="S16" s="40" t="s">
        <v>169</v>
      </c>
      <c r="T16" s="90"/>
      <c r="V16" s="46" t="s">
        <v>154</v>
      </c>
      <c r="W16" s="49">
        <v>3</v>
      </c>
      <c r="X16" s="49">
        <v>45.597200000000001</v>
      </c>
      <c r="Y16" s="49">
        <v>15.1991</v>
      </c>
      <c r="Z16" s="107">
        <v>24.48</v>
      </c>
      <c r="AA16" s="107">
        <v>0</v>
      </c>
    </row>
    <row r="17" spans="1:27" x14ac:dyDescent="0.3">
      <c r="K17" s="38" t="s">
        <v>157</v>
      </c>
      <c r="L17" s="38">
        <v>0.46609314871718677</v>
      </c>
      <c r="M17" s="38">
        <v>1.5056307018807797</v>
      </c>
      <c r="N17" s="38">
        <v>0.30956671389269624</v>
      </c>
      <c r="O17" s="38">
        <v>0.75764809400415822</v>
      </c>
      <c r="P17" s="38">
        <v>-2.5275040563447768</v>
      </c>
      <c r="Q17" s="38">
        <v>3.4596903537791506</v>
      </c>
      <c r="R17" s="38">
        <v>-2.5275040563447768</v>
      </c>
      <c r="S17" s="38">
        <v>3.4596903537791506</v>
      </c>
      <c r="T17" s="38"/>
      <c r="V17" s="46" t="s">
        <v>442</v>
      </c>
      <c r="W17" s="49">
        <v>1</v>
      </c>
      <c r="X17" s="49">
        <v>0.1704</v>
      </c>
      <c r="Y17" s="49">
        <v>0.1704</v>
      </c>
      <c r="Z17" s="49">
        <v>0.27</v>
      </c>
      <c r="AA17" s="49">
        <v>0.60199999999999998</v>
      </c>
    </row>
    <row r="18" spans="1:27" x14ac:dyDescent="0.3">
      <c r="K18" s="38" t="s">
        <v>53</v>
      </c>
      <c r="L18" s="38">
        <v>6.282700774504639E-2</v>
      </c>
      <c r="M18" s="38">
        <v>0.11993027410748011</v>
      </c>
      <c r="N18" s="118">
        <v>0.52386278787907681</v>
      </c>
      <c r="O18" s="118">
        <v>0.60173726468395006</v>
      </c>
      <c r="P18" s="38">
        <v>-0.17562650739780311</v>
      </c>
      <c r="Q18" s="38">
        <v>0.30128052288789592</v>
      </c>
      <c r="R18" s="38">
        <v>-0.17562650739780311</v>
      </c>
      <c r="S18" s="38">
        <v>0.30128052288789592</v>
      </c>
      <c r="T18" s="38"/>
      <c r="V18" s="46" t="s">
        <v>443</v>
      </c>
      <c r="W18" s="49">
        <v>1</v>
      </c>
      <c r="X18" s="49">
        <v>41.327199999999998</v>
      </c>
      <c r="Y18" s="49">
        <v>41.327199999999998</v>
      </c>
      <c r="Z18" s="49">
        <v>66.569999999999993</v>
      </c>
      <c r="AA18" s="49">
        <v>0</v>
      </c>
    </row>
    <row r="19" spans="1:27" x14ac:dyDescent="0.3">
      <c r="K19" s="38" t="s">
        <v>54</v>
      </c>
      <c r="L19" s="38">
        <v>1.1281399533753175E-2</v>
      </c>
      <c r="M19" s="38">
        <v>1.3827295025552722E-3</v>
      </c>
      <c r="N19" s="118">
        <v>8.1587899244973396</v>
      </c>
      <c r="O19" s="118">
        <v>2.7115236611729622E-12</v>
      </c>
      <c r="P19" s="38">
        <v>8.5321628391005801E-3</v>
      </c>
      <c r="Q19" s="38">
        <v>1.4030636228405769E-2</v>
      </c>
      <c r="R19" s="38">
        <v>8.5321628391005801E-3</v>
      </c>
      <c r="S19" s="38">
        <v>1.4030636228405769E-2</v>
      </c>
      <c r="T19" s="38"/>
      <c r="V19" s="46" t="s">
        <v>444</v>
      </c>
      <c r="W19" s="49">
        <v>1</v>
      </c>
      <c r="X19" s="49">
        <v>5.5717999999999996</v>
      </c>
      <c r="Y19" s="49">
        <v>5.5717999999999996</v>
      </c>
      <c r="Z19" s="49">
        <v>8.9700000000000006</v>
      </c>
      <c r="AA19" s="49">
        <v>4.0000000000000001E-3</v>
      </c>
    </row>
    <row r="20" spans="1:27" ht="15" thickBot="1" x14ac:dyDescent="0.35">
      <c r="K20" s="39" t="s">
        <v>55</v>
      </c>
      <c r="L20" s="39">
        <v>9.2594980153135734E-2</v>
      </c>
      <c r="M20" s="39">
        <v>3.090871131131669E-2</v>
      </c>
      <c r="N20" s="119">
        <v>2.99575673733229</v>
      </c>
      <c r="O20" s="119">
        <v>3.5866324078121328E-3</v>
      </c>
      <c r="P20" s="39">
        <v>3.1140181391366456E-2</v>
      </c>
      <c r="Q20" s="39">
        <v>0.15404977891490501</v>
      </c>
      <c r="R20" s="39">
        <v>3.1140181391366456E-2</v>
      </c>
      <c r="S20" s="39">
        <v>0.15404977891490501</v>
      </c>
      <c r="T20" s="38"/>
      <c r="V20" s="46" t="s">
        <v>234</v>
      </c>
      <c r="W20" s="49">
        <v>85</v>
      </c>
      <c r="X20" s="49">
        <v>52.771999999999998</v>
      </c>
      <c r="Y20" s="49">
        <v>0.62080000000000002</v>
      </c>
      <c r="Z20" s="50"/>
      <c r="AA20" s="50"/>
    </row>
    <row r="21" spans="1:27" x14ac:dyDescent="0.3">
      <c r="V21" s="46" t="s">
        <v>156</v>
      </c>
      <c r="W21" s="49">
        <v>88</v>
      </c>
      <c r="X21" s="49">
        <v>98.369200000000006</v>
      </c>
      <c r="Y21" s="50"/>
      <c r="Z21" s="50"/>
      <c r="AA21" s="50"/>
    </row>
    <row r="22" spans="1:27" ht="15" x14ac:dyDescent="0.3">
      <c r="J22" t="s">
        <v>392</v>
      </c>
      <c r="K22" s="67" t="s">
        <v>174</v>
      </c>
      <c r="L22" s="67">
        <f>L18</f>
        <v>6.282700774504639E-2</v>
      </c>
      <c r="M22" s="67"/>
      <c r="N22" s="67"/>
      <c r="O22" s="67"/>
      <c r="P22" s="67"/>
      <c r="Q22" s="67"/>
      <c r="R22" s="67"/>
      <c r="S22" s="67"/>
      <c r="U22" s="46"/>
      <c r="V22" s="78" t="s">
        <v>237</v>
      </c>
    </row>
    <row r="23" spans="1:27" ht="15.6" thickBot="1" x14ac:dyDescent="0.35">
      <c r="K23" s="67" t="s">
        <v>172</v>
      </c>
      <c r="L23" s="67">
        <f>L19</f>
        <v>1.1281399533753175E-2</v>
      </c>
      <c r="M23" s="67"/>
      <c r="N23" s="67"/>
      <c r="O23" s="67"/>
      <c r="P23" s="67"/>
      <c r="Q23" s="67"/>
      <c r="R23" s="67"/>
      <c r="S23" s="67"/>
      <c r="U23" s="45"/>
      <c r="V23" s="80" t="s">
        <v>238</v>
      </c>
      <c r="W23" s="80" t="s">
        <v>52</v>
      </c>
      <c r="X23" s="80" t="s">
        <v>239</v>
      </c>
      <c r="Y23" s="80" t="s">
        <v>240</v>
      </c>
      <c r="Z23" s="80" t="s">
        <v>241</v>
      </c>
      <c r="AA23" s="79"/>
    </row>
    <row r="24" spans="1:27" ht="15" thickBot="1" x14ac:dyDescent="0.35">
      <c r="K24" s="67" t="s">
        <v>200</v>
      </c>
      <c r="L24" s="67">
        <f>L20</f>
        <v>9.2594980153135734E-2</v>
      </c>
      <c r="M24" s="67"/>
      <c r="N24" s="67"/>
      <c r="O24" s="67"/>
      <c r="P24" s="67"/>
      <c r="Q24" s="67"/>
      <c r="R24" s="67"/>
      <c r="S24" s="67"/>
      <c r="U24" s="66"/>
      <c r="V24" s="49">
        <v>11</v>
      </c>
      <c r="W24" s="49">
        <v>6.52</v>
      </c>
      <c r="X24" s="49">
        <v>8.3529999999999998</v>
      </c>
      <c r="Y24" s="49">
        <v>-1.833</v>
      </c>
      <c r="Z24" s="49">
        <v>-2.38</v>
      </c>
      <c r="AA24" s="46" t="s">
        <v>242</v>
      </c>
    </row>
    <row r="25" spans="1:27" x14ac:dyDescent="0.3">
      <c r="K25" s="67" t="s">
        <v>201</v>
      </c>
      <c r="L25" s="67"/>
      <c r="M25" s="67"/>
      <c r="N25" s="67"/>
      <c r="O25" s="67"/>
      <c r="P25" s="67"/>
      <c r="Q25" s="67"/>
      <c r="R25" s="67"/>
      <c r="S25" s="67"/>
      <c r="U25" s="49"/>
      <c r="V25" s="49">
        <v>17</v>
      </c>
      <c r="W25" s="49">
        <v>10.56</v>
      </c>
      <c r="X25" s="49">
        <v>8.8350000000000009</v>
      </c>
      <c r="Y25" s="49">
        <v>1.7250000000000001</v>
      </c>
      <c r="Z25" s="49">
        <v>2.23</v>
      </c>
      <c r="AA25" s="46" t="s">
        <v>242</v>
      </c>
    </row>
    <row r="26" spans="1:27" x14ac:dyDescent="0.3">
      <c r="K26" s="43" t="s">
        <v>323</v>
      </c>
      <c r="L26" s="43"/>
      <c r="M26" s="67"/>
      <c r="N26" s="67"/>
      <c r="O26" s="67"/>
      <c r="P26" s="67"/>
      <c r="Q26" s="67"/>
      <c r="R26" s="67"/>
      <c r="S26" s="67"/>
      <c r="U26" s="49"/>
      <c r="V26" s="49">
        <v>22</v>
      </c>
      <c r="W26" s="49">
        <v>9.76</v>
      </c>
      <c r="X26" s="49">
        <v>8.1850000000000005</v>
      </c>
      <c r="Y26" s="49">
        <v>1.575</v>
      </c>
      <c r="Z26" s="49">
        <v>2.04</v>
      </c>
      <c r="AA26" s="46" t="s">
        <v>242</v>
      </c>
    </row>
    <row r="27" spans="1:27" x14ac:dyDescent="0.3">
      <c r="K27" s="67"/>
      <c r="L27" s="67"/>
      <c r="M27" s="67"/>
      <c r="N27" s="67"/>
      <c r="O27" s="67"/>
      <c r="P27" s="67"/>
      <c r="Q27" s="67"/>
      <c r="R27" s="67"/>
      <c r="S27" s="67"/>
      <c r="U27" s="49"/>
      <c r="V27" t="s">
        <v>243</v>
      </c>
    </row>
    <row r="28" spans="1:27" ht="15" x14ac:dyDescent="0.3">
      <c r="A28" s="19" t="s">
        <v>52</v>
      </c>
      <c r="B28" s="19" t="s">
        <v>53</v>
      </c>
      <c r="C28" s="19" t="s">
        <v>54</v>
      </c>
      <c r="D28" s="19" t="s">
        <v>55</v>
      </c>
      <c r="E28" s="15" t="s">
        <v>56</v>
      </c>
      <c r="J28" t="s">
        <v>394</v>
      </c>
      <c r="K28" s="67"/>
      <c r="L28" s="67" t="s">
        <v>176</v>
      </c>
      <c r="M28" s="67" t="s">
        <v>177</v>
      </c>
      <c r="N28" s="67" t="s">
        <v>178</v>
      </c>
      <c r="O28" s="67" t="s">
        <v>203</v>
      </c>
      <c r="P28" s="67"/>
      <c r="Q28" s="67"/>
      <c r="R28" s="67"/>
      <c r="S28" s="67"/>
      <c r="U28" s="67"/>
      <c r="V28" s="78"/>
    </row>
    <row r="29" spans="1:27" x14ac:dyDescent="0.3">
      <c r="A29" s="20">
        <v>8.43</v>
      </c>
      <c r="B29" s="20">
        <v>10.89</v>
      </c>
      <c r="C29" s="20">
        <v>584</v>
      </c>
      <c r="D29" s="20">
        <v>9</v>
      </c>
      <c r="E29" s="17">
        <v>4</v>
      </c>
      <c r="K29" s="67"/>
      <c r="L29" s="67" t="s">
        <v>179</v>
      </c>
      <c r="M29" s="67" t="s">
        <v>180</v>
      </c>
      <c r="N29" s="67" t="s">
        <v>181</v>
      </c>
      <c r="O29" s="67" t="s">
        <v>204</v>
      </c>
      <c r="P29" s="67"/>
      <c r="Q29" s="67"/>
      <c r="R29" s="67"/>
      <c r="S29" s="67"/>
      <c r="U29" s="67"/>
      <c r="V29" s="26"/>
    </row>
    <row r="30" spans="1:27" ht="15" x14ac:dyDescent="0.3">
      <c r="A30" s="20">
        <v>6.58</v>
      </c>
      <c r="B30" s="20">
        <v>10.38</v>
      </c>
      <c r="C30" s="20">
        <v>483</v>
      </c>
      <c r="D30" s="20">
        <v>7</v>
      </c>
      <c r="E30" s="17">
        <v>4</v>
      </c>
      <c r="K30" s="67"/>
      <c r="L30" s="67" t="s">
        <v>205</v>
      </c>
      <c r="M30" s="67"/>
      <c r="N30" s="67"/>
      <c r="O30" s="67"/>
      <c r="P30" s="67"/>
      <c r="Q30" s="67"/>
      <c r="R30" s="67"/>
      <c r="S30" s="67"/>
      <c r="U30" s="45"/>
      <c r="V30" s="26"/>
    </row>
    <row r="31" spans="1:27" x14ac:dyDescent="0.3">
      <c r="A31" s="20">
        <v>8.15</v>
      </c>
      <c r="B31" s="20">
        <v>10.39</v>
      </c>
      <c r="C31" s="20">
        <v>484</v>
      </c>
      <c r="D31" s="20">
        <v>4</v>
      </c>
      <c r="E31" s="17">
        <v>2</v>
      </c>
      <c r="K31" s="67"/>
      <c r="L31" s="67"/>
      <c r="M31" s="67"/>
      <c r="N31" s="67"/>
      <c r="O31" s="67"/>
      <c r="P31" s="67"/>
      <c r="Q31" s="67"/>
      <c r="R31" s="67"/>
      <c r="S31" s="67"/>
      <c r="U31" s="26"/>
      <c r="V31" s="26"/>
    </row>
    <row r="32" spans="1:27" x14ac:dyDescent="0.3">
      <c r="A32" s="20">
        <v>8.8800000000000008</v>
      </c>
      <c r="B32" s="20">
        <v>10.73</v>
      </c>
      <c r="C32" s="20">
        <v>646</v>
      </c>
      <c r="D32" s="20">
        <v>6</v>
      </c>
      <c r="E32" s="17">
        <v>3</v>
      </c>
      <c r="K32" s="103" t="s">
        <v>206</v>
      </c>
      <c r="L32" s="103">
        <f>N12/N13</f>
        <v>24.481216565149936</v>
      </c>
      <c r="M32" s="67"/>
      <c r="N32" s="67"/>
      <c r="O32" s="67"/>
      <c r="P32" s="67"/>
      <c r="Q32" s="67"/>
      <c r="R32" s="67"/>
      <c r="S32" s="67"/>
      <c r="U32" s="26"/>
      <c r="V32" s="26"/>
    </row>
    <row r="33" spans="1:22" x14ac:dyDescent="0.3">
      <c r="A33" s="20">
        <v>7.69</v>
      </c>
      <c r="B33" s="20">
        <v>11.17</v>
      </c>
      <c r="C33" s="20">
        <v>551</v>
      </c>
      <c r="D33" s="20">
        <v>4</v>
      </c>
      <c r="E33" s="17">
        <v>1</v>
      </c>
      <c r="K33" s="103" t="s">
        <v>187</v>
      </c>
      <c r="L33" s="103">
        <f>_xlfn.F.DIST.RT(L32,3,85)</f>
        <v>1.6397701746494485E-11</v>
      </c>
      <c r="M33" s="67"/>
      <c r="N33" s="67"/>
      <c r="O33" s="67"/>
      <c r="P33" s="67"/>
      <c r="Q33" s="67"/>
      <c r="R33" s="67"/>
      <c r="S33" s="67"/>
      <c r="U33" s="26"/>
      <c r="V33" s="26"/>
    </row>
    <row r="34" spans="1:22" x14ac:dyDescent="0.3">
      <c r="A34" s="20">
        <v>8.5500000000000007</v>
      </c>
      <c r="B34" s="20">
        <v>9.69</v>
      </c>
      <c r="C34" s="20">
        <v>591</v>
      </c>
      <c r="D34" s="20">
        <v>4</v>
      </c>
      <c r="E34" s="17">
        <v>2</v>
      </c>
      <c r="K34" s="67"/>
      <c r="L34" s="43" t="s">
        <v>193</v>
      </c>
      <c r="M34" s="43"/>
      <c r="N34" s="43"/>
      <c r="O34" s="43"/>
      <c r="P34" s="43"/>
      <c r="Q34" s="43"/>
      <c r="R34" s="43"/>
      <c r="S34" s="43"/>
      <c r="U34" s="26"/>
      <c r="V34" s="26"/>
    </row>
    <row r="35" spans="1:22" x14ac:dyDescent="0.3">
      <c r="A35" s="20">
        <v>8.6999999999999993</v>
      </c>
      <c r="B35" s="20">
        <v>10.37</v>
      </c>
      <c r="C35" s="20">
        <v>625</v>
      </c>
      <c r="D35" s="20">
        <v>3</v>
      </c>
      <c r="E35" s="17">
        <v>1</v>
      </c>
      <c r="K35" s="67"/>
      <c r="L35" s="43" t="s">
        <v>446</v>
      </c>
      <c r="M35" s="43"/>
      <c r="N35" s="43"/>
      <c r="O35" s="43"/>
      <c r="P35" s="43"/>
      <c r="Q35" s="43"/>
      <c r="R35" s="43"/>
      <c r="S35" s="43"/>
      <c r="U35" s="26"/>
      <c r="V35" s="26"/>
    </row>
    <row r="36" spans="1:22" x14ac:dyDescent="0.3">
      <c r="A36" s="20">
        <v>8.27</v>
      </c>
      <c r="B36" s="20">
        <v>11.02</v>
      </c>
      <c r="C36" s="20">
        <v>636</v>
      </c>
      <c r="D36" s="20">
        <v>4</v>
      </c>
      <c r="E36" s="17">
        <v>4</v>
      </c>
      <c r="K36" s="67"/>
      <c r="L36" s="67"/>
      <c r="M36" s="67"/>
      <c r="N36" s="67"/>
      <c r="O36" s="67"/>
      <c r="P36" s="67"/>
      <c r="Q36" s="67"/>
      <c r="R36" s="67"/>
      <c r="S36" s="67"/>
      <c r="U36" s="26"/>
      <c r="V36" s="26"/>
    </row>
    <row r="37" spans="1:22" x14ac:dyDescent="0.3">
      <c r="A37" s="20">
        <v>7.57</v>
      </c>
      <c r="B37" s="20">
        <v>10.72</v>
      </c>
      <c r="C37" s="20">
        <v>515</v>
      </c>
      <c r="D37" s="20">
        <v>4</v>
      </c>
      <c r="E37" s="17">
        <v>1</v>
      </c>
      <c r="K37" s="24" t="s">
        <v>447</v>
      </c>
      <c r="L37" s="67"/>
      <c r="M37" s="67"/>
      <c r="N37" s="67"/>
      <c r="O37" s="67"/>
      <c r="P37" s="67"/>
      <c r="Q37" s="67"/>
      <c r="R37" s="67"/>
      <c r="S37" s="67"/>
      <c r="U37" s="26"/>
      <c r="V37" s="26"/>
    </row>
    <row r="38" spans="1:22" x14ac:dyDescent="0.3">
      <c r="A38" s="20">
        <v>8.5</v>
      </c>
      <c r="B38" s="20">
        <v>10.220000000000001</v>
      </c>
      <c r="C38" s="20">
        <v>636</v>
      </c>
      <c r="D38" s="20">
        <v>4</v>
      </c>
      <c r="E38" s="17">
        <v>4</v>
      </c>
      <c r="K38" s="67"/>
      <c r="L38" s="67"/>
      <c r="M38" s="67"/>
      <c r="N38" s="67"/>
      <c r="O38" s="67"/>
      <c r="P38" s="67"/>
      <c r="Q38" s="67"/>
      <c r="R38" s="67"/>
      <c r="S38" s="67"/>
      <c r="U38" s="26"/>
      <c r="V38" s="26"/>
    </row>
    <row r="39" spans="1:22" x14ac:dyDescent="0.3">
      <c r="A39" s="20">
        <v>6.52</v>
      </c>
      <c r="B39" s="20">
        <v>10.86</v>
      </c>
      <c r="C39" s="20">
        <v>614</v>
      </c>
      <c r="D39" s="20">
        <v>3</v>
      </c>
      <c r="E39" s="17">
        <v>1</v>
      </c>
      <c r="J39" t="s">
        <v>445</v>
      </c>
      <c r="K39" s="67"/>
      <c r="L39" s="67" t="s">
        <v>176</v>
      </c>
      <c r="M39" s="67" t="s">
        <v>177</v>
      </c>
      <c r="N39" s="67" t="s">
        <v>178</v>
      </c>
      <c r="O39" s="67" t="s">
        <v>451</v>
      </c>
      <c r="P39" s="67"/>
      <c r="Q39" s="67"/>
      <c r="R39" s="67"/>
      <c r="S39" s="67"/>
      <c r="U39" s="26"/>
      <c r="V39" s="26"/>
    </row>
    <row r="40" spans="1:22" x14ac:dyDescent="0.3">
      <c r="A40" s="20">
        <v>8.24</v>
      </c>
      <c r="B40" s="20">
        <v>11.14</v>
      </c>
      <c r="C40" s="20">
        <v>646</v>
      </c>
      <c r="D40" s="20">
        <v>4</v>
      </c>
      <c r="E40" s="17">
        <v>3</v>
      </c>
      <c r="K40" s="67"/>
      <c r="L40" s="67" t="s">
        <v>179</v>
      </c>
      <c r="M40" s="67" t="s">
        <v>180</v>
      </c>
      <c r="N40" s="67" t="s">
        <v>181</v>
      </c>
      <c r="O40" s="67" t="s">
        <v>450</v>
      </c>
      <c r="P40" s="67"/>
      <c r="Q40" s="67"/>
      <c r="R40" s="67"/>
      <c r="S40" s="67"/>
      <c r="U40" s="26"/>
      <c r="V40" s="26"/>
    </row>
    <row r="41" spans="1:22" x14ac:dyDescent="0.3">
      <c r="A41" s="20">
        <v>8.11</v>
      </c>
      <c r="B41" s="20">
        <v>9.4600000000000009</v>
      </c>
      <c r="C41" s="20">
        <v>534</v>
      </c>
      <c r="D41" s="20">
        <v>11</v>
      </c>
      <c r="E41" s="17">
        <v>3</v>
      </c>
      <c r="K41" s="67"/>
      <c r="L41" s="67" t="s">
        <v>182</v>
      </c>
      <c r="M41" s="67"/>
      <c r="N41" s="67"/>
      <c r="O41" s="67"/>
      <c r="P41" s="67"/>
      <c r="Q41" s="67"/>
      <c r="R41" s="67"/>
      <c r="S41" s="67" t="s">
        <v>183</v>
      </c>
      <c r="U41" s="26"/>
      <c r="V41" s="26"/>
    </row>
    <row r="42" spans="1:22" x14ac:dyDescent="0.3">
      <c r="A42" s="20">
        <v>6.8</v>
      </c>
      <c r="B42" s="20">
        <v>10.78</v>
      </c>
      <c r="C42" s="20">
        <v>502</v>
      </c>
      <c r="D42" s="20">
        <v>5</v>
      </c>
      <c r="E42" s="17">
        <v>2</v>
      </c>
      <c r="K42" s="67"/>
      <c r="L42" s="67"/>
      <c r="M42" s="67"/>
      <c r="N42" s="67"/>
      <c r="O42" s="67"/>
      <c r="P42" s="67"/>
      <c r="Q42" s="67"/>
      <c r="R42" s="67"/>
      <c r="S42" s="67" t="s">
        <v>184</v>
      </c>
      <c r="U42" s="26"/>
      <c r="V42" s="26"/>
    </row>
    <row r="43" spans="1:22" x14ac:dyDescent="0.3">
      <c r="A43" s="20">
        <v>10.01</v>
      </c>
      <c r="B43" s="20">
        <v>9.4499999999999993</v>
      </c>
      <c r="C43" s="20">
        <v>684</v>
      </c>
      <c r="D43" s="20">
        <v>3</v>
      </c>
      <c r="E43" s="17">
        <v>3</v>
      </c>
      <c r="K43" s="103" t="s">
        <v>185</v>
      </c>
      <c r="L43" s="103">
        <f>L18/M18</f>
        <v>0.52386278787907681</v>
      </c>
      <c r="M43" s="67"/>
      <c r="N43" s="67"/>
      <c r="O43" s="67"/>
      <c r="P43" s="67"/>
      <c r="Q43" s="67"/>
      <c r="R43" s="67"/>
      <c r="S43" s="67" t="s">
        <v>186</v>
      </c>
      <c r="U43" s="26"/>
      <c r="V43" s="26"/>
    </row>
    <row r="44" spans="1:22" x14ac:dyDescent="0.3">
      <c r="A44" s="20">
        <v>8.42</v>
      </c>
      <c r="B44" s="20">
        <v>9.83</v>
      </c>
      <c r="C44" s="20">
        <v>641</v>
      </c>
      <c r="D44" s="20">
        <v>6</v>
      </c>
      <c r="E44" s="17">
        <v>4</v>
      </c>
      <c r="K44" s="103" t="s">
        <v>187</v>
      </c>
      <c r="L44" s="103">
        <f>_xlfn.T.DIST.2T(L43,85)</f>
        <v>0.60173726468395006</v>
      </c>
      <c r="M44" s="67"/>
      <c r="N44" s="67"/>
      <c r="O44" s="67"/>
      <c r="P44" s="67"/>
      <c r="Q44" s="67"/>
      <c r="R44" s="67"/>
      <c r="S44" s="67" t="s">
        <v>188</v>
      </c>
      <c r="U44" s="26"/>
      <c r="V44" s="26"/>
    </row>
    <row r="45" spans="1:22" x14ac:dyDescent="0.3">
      <c r="A45" s="20">
        <v>10.56</v>
      </c>
      <c r="B45" s="20">
        <v>10.76</v>
      </c>
      <c r="C45" s="20">
        <v>608</v>
      </c>
      <c r="D45" s="20">
        <v>9</v>
      </c>
      <c r="E45" s="17">
        <v>4</v>
      </c>
      <c r="K45" s="67"/>
      <c r="L45" s="43" t="s">
        <v>189</v>
      </c>
      <c r="M45" s="43"/>
      <c r="N45" s="43"/>
      <c r="O45" s="43"/>
      <c r="P45" s="43"/>
      <c r="Q45" s="43"/>
      <c r="R45" s="43"/>
      <c r="S45" s="67" t="s">
        <v>190</v>
      </c>
      <c r="U45" s="26"/>
      <c r="V45" s="26"/>
    </row>
    <row r="46" spans="1:22" x14ac:dyDescent="0.3">
      <c r="A46" s="20">
        <v>7.72</v>
      </c>
      <c r="B46" s="20">
        <v>10.44</v>
      </c>
      <c r="C46" s="20">
        <v>520</v>
      </c>
      <c r="D46" s="20">
        <v>4</v>
      </c>
      <c r="E46" s="17">
        <v>2</v>
      </c>
      <c r="K46" s="67"/>
      <c r="L46" s="43" t="s">
        <v>452</v>
      </c>
      <c r="M46" s="43"/>
      <c r="N46" s="43"/>
      <c r="O46" s="43"/>
      <c r="P46" s="43"/>
      <c r="Q46" s="43"/>
      <c r="R46" s="43"/>
      <c r="S46" s="67"/>
      <c r="U46" s="26"/>
      <c r="V46" s="26"/>
    </row>
    <row r="47" spans="1:22" ht="15" x14ac:dyDescent="0.3">
      <c r="A47" s="20">
        <v>8.18</v>
      </c>
      <c r="B47" s="20">
        <v>10.8</v>
      </c>
      <c r="C47" s="20">
        <v>516</v>
      </c>
      <c r="D47" s="20">
        <v>3</v>
      </c>
      <c r="E47" s="17">
        <v>3</v>
      </c>
      <c r="K47" s="67"/>
      <c r="L47" s="43" t="s">
        <v>453</v>
      </c>
      <c r="M47" s="43"/>
      <c r="N47" s="43"/>
      <c r="O47" s="43"/>
      <c r="P47" s="43"/>
      <c r="Q47" s="43"/>
      <c r="R47" s="43"/>
      <c r="S47" s="67"/>
      <c r="U47" s="26"/>
      <c r="V47" s="78"/>
    </row>
    <row r="48" spans="1:22" ht="15" x14ac:dyDescent="0.3">
      <c r="A48" s="20">
        <v>8.61</v>
      </c>
      <c r="B48" s="20">
        <v>9.8800000000000008</v>
      </c>
      <c r="C48" s="20">
        <v>679</v>
      </c>
      <c r="D48" s="20">
        <v>5</v>
      </c>
      <c r="E48" s="17">
        <v>1</v>
      </c>
      <c r="K48" s="67"/>
      <c r="L48" s="67"/>
      <c r="M48" s="67"/>
      <c r="N48" s="67"/>
      <c r="O48" s="67"/>
      <c r="P48" s="67"/>
      <c r="Q48" s="67"/>
      <c r="R48" s="67"/>
      <c r="S48" s="67"/>
      <c r="U48" s="26"/>
      <c r="V48" s="78"/>
    </row>
    <row r="49" spans="1:22" ht="15" x14ac:dyDescent="0.3">
      <c r="A49" s="20">
        <v>8.0500000000000007</v>
      </c>
      <c r="B49" s="20">
        <v>10.42</v>
      </c>
      <c r="C49" s="20">
        <v>467</v>
      </c>
      <c r="D49" s="20">
        <v>9</v>
      </c>
      <c r="E49" s="17">
        <v>2</v>
      </c>
      <c r="K49" s="67"/>
      <c r="L49" s="67" t="s">
        <v>176</v>
      </c>
      <c r="M49" s="67" t="s">
        <v>177</v>
      </c>
      <c r="N49" s="67" t="s">
        <v>178</v>
      </c>
      <c r="O49" s="67" t="s">
        <v>448</v>
      </c>
      <c r="P49" s="67"/>
      <c r="Q49" s="67"/>
      <c r="R49" s="67"/>
      <c r="S49" s="67"/>
      <c r="U49" s="45"/>
      <c r="V49" s="26"/>
    </row>
    <row r="50" spans="1:22" ht="15" x14ac:dyDescent="0.3">
      <c r="A50" s="20">
        <v>9.76</v>
      </c>
      <c r="B50" s="20">
        <v>9.4499999999999993</v>
      </c>
      <c r="C50" s="20">
        <v>607</v>
      </c>
      <c r="D50" s="20">
        <v>3</v>
      </c>
      <c r="E50" s="17">
        <v>3</v>
      </c>
      <c r="K50" s="67"/>
      <c r="L50" s="67" t="s">
        <v>179</v>
      </c>
      <c r="M50" s="67" t="s">
        <v>180</v>
      </c>
      <c r="N50" s="67" t="s">
        <v>181</v>
      </c>
      <c r="O50" s="67" t="s">
        <v>449</v>
      </c>
      <c r="P50" s="67"/>
      <c r="Q50" s="67"/>
      <c r="R50" s="67"/>
      <c r="S50" s="67"/>
      <c r="U50" s="45"/>
      <c r="V50" s="26"/>
    </row>
    <row r="51" spans="1:22" x14ac:dyDescent="0.3">
      <c r="A51" s="20">
        <v>8.5399999999999991</v>
      </c>
      <c r="B51" s="20">
        <v>10.67</v>
      </c>
      <c r="C51" s="20">
        <v>608</v>
      </c>
      <c r="D51" s="20">
        <v>12</v>
      </c>
      <c r="E51" s="17">
        <v>4</v>
      </c>
      <c r="K51" s="67"/>
      <c r="L51" s="67" t="s">
        <v>326</v>
      </c>
      <c r="M51" s="67"/>
      <c r="N51" s="67"/>
      <c r="O51" s="67"/>
      <c r="P51" s="67"/>
      <c r="Q51" s="67"/>
      <c r="R51" s="67"/>
      <c r="S51" s="67" t="s">
        <v>183</v>
      </c>
      <c r="U51" s="26"/>
      <c r="V51" s="26"/>
    </row>
    <row r="52" spans="1:22" x14ac:dyDescent="0.3">
      <c r="A52" s="20">
        <v>8.07</v>
      </c>
      <c r="B52" s="20">
        <v>9.16</v>
      </c>
      <c r="C52" s="20">
        <v>556</v>
      </c>
      <c r="D52" s="20">
        <v>5</v>
      </c>
      <c r="E52" s="17">
        <v>1</v>
      </c>
      <c r="K52" s="67"/>
      <c r="L52" s="67"/>
      <c r="M52" s="67"/>
      <c r="N52" s="67"/>
      <c r="O52" s="67"/>
      <c r="P52" s="67"/>
      <c r="Q52" s="67"/>
      <c r="R52" s="67"/>
      <c r="S52" s="67" t="s">
        <v>184</v>
      </c>
      <c r="U52" s="26"/>
      <c r="V52" s="26"/>
    </row>
    <row r="53" spans="1:22" x14ac:dyDescent="0.3">
      <c r="A53" s="20">
        <v>7.87</v>
      </c>
      <c r="B53" s="20">
        <v>9.9700000000000006</v>
      </c>
      <c r="C53" s="20">
        <v>509</v>
      </c>
      <c r="D53" s="20">
        <v>4</v>
      </c>
      <c r="E53" s="17">
        <v>4</v>
      </c>
      <c r="K53" s="126" t="s">
        <v>185</v>
      </c>
      <c r="L53" s="126">
        <f>L19/M19</f>
        <v>8.1587899244973396</v>
      </c>
      <c r="M53" s="67"/>
      <c r="N53" s="67"/>
      <c r="O53" s="67"/>
      <c r="P53" s="67"/>
      <c r="Q53" s="67"/>
      <c r="R53" s="67"/>
      <c r="S53" s="67" t="s">
        <v>186</v>
      </c>
      <c r="U53" s="26"/>
      <c r="V53" s="26"/>
    </row>
    <row r="54" spans="1:22" x14ac:dyDescent="0.3">
      <c r="A54" s="20">
        <v>7.27</v>
      </c>
      <c r="B54" s="20">
        <v>10.43</v>
      </c>
      <c r="C54" s="20">
        <v>520</v>
      </c>
      <c r="D54" s="20">
        <v>5</v>
      </c>
      <c r="E54" s="17">
        <v>1</v>
      </c>
      <c r="K54" s="126" t="s">
        <v>187</v>
      </c>
      <c r="L54" s="126">
        <f>_xlfn.T.DIST.2T(L53,85)</f>
        <v>2.7115236611729622E-12</v>
      </c>
      <c r="M54" s="67"/>
      <c r="N54" s="67"/>
      <c r="O54" s="67"/>
      <c r="P54" s="67"/>
      <c r="Q54" s="67"/>
      <c r="R54" s="67"/>
      <c r="S54" s="67" t="s">
        <v>188</v>
      </c>
      <c r="U54" s="26"/>
      <c r="V54" s="26"/>
    </row>
    <row r="55" spans="1:22" x14ac:dyDescent="0.3">
      <c r="A55" s="20">
        <v>6.55</v>
      </c>
      <c r="B55" s="20">
        <v>11.1</v>
      </c>
      <c r="C55" s="20">
        <v>547</v>
      </c>
      <c r="D55" s="20">
        <v>8</v>
      </c>
      <c r="E55" s="17">
        <v>1</v>
      </c>
      <c r="K55" s="67"/>
      <c r="L55" s="126" t="s">
        <v>193</v>
      </c>
      <c r="M55" s="126"/>
      <c r="N55" s="126"/>
      <c r="O55" s="126"/>
      <c r="P55" s="126"/>
      <c r="Q55" s="126"/>
      <c r="R55" s="126"/>
      <c r="S55" s="67" t="s">
        <v>190</v>
      </c>
      <c r="U55" s="26"/>
      <c r="V55" s="26"/>
    </row>
    <row r="56" spans="1:22" x14ac:dyDescent="0.3">
      <c r="A56" s="20">
        <v>7.55</v>
      </c>
      <c r="B56" s="20">
        <v>10.050000000000001</v>
      </c>
      <c r="C56" s="20">
        <v>475</v>
      </c>
      <c r="D56" s="20">
        <v>7</v>
      </c>
      <c r="E56" s="17">
        <v>2</v>
      </c>
      <c r="K56" s="67"/>
      <c r="L56" s="126" t="s">
        <v>454</v>
      </c>
      <c r="M56" s="126"/>
      <c r="N56" s="126"/>
      <c r="O56" s="126"/>
      <c r="P56" s="126"/>
      <c r="Q56" s="126"/>
      <c r="R56" s="126"/>
      <c r="S56" s="67"/>
      <c r="U56" s="26"/>
      <c r="V56" s="26"/>
    </row>
    <row r="57" spans="1:22" x14ac:dyDescent="0.3">
      <c r="A57" s="20">
        <v>8.41</v>
      </c>
      <c r="B57" s="20">
        <v>10.62</v>
      </c>
      <c r="C57" s="20">
        <v>488</v>
      </c>
      <c r="D57" s="20">
        <v>9</v>
      </c>
      <c r="E57" s="17">
        <v>3</v>
      </c>
      <c r="K57" s="67"/>
      <c r="L57" s="126" t="s">
        <v>455</v>
      </c>
      <c r="M57" s="126"/>
      <c r="N57" s="126"/>
      <c r="O57" s="126"/>
      <c r="P57" s="126"/>
      <c r="Q57" s="126"/>
      <c r="R57" s="126"/>
      <c r="S57" s="67"/>
      <c r="U57" s="26"/>
      <c r="V57" s="26"/>
    </row>
    <row r="58" spans="1:22" x14ac:dyDescent="0.3">
      <c r="A58" s="20">
        <v>7.32</v>
      </c>
      <c r="B58" s="20">
        <v>9.25</v>
      </c>
      <c r="C58" s="20">
        <v>555</v>
      </c>
      <c r="D58" s="20">
        <v>8</v>
      </c>
      <c r="E58" s="17">
        <v>1</v>
      </c>
      <c r="V58" s="26"/>
    </row>
    <row r="59" spans="1:22" ht="15" x14ac:dyDescent="0.3">
      <c r="A59" s="20">
        <v>7.25</v>
      </c>
      <c r="B59" s="20">
        <v>9.1199999999999992</v>
      </c>
      <c r="C59" s="20">
        <v>578</v>
      </c>
      <c r="D59" s="20">
        <v>3</v>
      </c>
      <c r="E59" s="17">
        <v>3</v>
      </c>
      <c r="K59" s="67"/>
      <c r="L59" s="67" t="s">
        <v>176</v>
      </c>
      <c r="M59" s="67" t="s">
        <v>177</v>
      </c>
      <c r="N59" s="67" t="s">
        <v>178</v>
      </c>
      <c r="O59" s="67" t="s">
        <v>456</v>
      </c>
      <c r="P59" s="67"/>
      <c r="Q59" s="67"/>
      <c r="R59" s="67"/>
      <c r="S59" s="67"/>
      <c r="U59" s="45"/>
      <c r="V59" s="26"/>
    </row>
    <row r="60" spans="1:22" ht="15" x14ac:dyDescent="0.3">
      <c r="A60" s="20">
        <v>7.28</v>
      </c>
      <c r="B60" s="20">
        <v>10.65</v>
      </c>
      <c r="C60" s="20">
        <v>577</v>
      </c>
      <c r="D60" s="20">
        <v>7</v>
      </c>
      <c r="E60" s="17">
        <v>1</v>
      </c>
      <c r="K60" s="67"/>
      <c r="L60" s="67" t="s">
        <v>179</v>
      </c>
      <c r="M60" s="67" t="s">
        <v>180</v>
      </c>
      <c r="N60" s="67" t="s">
        <v>181</v>
      </c>
      <c r="O60" s="67" t="s">
        <v>457</v>
      </c>
      <c r="P60" s="67"/>
      <c r="Q60" s="67"/>
      <c r="R60" s="67"/>
      <c r="S60" s="67"/>
      <c r="U60" s="45"/>
      <c r="V60" s="26"/>
    </row>
    <row r="61" spans="1:22" x14ac:dyDescent="0.3">
      <c r="A61" s="20">
        <v>9.56</v>
      </c>
      <c r="B61" s="20">
        <v>9.92</v>
      </c>
      <c r="C61" s="20">
        <v>602</v>
      </c>
      <c r="D61" s="20">
        <v>7</v>
      </c>
      <c r="E61" s="17">
        <v>2</v>
      </c>
      <c r="K61" s="67"/>
      <c r="L61" s="67" t="s">
        <v>326</v>
      </c>
      <c r="M61" s="67"/>
      <c r="N61" s="67"/>
      <c r="O61" s="67"/>
      <c r="P61" s="67"/>
      <c r="Q61" s="67"/>
      <c r="R61" s="67"/>
      <c r="S61" s="67" t="s">
        <v>183</v>
      </c>
      <c r="U61" s="26"/>
      <c r="V61" s="26"/>
    </row>
    <row r="62" spans="1:22" x14ac:dyDescent="0.3">
      <c r="A62" s="20">
        <v>8.51</v>
      </c>
      <c r="B62" s="20">
        <v>10.34</v>
      </c>
      <c r="C62" s="20">
        <v>534</v>
      </c>
      <c r="D62" s="20">
        <v>11</v>
      </c>
      <c r="E62" s="17">
        <v>4</v>
      </c>
      <c r="K62" s="67"/>
      <c r="L62" s="67"/>
      <c r="M62" s="67"/>
      <c r="N62" s="67"/>
      <c r="O62" s="67"/>
      <c r="P62" s="67"/>
      <c r="Q62" s="67"/>
      <c r="R62" s="67"/>
      <c r="S62" s="67" t="s">
        <v>184</v>
      </c>
      <c r="U62" s="26"/>
      <c r="V62" s="26"/>
    </row>
    <row r="63" spans="1:22" x14ac:dyDescent="0.3">
      <c r="A63" s="20">
        <v>8.07</v>
      </c>
      <c r="B63" s="20">
        <v>10.199999999999999</v>
      </c>
      <c r="C63" s="20">
        <v>603</v>
      </c>
      <c r="D63" s="20">
        <v>9</v>
      </c>
      <c r="E63" s="17">
        <v>3</v>
      </c>
      <c r="K63" s="126" t="s">
        <v>185</v>
      </c>
      <c r="L63" s="126">
        <f>L20/M20</f>
        <v>2.99575673733229</v>
      </c>
      <c r="M63" s="67"/>
      <c r="N63" s="67"/>
      <c r="O63" s="67"/>
      <c r="P63" s="67"/>
      <c r="Q63" s="67"/>
      <c r="R63" s="67"/>
      <c r="S63" s="67" t="s">
        <v>186</v>
      </c>
      <c r="U63" s="26"/>
      <c r="V63" s="26"/>
    </row>
    <row r="64" spans="1:22" x14ac:dyDescent="0.3">
      <c r="A64" s="20">
        <v>7.93</v>
      </c>
      <c r="B64" s="20">
        <v>10.5</v>
      </c>
      <c r="C64" s="20">
        <v>550</v>
      </c>
      <c r="D64" s="20">
        <v>11</v>
      </c>
      <c r="E64" s="17">
        <v>4</v>
      </c>
      <c r="K64" s="126" t="s">
        <v>187</v>
      </c>
      <c r="L64" s="126">
        <f>_xlfn.T.DIST.2T(L63,85)</f>
        <v>3.5866324078121328E-3</v>
      </c>
      <c r="M64" s="67"/>
      <c r="N64" s="67"/>
      <c r="O64" s="67"/>
      <c r="P64" s="67"/>
      <c r="Q64" s="67"/>
      <c r="R64" s="67"/>
      <c r="S64" s="67" t="s">
        <v>188</v>
      </c>
      <c r="U64" s="26"/>
      <c r="V64" s="26"/>
    </row>
    <row r="65" spans="1:22" x14ac:dyDescent="0.3">
      <c r="A65" s="20">
        <v>6.22</v>
      </c>
      <c r="B65" s="20">
        <v>9.7799999999999994</v>
      </c>
      <c r="C65" s="20">
        <v>515</v>
      </c>
      <c r="D65" s="20">
        <v>6</v>
      </c>
      <c r="E65" s="17">
        <v>4</v>
      </c>
      <c r="K65" s="67"/>
      <c r="L65" s="126" t="s">
        <v>193</v>
      </c>
      <c r="M65" s="126"/>
      <c r="N65" s="126"/>
      <c r="O65" s="126"/>
      <c r="P65" s="126"/>
      <c r="Q65" s="126"/>
      <c r="R65" s="126"/>
      <c r="S65" s="67" t="s">
        <v>190</v>
      </c>
      <c r="U65" s="26"/>
      <c r="V65" s="26"/>
    </row>
    <row r="66" spans="1:22" x14ac:dyDescent="0.3">
      <c r="A66" s="20">
        <v>10.039999999999999</v>
      </c>
      <c r="B66" s="20">
        <v>10.93</v>
      </c>
      <c r="C66" s="20">
        <v>631</v>
      </c>
      <c r="D66" s="20">
        <v>5</v>
      </c>
      <c r="E66" s="17">
        <v>4</v>
      </c>
      <c r="K66" s="67"/>
      <c r="L66" s="126" t="s">
        <v>458</v>
      </c>
      <c r="M66" s="126"/>
      <c r="N66" s="126"/>
      <c r="O66" s="126"/>
      <c r="P66" s="126"/>
      <c r="Q66" s="126"/>
      <c r="R66" s="126"/>
      <c r="S66" s="67"/>
      <c r="U66" s="26"/>
      <c r="V66" s="26"/>
    </row>
    <row r="67" spans="1:22" x14ac:dyDescent="0.3">
      <c r="A67" s="20">
        <v>6.72</v>
      </c>
      <c r="B67" s="20">
        <v>9.98</v>
      </c>
      <c r="C67" s="20">
        <v>547</v>
      </c>
      <c r="D67" s="20">
        <v>3</v>
      </c>
      <c r="E67" s="17">
        <v>1</v>
      </c>
      <c r="K67" s="67"/>
      <c r="L67" s="126" t="s">
        <v>459</v>
      </c>
      <c r="M67" s="126"/>
      <c r="N67" s="126"/>
      <c r="O67" s="126"/>
      <c r="P67" s="126"/>
      <c r="Q67" s="126"/>
      <c r="R67" s="126"/>
      <c r="S67" s="67"/>
      <c r="U67" s="26"/>
    </row>
    <row r="68" spans="1:22" x14ac:dyDescent="0.3">
      <c r="A68" s="20">
        <v>6.01</v>
      </c>
      <c r="B68" s="20">
        <v>11.38</v>
      </c>
      <c r="C68" s="20">
        <v>537</v>
      </c>
      <c r="D68" s="20">
        <v>3</v>
      </c>
      <c r="E68" s="17">
        <v>3</v>
      </c>
    </row>
    <row r="69" spans="1:22" x14ac:dyDescent="0.3">
      <c r="A69" s="20">
        <v>8.44</v>
      </c>
      <c r="B69" s="20">
        <v>10.220000000000001</v>
      </c>
      <c r="C69" s="20">
        <v>579</v>
      </c>
      <c r="D69" s="20">
        <v>3</v>
      </c>
      <c r="E69" s="17">
        <v>3</v>
      </c>
    </row>
    <row r="70" spans="1:22" x14ac:dyDescent="0.3">
      <c r="A70" s="20">
        <v>6.83</v>
      </c>
      <c r="B70" s="20">
        <v>10.01</v>
      </c>
      <c r="C70" s="20">
        <v>507</v>
      </c>
      <c r="D70" s="20">
        <v>5</v>
      </c>
      <c r="E70" s="17">
        <v>2</v>
      </c>
    </row>
    <row r="71" spans="1:22" x14ac:dyDescent="0.3">
      <c r="A71" s="20">
        <v>7.9</v>
      </c>
      <c r="B71" s="20">
        <v>10.92</v>
      </c>
      <c r="C71" s="20">
        <v>565</v>
      </c>
      <c r="D71" s="20">
        <v>4</v>
      </c>
      <c r="E71" s="17">
        <v>4</v>
      </c>
    </row>
    <row r="72" spans="1:22" x14ac:dyDescent="0.3">
      <c r="A72" s="20">
        <v>9.09</v>
      </c>
      <c r="B72" s="20">
        <v>10.65</v>
      </c>
      <c r="C72" s="20">
        <v>683</v>
      </c>
      <c r="D72" s="20">
        <v>5</v>
      </c>
      <c r="E72" s="17">
        <v>3</v>
      </c>
    </row>
    <row r="73" spans="1:22" x14ac:dyDescent="0.3">
      <c r="A73" s="20">
        <v>7.56</v>
      </c>
      <c r="B73" s="20">
        <v>11.01</v>
      </c>
      <c r="C73" s="20">
        <v>489</v>
      </c>
      <c r="D73" s="20">
        <v>12</v>
      </c>
      <c r="E73" s="17">
        <v>4</v>
      </c>
    </row>
    <row r="74" spans="1:22" x14ac:dyDescent="0.3">
      <c r="A74" s="20">
        <v>7.74</v>
      </c>
      <c r="B74" s="20">
        <v>9.4700000000000006</v>
      </c>
      <c r="C74" s="20">
        <v>565</v>
      </c>
      <c r="D74" s="20">
        <v>5</v>
      </c>
      <c r="E74" s="17">
        <v>4</v>
      </c>
    </row>
    <row r="75" spans="1:22" x14ac:dyDescent="0.3">
      <c r="A75" s="20">
        <v>8.58</v>
      </c>
      <c r="B75" s="20">
        <v>9.41</v>
      </c>
      <c r="C75" s="20">
        <v>598</v>
      </c>
      <c r="D75" s="20">
        <v>7</v>
      </c>
      <c r="E75" s="17">
        <v>4</v>
      </c>
    </row>
    <row r="76" spans="1:22" x14ac:dyDescent="0.3">
      <c r="A76" s="20">
        <v>10.58</v>
      </c>
      <c r="B76" s="20">
        <v>9.43</v>
      </c>
      <c r="C76" s="20">
        <v>651</v>
      </c>
      <c r="D76" s="20">
        <v>11</v>
      </c>
      <c r="E76" s="17">
        <v>4</v>
      </c>
    </row>
    <row r="77" spans="1:22" x14ac:dyDescent="0.3">
      <c r="A77" s="20">
        <v>10.36</v>
      </c>
      <c r="B77" s="20">
        <v>10.43</v>
      </c>
      <c r="C77" s="20">
        <v>658</v>
      </c>
      <c r="D77" s="20">
        <v>4</v>
      </c>
      <c r="E77" s="17">
        <v>4</v>
      </c>
    </row>
    <row r="78" spans="1:22" x14ac:dyDescent="0.3">
      <c r="A78" s="20">
        <v>7.44</v>
      </c>
      <c r="B78" s="20">
        <v>10.57</v>
      </c>
      <c r="C78" s="20">
        <v>479</v>
      </c>
      <c r="D78" s="20">
        <v>4</v>
      </c>
      <c r="E78" s="17">
        <v>2</v>
      </c>
    </row>
    <row r="79" spans="1:22" x14ac:dyDescent="0.3">
      <c r="A79" s="20">
        <v>8.27</v>
      </c>
      <c r="B79" s="20">
        <v>9.19</v>
      </c>
      <c r="C79" s="20">
        <v>630</v>
      </c>
      <c r="D79" s="20">
        <v>6</v>
      </c>
      <c r="E79" s="17">
        <v>3</v>
      </c>
    </row>
    <row r="80" spans="1:22" x14ac:dyDescent="0.3">
      <c r="A80" s="20">
        <v>6.88</v>
      </c>
      <c r="B80" s="20">
        <v>11</v>
      </c>
      <c r="C80" s="20">
        <v>610</v>
      </c>
      <c r="D80" s="20">
        <v>3</v>
      </c>
      <c r="E80" s="17">
        <v>3</v>
      </c>
    </row>
    <row r="81" spans="1:5" x14ac:dyDescent="0.3">
      <c r="A81" s="20">
        <v>9.08</v>
      </c>
      <c r="B81" s="20">
        <v>9.17</v>
      </c>
      <c r="C81" s="20">
        <v>576</v>
      </c>
      <c r="D81" s="20">
        <v>5</v>
      </c>
      <c r="E81" s="17">
        <v>3</v>
      </c>
    </row>
    <row r="82" spans="1:5" x14ac:dyDescent="0.3">
      <c r="A82" s="20">
        <v>6.33</v>
      </c>
      <c r="B82" s="20">
        <v>9.4</v>
      </c>
      <c r="C82" s="20">
        <v>518</v>
      </c>
      <c r="D82" s="20">
        <v>8</v>
      </c>
      <c r="E82" s="17">
        <v>4</v>
      </c>
    </row>
    <row r="83" spans="1:5" x14ac:dyDescent="0.3">
      <c r="A83" s="20">
        <v>8.35</v>
      </c>
      <c r="B83" s="20">
        <v>8.85</v>
      </c>
      <c r="C83" s="20">
        <v>587</v>
      </c>
      <c r="D83" s="20">
        <v>4</v>
      </c>
      <c r="E83" s="17">
        <v>1</v>
      </c>
    </row>
    <row r="84" spans="1:5" x14ac:dyDescent="0.3">
      <c r="A84" s="20">
        <v>8.34</v>
      </c>
      <c r="B84" s="20">
        <v>9.99</v>
      </c>
      <c r="C84" s="20">
        <v>627</v>
      </c>
      <c r="D84" s="20">
        <v>3</v>
      </c>
      <c r="E84" s="17">
        <v>4</v>
      </c>
    </row>
    <row r="85" spans="1:5" x14ac:dyDescent="0.3">
      <c r="A85" s="20">
        <v>8.33</v>
      </c>
      <c r="B85" s="20">
        <v>10.43</v>
      </c>
      <c r="C85" s="20">
        <v>518</v>
      </c>
      <c r="D85" s="20">
        <v>6</v>
      </c>
      <c r="E85" s="17">
        <v>2</v>
      </c>
    </row>
    <row r="86" spans="1:5" x14ac:dyDescent="0.3">
      <c r="A86" s="20">
        <v>7.31</v>
      </c>
      <c r="B86" s="20">
        <v>9.8800000000000008</v>
      </c>
      <c r="C86" s="20">
        <v>556</v>
      </c>
      <c r="D86" s="20">
        <v>10</v>
      </c>
      <c r="E86" s="17">
        <v>1</v>
      </c>
    </row>
    <row r="87" spans="1:5" x14ac:dyDescent="0.3">
      <c r="A87" s="20">
        <v>8.6</v>
      </c>
      <c r="B87" s="20">
        <v>10.3</v>
      </c>
      <c r="C87" s="20">
        <v>625</v>
      </c>
      <c r="D87" s="20">
        <v>3</v>
      </c>
      <c r="E87" s="17">
        <v>4</v>
      </c>
    </row>
    <row r="88" spans="1:5" x14ac:dyDescent="0.3">
      <c r="A88" s="20">
        <v>8.09</v>
      </c>
      <c r="B88" s="20">
        <v>10.53</v>
      </c>
      <c r="C88" s="20">
        <v>547</v>
      </c>
      <c r="D88" s="20">
        <v>7</v>
      </c>
      <c r="E88" s="17">
        <v>3</v>
      </c>
    </row>
    <row r="89" spans="1:5" x14ac:dyDescent="0.3">
      <c r="A89" s="20">
        <v>6.72</v>
      </c>
      <c r="B89" s="20">
        <v>10.02</v>
      </c>
      <c r="C89" s="20">
        <v>556</v>
      </c>
      <c r="D89" s="20">
        <v>4</v>
      </c>
      <c r="E89" s="17">
        <v>4</v>
      </c>
    </row>
    <row r="90" spans="1:5" x14ac:dyDescent="0.3">
      <c r="A90" s="20">
        <v>7.67</v>
      </c>
      <c r="B90" s="20">
        <v>10.1</v>
      </c>
      <c r="C90" s="20">
        <v>632</v>
      </c>
      <c r="D90" s="20">
        <v>5</v>
      </c>
      <c r="E90" s="17">
        <v>4</v>
      </c>
    </row>
    <row r="91" spans="1:5" x14ac:dyDescent="0.3">
      <c r="A91" s="20">
        <v>9.24</v>
      </c>
      <c r="B91" s="20">
        <v>11.28</v>
      </c>
      <c r="C91" s="20">
        <v>592</v>
      </c>
      <c r="D91" s="20">
        <v>6</v>
      </c>
      <c r="E91" s="17">
        <v>2</v>
      </c>
    </row>
    <row r="92" spans="1:5" x14ac:dyDescent="0.3">
      <c r="A92" s="20">
        <v>7.38</v>
      </c>
      <c r="B92" s="20">
        <v>10.029999999999999</v>
      </c>
      <c r="C92" s="20">
        <v>559</v>
      </c>
      <c r="D92" s="20">
        <v>6</v>
      </c>
      <c r="E92" s="17">
        <v>3</v>
      </c>
    </row>
    <row r="93" spans="1:5" x14ac:dyDescent="0.3">
      <c r="A93" s="20">
        <v>9.3800000000000008</v>
      </c>
      <c r="B93" s="20">
        <v>9.3699999999999992</v>
      </c>
      <c r="C93" s="20">
        <v>657</v>
      </c>
      <c r="D93" s="20">
        <v>7</v>
      </c>
      <c r="E93" s="17">
        <v>3</v>
      </c>
    </row>
    <row r="94" spans="1:5" x14ac:dyDescent="0.3">
      <c r="A94" s="20">
        <v>6.66</v>
      </c>
      <c r="B94" s="20">
        <v>10.52</v>
      </c>
      <c r="C94" s="20">
        <v>444</v>
      </c>
      <c r="D94" s="20">
        <v>5</v>
      </c>
      <c r="E94" s="17">
        <v>2</v>
      </c>
    </row>
    <row r="95" spans="1:5" x14ac:dyDescent="0.3">
      <c r="A95" s="20">
        <v>7.43</v>
      </c>
      <c r="B95" s="20">
        <v>10.42</v>
      </c>
      <c r="C95" s="20">
        <v>499</v>
      </c>
      <c r="D95" s="20">
        <v>4</v>
      </c>
      <c r="E95" s="17">
        <v>2</v>
      </c>
    </row>
    <row r="96" spans="1:5" x14ac:dyDescent="0.3">
      <c r="A96" s="20">
        <v>7.84</v>
      </c>
      <c r="B96" s="20">
        <v>10.15</v>
      </c>
      <c r="C96" s="20">
        <v>596</v>
      </c>
      <c r="D96" s="20">
        <v>3</v>
      </c>
      <c r="E96" s="17">
        <v>1</v>
      </c>
    </row>
    <row r="97" spans="1:5" x14ac:dyDescent="0.3">
      <c r="A97" s="20">
        <v>7.71</v>
      </c>
      <c r="B97" s="20">
        <v>9.76</v>
      </c>
      <c r="C97" s="20">
        <v>485</v>
      </c>
      <c r="D97" s="20">
        <v>12</v>
      </c>
      <c r="E97" s="17">
        <v>4</v>
      </c>
    </row>
    <row r="98" spans="1:5" x14ac:dyDescent="0.3">
      <c r="A98" s="20">
        <v>8.08</v>
      </c>
      <c r="B98" s="20">
        <v>11.5</v>
      </c>
      <c r="C98" s="20">
        <v>553</v>
      </c>
      <c r="D98" s="20">
        <v>6</v>
      </c>
      <c r="E98" s="17">
        <v>3</v>
      </c>
    </row>
    <row r="99" spans="1:5" x14ac:dyDescent="0.3">
      <c r="A99" s="20">
        <v>7.27</v>
      </c>
      <c r="B99" s="20">
        <v>8.89</v>
      </c>
      <c r="C99" s="20">
        <v>570</v>
      </c>
      <c r="D99" s="20">
        <v>9</v>
      </c>
      <c r="E99" s="17">
        <v>3</v>
      </c>
    </row>
    <row r="100" spans="1:5" x14ac:dyDescent="0.3">
      <c r="A100" s="20">
        <v>7.35</v>
      </c>
      <c r="B100" s="20">
        <v>9.16</v>
      </c>
      <c r="C100" s="20">
        <v>555</v>
      </c>
      <c r="D100" s="20">
        <v>5</v>
      </c>
      <c r="E100" s="17">
        <v>4</v>
      </c>
    </row>
    <row r="101" spans="1:5" x14ac:dyDescent="0.3">
      <c r="A101" s="20">
        <v>10.37</v>
      </c>
      <c r="B101" s="20">
        <v>11.77</v>
      </c>
      <c r="C101" s="20">
        <v>647</v>
      </c>
      <c r="D101" s="20">
        <v>10</v>
      </c>
      <c r="E101" s="17">
        <v>2</v>
      </c>
    </row>
    <row r="102" spans="1:5" x14ac:dyDescent="0.3">
      <c r="A102" s="20">
        <v>8.56</v>
      </c>
      <c r="B102" s="20">
        <v>9.67</v>
      </c>
      <c r="C102" s="20">
        <v>561</v>
      </c>
      <c r="D102" s="20">
        <v>7</v>
      </c>
      <c r="E102" s="17">
        <v>4</v>
      </c>
    </row>
    <row r="103" spans="1:5" x14ac:dyDescent="0.3">
      <c r="A103" s="20">
        <v>8.3699999999999992</v>
      </c>
      <c r="B103" s="20">
        <v>9.51</v>
      </c>
      <c r="C103" s="20">
        <v>679</v>
      </c>
      <c r="D103" s="20">
        <v>6</v>
      </c>
      <c r="E103" s="17">
        <v>1</v>
      </c>
    </row>
    <row r="104" spans="1:5" x14ac:dyDescent="0.3">
      <c r="A104" s="20">
        <v>8.6</v>
      </c>
      <c r="B104" s="20">
        <v>10.73</v>
      </c>
      <c r="C104" s="20">
        <v>635</v>
      </c>
      <c r="D104" s="20">
        <v>10</v>
      </c>
      <c r="E104" s="17">
        <v>4</v>
      </c>
    </row>
    <row r="105" spans="1:5" x14ac:dyDescent="0.3">
      <c r="A105" s="20">
        <v>8.85</v>
      </c>
      <c r="B105" s="20">
        <v>10.19</v>
      </c>
      <c r="C105" s="20">
        <v>620</v>
      </c>
      <c r="D105" s="20">
        <v>10</v>
      </c>
      <c r="E105" s="17">
        <v>4</v>
      </c>
    </row>
    <row r="106" spans="1:5" x14ac:dyDescent="0.3">
      <c r="A106" s="20">
        <v>9.4</v>
      </c>
      <c r="B106" s="20">
        <v>10.92</v>
      </c>
      <c r="C106" s="20">
        <v>627</v>
      </c>
      <c r="D106" s="20">
        <v>9</v>
      </c>
      <c r="E106" s="17">
        <v>1</v>
      </c>
    </row>
    <row r="107" spans="1:5" x14ac:dyDescent="0.3">
      <c r="A107" s="20">
        <v>8.8699999999999992</v>
      </c>
      <c r="B107" s="20">
        <v>9.16</v>
      </c>
      <c r="C107" s="20">
        <v>607</v>
      </c>
      <c r="D107" s="20">
        <v>3</v>
      </c>
      <c r="E107" s="17">
        <v>3</v>
      </c>
    </row>
    <row r="108" spans="1:5" x14ac:dyDescent="0.3">
      <c r="A108" s="20">
        <v>9.51</v>
      </c>
      <c r="B108" s="20">
        <v>10.06</v>
      </c>
      <c r="C108" s="20">
        <v>648</v>
      </c>
      <c r="D108" s="20">
        <v>12</v>
      </c>
      <c r="E108" s="17">
        <v>4</v>
      </c>
    </row>
    <row r="109" spans="1:5" x14ac:dyDescent="0.3">
      <c r="A109" s="20">
        <v>6.4</v>
      </c>
      <c r="B109" s="20">
        <v>8.81</v>
      </c>
      <c r="C109" s="20">
        <v>504</v>
      </c>
      <c r="D109" s="20">
        <v>5</v>
      </c>
      <c r="E109" s="17">
        <v>3</v>
      </c>
    </row>
    <row r="110" spans="1:5" x14ac:dyDescent="0.3">
      <c r="A110" s="20">
        <v>7.92</v>
      </c>
      <c r="B110" s="20">
        <v>10.18</v>
      </c>
      <c r="C110" s="20">
        <v>464</v>
      </c>
      <c r="D110" s="20">
        <v>3</v>
      </c>
      <c r="E110" s="17">
        <v>2</v>
      </c>
    </row>
    <row r="111" spans="1:5" x14ac:dyDescent="0.3">
      <c r="A111" s="20">
        <v>7.81</v>
      </c>
      <c r="B111" s="20">
        <v>11.37</v>
      </c>
      <c r="C111" s="20">
        <v>587</v>
      </c>
      <c r="D111" s="20">
        <v>4</v>
      </c>
      <c r="E111" s="17">
        <v>1</v>
      </c>
    </row>
    <row r="112" spans="1:5" x14ac:dyDescent="0.3">
      <c r="A112" s="20">
        <v>8.7899999999999991</v>
      </c>
      <c r="B112" s="20">
        <v>9.4600000000000009</v>
      </c>
      <c r="C112" s="20">
        <v>529</v>
      </c>
      <c r="D112" s="20">
        <v>11</v>
      </c>
      <c r="E112" s="17">
        <v>4</v>
      </c>
    </row>
    <row r="113" spans="1:5" x14ac:dyDescent="0.3">
      <c r="A113" s="20">
        <v>11.04</v>
      </c>
      <c r="B113" s="20">
        <v>10.199999999999999</v>
      </c>
      <c r="C113" s="20">
        <v>716</v>
      </c>
      <c r="D113" s="20">
        <v>9</v>
      </c>
      <c r="E113" s="17">
        <v>2</v>
      </c>
    </row>
    <row r="114" spans="1:5" x14ac:dyDescent="0.3">
      <c r="A114" s="20">
        <v>9.32</v>
      </c>
      <c r="B114" s="20">
        <v>9.51</v>
      </c>
      <c r="C114" s="20">
        <v>658</v>
      </c>
      <c r="D114" s="20">
        <v>4</v>
      </c>
      <c r="E114" s="17">
        <v>3</v>
      </c>
    </row>
    <row r="115" spans="1:5" x14ac:dyDescent="0.3">
      <c r="A115" s="20">
        <v>8.17</v>
      </c>
      <c r="B115" s="20">
        <v>10.97</v>
      </c>
      <c r="C115" s="20">
        <v>587</v>
      </c>
      <c r="D115" s="20">
        <v>3</v>
      </c>
      <c r="E115" s="17">
        <v>2</v>
      </c>
    </row>
    <row r="116" spans="1:5" x14ac:dyDescent="0.3">
      <c r="A116" s="20">
        <v>7.93</v>
      </c>
      <c r="B116" s="20">
        <v>9.52</v>
      </c>
      <c r="C116" s="20">
        <v>525</v>
      </c>
      <c r="D116" s="20">
        <v>7</v>
      </c>
      <c r="E116" s="17">
        <v>1</v>
      </c>
    </row>
    <row r="117" spans="1:5" x14ac:dyDescent="0.3">
      <c r="A117" s="20">
        <v>7.72</v>
      </c>
      <c r="B117" s="20">
        <v>8.52</v>
      </c>
      <c r="C117" s="20">
        <v>618</v>
      </c>
      <c r="D117" s="20">
        <v>5</v>
      </c>
      <c r="E117" s="17">
        <v>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E26F2-AFF3-4638-B1F7-D1ED7B1B1225}">
  <dimension ref="A1:X97"/>
  <sheetViews>
    <sheetView topLeftCell="A43" workbookViewId="0">
      <selection activeCell="H11" sqref="H11"/>
    </sheetView>
  </sheetViews>
  <sheetFormatPr defaultRowHeight="14.4" x14ac:dyDescent="0.3"/>
  <cols>
    <col min="1" max="1" width="10" customWidth="1"/>
    <col min="2" max="2" width="11.33203125" customWidth="1"/>
    <col min="10" max="10" width="18" customWidth="1"/>
    <col min="11" max="11" width="11.44140625" customWidth="1"/>
  </cols>
  <sheetData>
    <row r="1" spans="1:21" ht="21" x14ac:dyDescent="0.4">
      <c r="A1" s="21" t="s">
        <v>57</v>
      </c>
      <c r="B1" s="22"/>
      <c r="C1" s="22"/>
      <c r="D1" s="22"/>
      <c r="E1" s="22"/>
      <c r="F1" s="22"/>
      <c r="G1" s="22"/>
      <c r="H1" s="22"/>
      <c r="I1" s="22"/>
      <c r="J1" s="22"/>
    </row>
    <row r="2" spans="1:21" ht="21" x14ac:dyDescent="0.4">
      <c r="A2" s="21" t="s">
        <v>58</v>
      </c>
      <c r="B2" s="22"/>
      <c r="C2" s="22"/>
      <c r="D2" s="22"/>
      <c r="E2" s="22"/>
      <c r="F2" s="22"/>
      <c r="G2" s="22"/>
      <c r="H2" s="22"/>
      <c r="I2" s="22"/>
      <c r="J2" s="22"/>
      <c r="P2" t="s">
        <v>146</v>
      </c>
    </row>
    <row r="3" spans="1:21" ht="21.6" thickBot="1" x14ac:dyDescent="0.45">
      <c r="A3" s="21" t="s">
        <v>59</v>
      </c>
      <c r="B3" s="22"/>
      <c r="C3" s="22"/>
      <c r="D3" s="22"/>
      <c r="E3" s="22"/>
      <c r="F3" s="22"/>
      <c r="G3" s="22"/>
      <c r="H3" s="22"/>
      <c r="I3" s="22"/>
      <c r="J3" s="22"/>
    </row>
    <row r="4" spans="1:21" ht="21" x14ac:dyDescent="0.4">
      <c r="A4" s="21" t="s">
        <v>60</v>
      </c>
      <c r="B4" s="22"/>
      <c r="C4" s="22"/>
      <c r="D4" s="22"/>
      <c r="E4" s="22"/>
      <c r="F4" s="22"/>
      <c r="G4" s="22"/>
      <c r="H4" s="22"/>
      <c r="I4" s="22"/>
      <c r="J4" s="22"/>
      <c r="P4" s="41" t="s">
        <v>147</v>
      </c>
      <c r="Q4" s="41"/>
    </row>
    <row r="5" spans="1:21" ht="21" x14ac:dyDescent="0.4">
      <c r="A5" s="21" t="s">
        <v>61</v>
      </c>
      <c r="B5" s="22"/>
      <c r="C5" s="22"/>
      <c r="D5" s="22"/>
      <c r="E5" s="22"/>
      <c r="F5" s="22"/>
      <c r="G5" s="22"/>
      <c r="H5" s="22"/>
      <c r="I5" s="22"/>
      <c r="J5" s="22"/>
      <c r="P5" s="93" t="s">
        <v>148</v>
      </c>
      <c r="Q5" s="93">
        <v>0.34091396385909484</v>
      </c>
    </row>
    <row r="6" spans="1:21" ht="21" x14ac:dyDescent="0.4">
      <c r="A6" s="21" t="s">
        <v>62</v>
      </c>
      <c r="B6" s="22"/>
      <c r="C6" s="22"/>
      <c r="D6" s="22"/>
      <c r="E6" s="22"/>
      <c r="F6" s="22"/>
      <c r="G6" s="22"/>
      <c r="H6" s="22"/>
      <c r="I6" s="22"/>
      <c r="J6" s="22"/>
      <c r="P6" s="118" t="s">
        <v>149</v>
      </c>
      <c r="Q6" s="118">
        <v>0.11622233075412022</v>
      </c>
    </row>
    <row r="7" spans="1:21" ht="21" x14ac:dyDescent="0.4">
      <c r="A7" s="21" t="s">
        <v>63</v>
      </c>
      <c r="B7" s="22"/>
      <c r="C7" s="22"/>
      <c r="D7" s="22"/>
      <c r="E7" s="22"/>
      <c r="F7" s="22"/>
      <c r="G7" s="22"/>
      <c r="H7" s="22"/>
      <c r="I7" s="22"/>
      <c r="J7" s="22"/>
      <c r="P7" s="38" t="s">
        <v>150</v>
      </c>
      <c r="Q7" s="38">
        <v>6.0986226426252732E-2</v>
      </c>
    </row>
    <row r="8" spans="1:21" x14ac:dyDescent="0.3">
      <c r="P8" s="38" t="s">
        <v>151</v>
      </c>
      <c r="Q8" s="38">
        <v>0.76720905673997231</v>
      </c>
    </row>
    <row r="9" spans="1:21" ht="15" thickBot="1" x14ac:dyDescent="0.35">
      <c r="A9" s="133" t="s">
        <v>64</v>
      </c>
      <c r="B9" s="133" t="s">
        <v>65</v>
      </c>
      <c r="C9" s="116"/>
      <c r="D9" s="116"/>
      <c r="E9" s="116"/>
      <c r="F9" s="116"/>
      <c r="G9" s="116"/>
      <c r="J9" t="s">
        <v>171</v>
      </c>
      <c r="K9">
        <f>COUNT(F11:F28)</f>
        <v>18</v>
      </c>
      <c r="P9" s="39" t="s">
        <v>152</v>
      </c>
      <c r="Q9" s="39">
        <v>18</v>
      </c>
    </row>
    <row r="10" spans="1:21" x14ac:dyDescent="0.3">
      <c r="A10" s="133" t="s">
        <v>66</v>
      </c>
      <c r="B10" s="133" t="s">
        <v>67</v>
      </c>
      <c r="C10" s="134" t="s">
        <v>460</v>
      </c>
      <c r="D10" s="134" t="s">
        <v>461</v>
      </c>
      <c r="E10" s="134" t="s">
        <v>462</v>
      </c>
      <c r="F10" s="134" t="s">
        <v>463</v>
      </c>
      <c r="G10" s="135" t="s">
        <v>464</v>
      </c>
      <c r="I10" s="67"/>
      <c r="J10" s="67" t="s">
        <v>263</v>
      </c>
      <c r="K10" s="67">
        <f>A29</f>
        <v>2.4583333333333335</v>
      </c>
      <c r="L10" s="67"/>
      <c r="M10" s="67"/>
      <c r="N10" s="67"/>
      <c r="O10" s="67"/>
    </row>
    <row r="11" spans="1:21" ht="15" thickBot="1" x14ac:dyDescent="0.35">
      <c r="A11" s="136">
        <v>4.5</v>
      </c>
      <c r="B11" s="136">
        <v>800</v>
      </c>
      <c r="C11" s="116">
        <f>A11-$A$29</f>
        <v>2.0416666666666665</v>
      </c>
      <c r="D11" s="116">
        <f>B11-$B$29</f>
        <v>-137.5</v>
      </c>
      <c r="E11" s="116">
        <f>C11*D11</f>
        <v>-280.72916666666663</v>
      </c>
      <c r="F11" s="116">
        <f>C11^2</f>
        <v>4.1684027777777768</v>
      </c>
      <c r="G11" s="116">
        <f>D11^2</f>
        <v>18906.25</v>
      </c>
      <c r="I11" s="67"/>
      <c r="J11" s="67" t="s">
        <v>465</v>
      </c>
      <c r="K11" s="67">
        <f>B29</f>
        <v>937.5</v>
      </c>
      <c r="L11" s="67"/>
      <c r="M11" s="67"/>
      <c r="N11" s="67"/>
      <c r="O11" s="67"/>
      <c r="P11" t="s">
        <v>153</v>
      </c>
    </row>
    <row r="12" spans="1:21" x14ac:dyDescent="0.3">
      <c r="A12" s="136">
        <v>4</v>
      </c>
      <c r="B12" s="136">
        <v>1500</v>
      </c>
      <c r="C12" s="116">
        <f t="shared" ref="C12:C28" si="0">A12-$A$29</f>
        <v>1.5416666666666665</v>
      </c>
      <c r="D12" s="116">
        <f t="shared" ref="D12:D28" si="1">B12-$B$29</f>
        <v>562.5</v>
      </c>
      <c r="E12" s="116">
        <f t="shared" ref="E12:E28" si="2">C12*D12</f>
        <v>867.18749999999989</v>
      </c>
      <c r="F12" s="116">
        <f t="shared" ref="F12:F28" si="3">C12^2</f>
        <v>2.3767361111111107</v>
      </c>
      <c r="G12" s="116">
        <f t="shared" ref="G12:G28" si="4">D12^2</f>
        <v>316406.25</v>
      </c>
      <c r="I12" s="67"/>
      <c r="J12" s="91" t="s">
        <v>466</v>
      </c>
      <c r="K12" s="67">
        <f>SUM(E11:E28)/17</f>
        <v>73.345588235294102</v>
      </c>
      <c r="L12" s="67"/>
      <c r="M12" s="67"/>
      <c r="N12" s="67"/>
      <c r="O12" s="67"/>
      <c r="P12" s="40"/>
      <c r="Q12" s="40" t="s">
        <v>158</v>
      </c>
      <c r="R12" s="40" t="s">
        <v>159</v>
      </c>
      <c r="S12" s="40" t="s">
        <v>160</v>
      </c>
      <c r="T12" s="40" t="s">
        <v>161</v>
      </c>
      <c r="U12" s="40" t="s">
        <v>162</v>
      </c>
    </row>
    <row r="13" spans="1:21" x14ac:dyDescent="0.3">
      <c r="A13" s="136">
        <v>3</v>
      </c>
      <c r="B13" s="136">
        <v>1300</v>
      </c>
      <c r="C13" s="116">
        <f t="shared" si="0"/>
        <v>0.54166666666666652</v>
      </c>
      <c r="D13" s="116">
        <f t="shared" si="1"/>
        <v>362.5</v>
      </c>
      <c r="E13" s="116">
        <f t="shared" si="2"/>
        <v>196.3541666666666</v>
      </c>
      <c r="F13" s="116">
        <f t="shared" si="3"/>
        <v>0.29340277777777762</v>
      </c>
      <c r="G13" s="116">
        <f t="shared" si="4"/>
        <v>131406.25</v>
      </c>
      <c r="I13" s="67"/>
      <c r="J13" s="91" t="s">
        <v>467</v>
      </c>
      <c r="K13" s="67">
        <f>SUM(F11:F28)/17</f>
        <v>0.62683823529411786</v>
      </c>
      <c r="L13" s="67"/>
      <c r="M13" s="67"/>
      <c r="N13" s="67"/>
      <c r="O13" s="67"/>
      <c r="P13" s="38" t="s">
        <v>154</v>
      </c>
      <c r="Q13" s="38">
        <v>1</v>
      </c>
      <c r="R13" s="38">
        <v>1.238494212098594</v>
      </c>
      <c r="S13" s="38">
        <v>1.238494212098594</v>
      </c>
      <c r="T13" s="38">
        <v>2.1041007900241113</v>
      </c>
      <c r="U13" s="38">
        <v>0.16622646220014917</v>
      </c>
    </row>
    <row r="14" spans="1:21" x14ac:dyDescent="0.3">
      <c r="A14" s="136">
        <v>2</v>
      </c>
      <c r="B14" s="136">
        <v>1550</v>
      </c>
      <c r="C14" s="116">
        <f t="shared" si="0"/>
        <v>-0.45833333333333348</v>
      </c>
      <c r="D14" s="116">
        <f t="shared" si="1"/>
        <v>612.5</v>
      </c>
      <c r="E14" s="116">
        <f t="shared" si="2"/>
        <v>-280.72916666666674</v>
      </c>
      <c r="F14" s="116">
        <f t="shared" si="3"/>
        <v>0.21006944444444459</v>
      </c>
      <c r="G14" s="116">
        <f t="shared" si="4"/>
        <v>375156.25</v>
      </c>
      <c r="I14" s="67"/>
      <c r="J14" s="91" t="s">
        <v>468</v>
      </c>
      <c r="K14" s="67">
        <f>SUM(G11:G28)/17</f>
        <v>73841.911764705888</v>
      </c>
      <c r="L14" s="67"/>
      <c r="M14" s="67"/>
      <c r="N14" s="67"/>
      <c r="O14" s="67"/>
      <c r="P14" s="38" t="s">
        <v>155</v>
      </c>
      <c r="Q14" s="38">
        <v>16</v>
      </c>
      <c r="R14" s="38">
        <v>9.4177557879014095</v>
      </c>
      <c r="S14" s="38">
        <v>0.5886097367438381</v>
      </c>
      <c r="T14" s="38"/>
      <c r="U14" s="38"/>
    </row>
    <row r="15" spans="1:21" ht="15" thickBot="1" x14ac:dyDescent="0.35">
      <c r="A15" s="136">
        <v>2.75</v>
      </c>
      <c r="B15" s="136">
        <v>900</v>
      </c>
      <c r="C15" s="116">
        <f t="shared" si="0"/>
        <v>0.29166666666666652</v>
      </c>
      <c r="D15" s="116">
        <f t="shared" si="1"/>
        <v>-37.5</v>
      </c>
      <c r="E15" s="116">
        <f t="shared" si="2"/>
        <v>-10.937499999999995</v>
      </c>
      <c r="F15" s="116">
        <f t="shared" si="3"/>
        <v>8.5069444444444364E-2</v>
      </c>
      <c r="G15" s="116">
        <f t="shared" si="4"/>
        <v>1406.25</v>
      </c>
      <c r="I15" s="67"/>
      <c r="J15" s="138" t="s">
        <v>482</v>
      </c>
      <c r="K15" s="103">
        <f>K12/SQRT(K13*K14)</f>
        <v>0.34091396385909295</v>
      </c>
      <c r="L15" s="67"/>
      <c r="M15" s="67"/>
      <c r="N15" s="67"/>
      <c r="O15" s="67"/>
      <c r="P15" s="39" t="s">
        <v>156</v>
      </c>
      <c r="Q15" s="39">
        <v>17</v>
      </c>
      <c r="R15" s="39">
        <v>10.656250000000004</v>
      </c>
      <c r="S15" s="39"/>
      <c r="T15" s="39"/>
      <c r="U15" s="39"/>
    </row>
    <row r="16" spans="1:21" ht="15" thickBot="1" x14ac:dyDescent="0.35">
      <c r="A16" s="136">
        <v>1.75</v>
      </c>
      <c r="B16" s="136">
        <v>875</v>
      </c>
      <c r="C16" s="116">
        <f t="shared" si="0"/>
        <v>-0.70833333333333348</v>
      </c>
      <c r="D16" s="116">
        <f t="shared" si="1"/>
        <v>-62.5</v>
      </c>
      <c r="E16" s="116">
        <f t="shared" si="2"/>
        <v>44.270833333333343</v>
      </c>
      <c r="F16" s="116">
        <f t="shared" si="3"/>
        <v>0.50173611111111127</v>
      </c>
      <c r="G16" s="116">
        <f t="shared" si="4"/>
        <v>3906.25</v>
      </c>
      <c r="I16" s="67"/>
      <c r="J16" s="91" t="s">
        <v>172</v>
      </c>
      <c r="K16" s="67">
        <f>K12/K13</f>
        <v>117.00879765395888</v>
      </c>
      <c r="L16" s="67"/>
      <c r="M16" s="67"/>
      <c r="N16" s="67"/>
      <c r="O16" s="67"/>
    </row>
    <row r="17" spans="1:24" x14ac:dyDescent="0.3">
      <c r="A17" s="136">
        <v>1.75</v>
      </c>
      <c r="B17" s="136">
        <v>750</v>
      </c>
      <c r="C17" s="116">
        <f t="shared" si="0"/>
        <v>-0.70833333333333348</v>
      </c>
      <c r="D17" s="116">
        <f t="shared" si="1"/>
        <v>-187.5</v>
      </c>
      <c r="E17" s="116">
        <f t="shared" si="2"/>
        <v>132.81250000000003</v>
      </c>
      <c r="F17" s="116">
        <f t="shared" si="3"/>
        <v>0.50173611111111127</v>
      </c>
      <c r="G17" s="116">
        <f t="shared" si="4"/>
        <v>35156.25</v>
      </c>
      <c r="I17" s="67"/>
      <c r="J17" s="138" t="s">
        <v>605</v>
      </c>
      <c r="K17" s="103">
        <f>K15*K15</f>
        <v>0.11622233075411893</v>
      </c>
      <c r="L17" s="67"/>
      <c r="M17" s="67"/>
      <c r="N17" s="67"/>
      <c r="O17" s="67"/>
      <c r="P17" s="40"/>
      <c r="Q17" s="40" t="s">
        <v>163</v>
      </c>
      <c r="R17" s="40" t="s">
        <v>151</v>
      </c>
      <c r="S17" s="40" t="s">
        <v>164</v>
      </c>
      <c r="T17" s="40" t="s">
        <v>165</v>
      </c>
      <c r="U17" s="40" t="s">
        <v>166</v>
      </c>
      <c r="V17" s="40" t="s">
        <v>167</v>
      </c>
      <c r="W17" s="40" t="s">
        <v>168</v>
      </c>
      <c r="X17" s="40" t="s">
        <v>169</v>
      </c>
    </row>
    <row r="18" spans="1:24" x14ac:dyDescent="0.3">
      <c r="A18" s="136">
        <v>2.25</v>
      </c>
      <c r="B18" s="136">
        <v>1100</v>
      </c>
      <c r="C18" s="116">
        <f t="shared" si="0"/>
        <v>-0.20833333333333348</v>
      </c>
      <c r="D18" s="116">
        <f t="shared" si="1"/>
        <v>162.5</v>
      </c>
      <c r="E18" s="116">
        <f t="shared" si="2"/>
        <v>-33.854166666666693</v>
      </c>
      <c r="F18" s="116">
        <f t="shared" si="3"/>
        <v>4.3402777777777839E-2</v>
      </c>
      <c r="G18" s="116">
        <f t="shared" si="4"/>
        <v>26406.25</v>
      </c>
      <c r="I18" s="67"/>
      <c r="J18" s="91" t="s">
        <v>277</v>
      </c>
      <c r="K18" s="67">
        <f>(18-1)*(K14-(K12^2/K13))</f>
        <v>1109417.1554252203</v>
      </c>
      <c r="L18" s="67"/>
      <c r="M18" s="67"/>
      <c r="N18" s="67"/>
      <c r="O18" s="67"/>
      <c r="P18" s="38" t="s">
        <v>157</v>
      </c>
      <c r="Q18" s="38">
        <v>1.5271346776201145</v>
      </c>
      <c r="R18" s="38">
        <v>0.66694473118896425</v>
      </c>
      <c r="S18" s="38">
        <v>2.2897469703339395</v>
      </c>
      <c r="T18" s="38">
        <v>3.5962687058852326E-2</v>
      </c>
      <c r="U18" s="38">
        <v>0.11327500768493359</v>
      </c>
      <c r="V18" s="38">
        <v>2.9409943475552955</v>
      </c>
      <c r="W18" s="38">
        <v>0.11327500768493359</v>
      </c>
      <c r="X18" s="38">
        <v>2.9409943475552955</v>
      </c>
    </row>
    <row r="19" spans="1:24" ht="15" thickBot="1" x14ac:dyDescent="0.35">
      <c r="A19" s="136">
        <v>1.75</v>
      </c>
      <c r="B19" s="136">
        <v>850</v>
      </c>
      <c r="C19" s="116">
        <f t="shared" si="0"/>
        <v>-0.70833333333333348</v>
      </c>
      <c r="D19" s="116">
        <f t="shared" si="1"/>
        <v>-87.5</v>
      </c>
      <c r="E19" s="116">
        <f t="shared" si="2"/>
        <v>61.979166666666679</v>
      </c>
      <c r="F19" s="116">
        <f t="shared" si="3"/>
        <v>0.50173611111111127</v>
      </c>
      <c r="G19" s="116">
        <f t="shared" si="4"/>
        <v>7656.25</v>
      </c>
      <c r="I19" s="67"/>
      <c r="J19" s="67" t="s">
        <v>469</v>
      </c>
      <c r="K19" s="67">
        <f>SQRT(K18/(18-2))</f>
        <v>263.3221832927797</v>
      </c>
      <c r="L19" s="67"/>
      <c r="M19" s="67"/>
      <c r="N19" s="67"/>
      <c r="O19" s="67"/>
      <c r="P19" s="39" t="s">
        <v>67</v>
      </c>
      <c r="Q19" s="39">
        <v>9.932785660941002E-4</v>
      </c>
      <c r="R19" s="39">
        <v>6.847590712840691E-4</v>
      </c>
      <c r="S19" s="94">
        <v>1.450551891530975</v>
      </c>
      <c r="T19" s="94">
        <v>0.16622646220015141</v>
      </c>
      <c r="U19" s="39">
        <v>-4.5834581781082294E-4</v>
      </c>
      <c r="V19" s="39">
        <v>2.4449029499990236E-3</v>
      </c>
      <c r="W19" s="39">
        <v>-4.5834581781082294E-4</v>
      </c>
      <c r="X19" s="39">
        <v>2.4449029499990236E-3</v>
      </c>
    </row>
    <row r="20" spans="1:24" x14ac:dyDescent="0.3">
      <c r="A20" s="136">
        <v>1.5</v>
      </c>
      <c r="B20" s="136">
        <v>450</v>
      </c>
      <c r="C20" s="116">
        <f t="shared" si="0"/>
        <v>-0.95833333333333348</v>
      </c>
      <c r="D20" s="116">
        <f t="shared" si="1"/>
        <v>-487.5</v>
      </c>
      <c r="E20" s="116">
        <f t="shared" si="2"/>
        <v>467.18750000000006</v>
      </c>
      <c r="F20" s="116">
        <f t="shared" si="3"/>
        <v>0.91840277777777801</v>
      </c>
      <c r="G20" s="116">
        <f t="shared" si="4"/>
        <v>237656.25</v>
      </c>
      <c r="I20" s="91" t="s">
        <v>470</v>
      </c>
      <c r="J20" s="67"/>
      <c r="K20" s="67">
        <f>K19/SQRT((18-1)*K13)</f>
        <v>80.66502021548699</v>
      </c>
      <c r="L20" s="67"/>
      <c r="M20" s="67"/>
      <c r="N20" s="67"/>
      <c r="O20" s="67"/>
    </row>
    <row r="21" spans="1:24" x14ac:dyDescent="0.3">
      <c r="A21" s="136">
        <v>2.25</v>
      </c>
      <c r="B21" s="136">
        <v>900</v>
      </c>
      <c r="C21" s="116">
        <f t="shared" si="0"/>
        <v>-0.20833333333333348</v>
      </c>
      <c r="D21" s="116">
        <f t="shared" si="1"/>
        <v>-37.5</v>
      </c>
      <c r="E21" s="116">
        <f t="shared" si="2"/>
        <v>7.8125000000000053</v>
      </c>
      <c r="F21" s="116">
        <f t="shared" si="3"/>
        <v>4.3402777777777839E-2</v>
      </c>
      <c r="G21" s="116">
        <f t="shared" si="4"/>
        <v>1406.25</v>
      </c>
      <c r="I21" s="92" t="s">
        <v>176</v>
      </c>
      <c r="J21" s="92" t="s">
        <v>471</v>
      </c>
      <c r="K21" s="91" t="s">
        <v>472</v>
      </c>
      <c r="L21" s="91">
        <v>0</v>
      </c>
      <c r="M21" s="91" t="s">
        <v>473</v>
      </c>
      <c r="N21" s="67"/>
      <c r="O21" s="67"/>
    </row>
    <row r="22" spans="1:24" x14ac:dyDescent="0.3">
      <c r="A22" s="136">
        <v>2.25</v>
      </c>
      <c r="B22" s="136">
        <v>900</v>
      </c>
      <c r="C22" s="116">
        <f t="shared" si="0"/>
        <v>-0.20833333333333348</v>
      </c>
      <c r="D22" s="116">
        <f t="shared" si="1"/>
        <v>-37.5</v>
      </c>
      <c r="E22" s="116">
        <f t="shared" si="2"/>
        <v>7.8125000000000053</v>
      </c>
      <c r="F22" s="116">
        <f t="shared" si="3"/>
        <v>4.3402777777777839E-2</v>
      </c>
      <c r="G22" s="116">
        <f t="shared" si="4"/>
        <v>1406.25</v>
      </c>
      <c r="I22" s="92" t="s">
        <v>273</v>
      </c>
      <c r="J22" s="92" t="s">
        <v>474</v>
      </c>
      <c r="K22" s="91" t="s">
        <v>475</v>
      </c>
      <c r="L22" s="91">
        <v>0</v>
      </c>
      <c r="M22" s="91" t="s">
        <v>476</v>
      </c>
      <c r="N22" s="67"/>
      <c r="O22" s="67"/>
    </row>
    <row r="23" spans="1:24" x14ac:dyDescent="0.3">
      <c r="A23" s="136">
        <v>3.25</v>
      </c>
      <c r="B23" s="136">
        <v>900</v>
      </c>
      <c r="C23" s="116">
        <f t="shared" si="0"/>
        <v>0.79166666666666652</v>
      </c>
      <c r="D23" s="116">
        <f t="shared" si="1"/>
        <v>-37.5</v>
      </c>
      <c r="E23" s="116">
        <f t="shared" si="2"/>
        <v>-29.687499999999993</v>
      </c>
      <c r="F23" s="116">
        <f t="shared" si="3"/>
        <v>0.62673611111111083</v>
      </c>
      <c r="G23" s="116">
        <f t="shared" si="4"/>
        <v>1406.25</v>
      </c>
      <c r="I23" s="67"/>
      <c r="J23" s="67"/>
      <c r="K23" s="67"/>
      <c r="L23" s="67"/>
      <c r="M23" s="67"/>
      <c r="N23" s="67"/>
      <c r="O23" s="67"/>
      <c r="P23" s="67"/>
      <c r="Q23" s="67"/>
    </row>
    <row r="24" spans="1:24" x14ac:dyDescent="0.3">
      <c r="A24" s="136">
        <v>2.25</v>
      </c>
      <c r="B24" s="136">
        <v>700</v>
      </c>
      <c r="C24" s="116">
        <f t="shared" si="0"/>
        <v>-0.20833333333333348</v>
      </c>
      <c r="D24" s="116">
        <f t="shared" si="1"/>
        <v>-237.5</v>
      </c>
      <c r="E24" s="116">
        <f t="shared" si="2"/>
        <v>49.4791666666667</v>
      </c>
      <c r="F24" s="116">
        <f t="shared" si="3"/>
        <v>4.3402777777777839E-2</v>
      </c>
      <c r="G24" s="116">
        <f t="shared" si="4"/>
        <v>56406.25</v>
      </c>
      <c r="I24" s="67"/>
      <c r="J24" s="103" t="s">
        <v>477</v>
      </c>
      <c r="K24" s="103">
        <f>(K16-L21)/K20</f>
        <v>1.4505518915309736</v>
      </c>
      <c r="L24" s="67"/>
      <c r="M24" s="67"/>
      <c r="N24" s="67">
        <v>0.05</v>
      </c>
      <c r="O24" s="67"/>
      <c r="P24" s="67"/>
      <c r="Q24" s="67"/>
    </row>
    <row r="25" spans="1:24" x14ac:dyDescent="0.3">
      <c r="A25" s="136">
        <v>2.25</v>
      </c>
      <c r="B25" s="136">
        <v>800</v>
      </c>
      <c r="C25" s="116">
        <f t="shared" si="0"/>
        <v>-0.20833333333333348</v>
      </c>
      <c r="D25" s="116">
        <f t="shared" si="1"/>
        <v>-137.5</v>
      </c>
      <c r="E25" s="116">
        <f t="shared" si="2"/>
        <v>28.645833333333353</v>
      </c>
      <c r="F25" s="116">
        <f t="shared" si="3"/>
        <v>4.3402777777777839E-2</v>
      </c>
      <c r="G25" s="116">
        <f t="shared" si="4"/>
        <v>18906.25</v>
      </c>
      <c r="I25" s="67"/>
      <c r="J25" s="67" t="s">
        <v>478</v>
      </c>
      <c r="K25" s="67">
        <v>17</v>
      </c>
      <c r="L25" s="67"/>
      <c r="M25" s="67"/>
      <c r="N25" s="67"/>
      <c r="O25" s="67"/>
      <c r="P25" s="67"/>
      <c r="Q25" s="67"/>
    </row>
    <row r="26" spans="1:24" x14ac:dyDescent="0.3">
      <c r="A26" s="136">
        <v>2.5</v>
      </c>
      <c r="B26" s="136">
        <v>800</v>
      </c>
      <c r="C26" s="116">
        <f t="shared" si="0"/>
        <v>4.1666666666666519E-2</v>
      </c>
      <c r="D26" s="116">
        <f t="shared" si="1"/>
        <v>-137.5</v>
      </c>
      <c r="E26" s="116">
        <f t="shared" si="2"/>
        <v>-5.7291666666666465</v>
      </c>
      <c r="F26" s="116">
        <f t="shared" si="3"/>
        <v>1.7361111111110989E-3</v>
      </c>
      <c r="G26" s="116">
        <f t="shared" si="4"/>
        <v>18906.25</v>
      </c>
      <c r="I26" s="67"/>
      <c r="J26" s="103" t="s">
        <v>187</v>
      </c>
      <c r="K26" s="137">
        <f>_xlfn.T.DIST.2T(K24,16)</f>
        <v>0.16622646220015225</v>
      </c>
      <c r="L26" s="67"/>
      <c r="M26" s="67"/>
      <c r="N26" s="67"/>
      <c r="O26" s="67"/>
      <c r="P26" s="67"/>
      <c r="Q26" s="67"/>
    </row>
    <row r="27" spans="1:24" x14ac:dyDescent="0.3">
      <c r="A27" s="136">
        <v>2.25</v>
      </c>
      <c r="B27" s="136">
        <v>900</v>
      </c>
      <c r="C27" s="116">
        <f t="shared" si="0"/>
        <v>-0.20833333333333348</v>
      </c>
      <c r="D27" s="116">
        <f t="shared" si="1"/>
        <v>-37.5</v>
      </c>
      <c r="E27" s="116">
        <f t="shared" si="2"/>
        <v>7.8125000000000053</v>
      </c>
      <c r="F27" s="116">
        <f t="shared" si="3"/>
        <v>4.3402777777777839E-2</v>
      </c>
      <c r="G27" s="116">
        <f t="shared" si="4"/>
        <v>1406.25</v>
      </c>
      <c r="I27" s="67"/>
      <c r="J27" s="67" t="s">
        <v>479</v>
      </c>
      <c r="K27" s="67">
        <f>_xlfn.T.INV.2T(N24,K25)</f>
        <v>2.109815577833317</v>
      </c>
      <c r="L27" s="67">
        <f>-_xlfn.T.INV.2T(N24,K25)</f>
        <v>-2.109815577833317</v>
      </c>
      <c r="M27" s="67"/>
      <c r="N27" s="67"/>
      <c r="O27" s="67"/>
      <c r="P27" s="67"/>
      <c r="Q27" s="67"/>
    </row>
    <row r="28" spans="1:24" x14ac:dyDescent="0.3">
      <c r="A28" s="136">
        <v>2</v>
      </c>
      <c r="B28" s="136">
        <v>900</v>
      </c>
      <c r="C28" s="116">
        <f t="shared" si="0"/>
        <v>-0.45833333333333348</v>
      </c>
      <c r="D28" s="116">
        <f t="shared" si="1"/>
        <v>-37.5</v>
      </c>
      <c r="E28" s="116">
        <f t="shared" si="2"/>
        <v>17.187500000000007</v>
      </c>
      <c r="F28" s="116">
        <f t="shared" si="3"/>
        <v>0.21006944444444459</v>
      </c>
      <c r="G28" s="116">
        <f t="shared" si="4"/>
        <v>1406.25</v>
      </c>
      <c r="I28" s="67"/>
      <c r="J28" s="67"/>
      <c r="K28" s="67"/>
      <c r="L28" s="67"/>
      <c r="M28" s="67"/>
      <c r="N28" s="67"/>
      <c r="O28" s="67"/>
      <c r="P28" s="67"/>
      <c r="Q28" s="67"/>
    </row>
    <row r="29" spans="1:24" x14ac:dyDescent="0.3">
      <c r="A29">
        <f>AVERAGE(A11:A28)</f>
        <v>2.4583333333333335</v>
      </c>
      <c r="B29">
        <f>AVERAGE(B11:B28)</f>
        <v>937.5</v>
      </c>
      <c r="I29" s="67"/>
      <c r="J29" s="103" t="s">
        <v>480</v>
      </c>
      <c r="K29" s="103"/>
      <c r="L29" s="43"/>
      <c r="M29" s="43"/>
      <c r="N29" s="43"/>
      <c r="O29" s="43"/>
      <c r="P29" s="43"/>
      <c r="Q29" s="43"/>
    </row>
    <row r="30" spans="1:24" x14ac:dyDescent="0.3">
      <c r="I30" s="67"/>
      <c r="J30" s="103" t="s">
        <v>481</v>
      </c>
      <c r="K30" s="103"/>
      <c r="L30" s="43"/>
      <c r="M30" s="43"/>
      <c r="N30" s="43"/>
      <c r="O30" s="43"/>
      <c r="P30" s="43"/>
      <c r="Q30" s="43"/>
    </row>
    <row r="31" spans="1:24" x14ac:dyDescent="0.3">
      <c r="I31" s="67"/>
      <c r="J31" s="67"/>
      <c r="K31" s="67"/>
      <c r="L31" s="67"/>
      <c r="M31" s="67"/>
      <c r="N31" s="67"/>
      <c r="O31" s="67"/>
      <c r="P31" s="67"/>
      <c r="Q31" s="67"/>
    </row>
    <row r="32" spans="1:24" x14ac:dyDescent="0.3">
      <c r="J32" s="103" t="s">
        <v>625</v>
      </c>
      <c r="K32" s="43"/>
      <c r="L32" s="43"/>
      <c r="M32" s="43"/>
      <c r="N32" s="43"/>
      <c r="O32" s="43"/>
      <c r="P32" s="43"/>
    </row>
    <row r="33" spans="1:16" x14ac:dyDescent="0.3">
      <c r="A33" s="103" t="s">
        <v>417</v>
      </c>
    </row>
    <row r="34" spans="1:16" x14ac:dyDescent="0.3">
      <c r="J34" s="140" t="s">
        <v>607</v>
      </c>
      <c r="P34" t="s">
        <v>606</v>
      </c>
    </row>
    <row r="35" spans="1:16" ht="18" x14ac:dyDescent="0.3">
      <c r="A35" s="44" t="s">
        <v>483</v>
      </c>
    </row>
    <row r="36" spans="1:16" ht="15" x14ac:dyDescent="0.3">
      <c r="A36" s="78" t="s">
        <v>211</v>
      </c>
    </row>
    <row r="37" spans="1:16" x14ac:dyDescent="0.3">
      <c r="A37" s="46" t="s">
        <v>484</v>
      </c>
      <c r="B37" s="46" t="s">
        <v>212</v>
      </c>
      <c r="C37" s="46" t="s">
        <v>485</v>
      </c>
    </row>
    <row r="38" spans="1:16" ht="15" x14ac:dyDescent="0.3">
      <c r="A38" s="78" t="s">
        <v>163</v>
      </c>
    </row>
    <row r="39" spans="1:16" ht="15" thickBot="1" x14ac:dyDescent="0.35">
      <c r="A39" s="79" t="s">
        <v>214</v>
      </c>
      <c r="B39" s="80" t="s">
        <v>215</v>
      </c>
      <c r="C39" s="80" t="s">
        <v>216</v>
      </c>
      <c r="D39" s="80" t="s">
        <v>217</v>
      </c>
      <c r="E39" s="80" t="s">
        <v>218</v>
      </c>
      <c r="F39" s="80" t="s">
        <v>219</v>
      </c>
    </row>
    <row r="40" spans="1:16" x14ac:dyDescent="0.3">
      <c r="A40" s="46" t="s">
        <v>220</v>
      </c>
      <c r="B40" s="49">
        <v>1.5269999999999999</v>
      </c>
      <c r="C40" s="49">
        <v>0.66700000000000004</v>
      </c>
      <c r="D40" s="49">
        <v>2.29</v>
      </c>
      <c r="E40" s="49">
        <v>3.5999999999999997E-2</v>
      </c>
      <c r="F40" s="50"/>
    </row>
    <row r="41" spans="1:16" x14ac:dyDescent="0.3">
      <c r="A41" s="46" t="s">
        <v>486</v>
      </c>
      <c r="B41" s="49">
        <v>9.9299999999999996E-4</v>
      </c>
      <c r="C41" s="49">
        <v>6.8499999999999995E-4</v>
      </c>
      <c r="D41" s="107">
        <v>1.45</v>
      </c>
      <c r="E41" s="107">
        <v>0.16600000000000001</v>
      </c>
      <c r="F41" s="49">
        <v>1</v>
      </c>
    </row>
    <row r="42" spans="1:16" ht="15" x14ac:dyDescent="0.3">
      <c r="A42" s="78" t="s">
        <v>221</v>
      </c>
    </row>
    <row r="43" spans="1:16" ht="15.6" thickBot="1" x14ac:dyDescent="0.4">
      <c r="A43" s="80" t="s">
        <v>222</v>
      </c>
      <c r="B43" s="113" t="s">
        <v>223</v>
      </c>
      <c r="C43" s="80" t="s">
        <v>224</v>
      </c>
      <c r="D43" s="80" t="s">
        <v>225</v>
      </c>
    </row>
    <row r="44" spans="1:16" x14ac:dyDescent="0.3">
      <c r="A44" s="49">
        <v>0.76720900000000003</v>
      </c>
      <c r="B44" s="139">
        <v>0.1162</v>
      </c>
      <c r="C44" s="51">
        <v>6.0999999999999999E-2</v>
      </c>
      <c r="D44" s="51">
        <v>0</v>
      </c>
    </row>
    <row r="45" spans="1:16" ht="15" x14ac:dyDescent="0.3">
      <c r="A45" s="78" t="s">
        <v>226</v>
      </c>
    </row>
    <row r="46" spans="1:16" ht="15" thickBot="1" x14ac:dyDescent="0.35">
      <c r="A46" s="79" t="s">
        <v>227</v>
      </c>
      <c r="B46" s="80" t="s">
        <v>228</v>
      </c>
      <c r="C46" s="80" t="s">
        <v>229</v>
      </c>
      <c r="D46" s="80" t="s">
        <v>230</v>
      </c>
      <c r="E46" s="80" t="s">
        <v>231</v>
      </c>
      <c r="F46" s="80" t="s">
        <v>218</v>
      </c>
    </row>
    <row r="47" spans="1:16" x14ac:dyDescent="0.3">
      <c r="A47" s="46" t="s">
        <v>154</v>
      </c>
      <c r="B47" s="49">
        <v>1</v>
      </c>
      <c r="C47" s="49">
        <v>1.238</v>
      </c>
      <c r="D47" s="49">
        <v>1.2384999999999999</v>
      </c>
      <c r="E47" s="49">
        <v>2.1</v>
      </c>
      <c r="F47" s="49">
        <v>0.16600000000000001</v>
      </c>
    </row>
    <row r="48" spans="1:16" x14ac:dyDescent="0.3">
      <c r="A48" s="46" t="s">
        <v>487</v>
      </c>
      <c r="B48" s="49">
        <v>1</v>
      </c>
      <c r="C48" s="49">
        <v>1.238</v>
      </c>
      <c r="D48" s="49">
        <v>1.2384999999999999</v>
      </c>
      <c r="E48" s="49">
        <v>2.1</v>
      </c>
      <c r="F48" s="49">
        <v>0.16600000000000001</v>
      </c>
    </row>
    <row r="49" spans="1:7" x14ac:dyDescent="0.3">
      <c r="A49" s="46" t="s">
        <v>234</v>
      </c>
      <c r="B49" s="49">
        <v>16</v>
      </c>
      <c r="C49" s="49">
        <v>9.4179999999999993</v>
      </c>
      <c r="D49" s="49">
        <v>0.58860000000000001</v>
      </c>
      <c r="E49" s="50"/>
      <c r="F49" s="50"/>
    </row>
    <row r="50" spans="1:7" x14ac:dyDescent="0.3">
      <c r="A50" s="46" t="s">
        <v>235</v>
      </c>
      <c r="B50" s="49">
        <v>9</v>
      </c>
      <c r="C50" s="49">
        <v>5.3239999999999998</v>
      </c>
      <c r="D50" s="49">
        <v>0.59160000000000001</v>
      </c>
      <c r="E50" s="49">
        <v>1.01</v>
      </c>
      <c r="F50" s="49">
        <v>0.50600000000000001</v>
      </c>
    </row>
    <row r="51" spans="1:7" x14ac:dyDescent="0.3">
      <c r="A51" s="46" t="s">
        <v>236</v>
      </c>
      <c r="B51" s="49">
        <v>7</v>
      </c>
      <c r="C51" s="49">
        <v>4.0940000000000003</v>
      </c>
      <c r="D51" s="49">
        <v>0.58479999999999999</v>
      </c>
      <c r="E51" s="50"/>
      <c r="F51" s="50"/>
    </row>
    <row r="52" spans="1:7" x14ac:dyDescent="0.3">
      <c r="A52" s="46" t="s">
        <v>156</v>
      </c>
      <c r="B52" s="49">
        <v>17</v>
      </c>
      <c r="C52" s="49">
        <v>10.656000000000001</v>
      </c>
      <c r="D52" s="50"/>
      <c r="E52" s="50"/>
      <c r="F52" s="50"/>
    </row>
    <row r="53" spans="1:7" ht="15" x14ac:dyDescent="0.3">
      <c r="A53" s="78" t="s">
        <v>237</v>
      </c>
    </row>
    <row r="54" spans="1:7" ht="15" thickBot="1" x14ac:dyDescent="0.35">
      <c r="A54" s="80" t="s">
        <v>238</v>
      </c>
      <c r="B54" s="80" t="s">
        <v>484</v>
      </c>
      <c r="C54" s="80" t="s">
        <v>239</v>
      </c>
      <c r="D54" s="80" t="s">
        <v>240</v>
      </c>
      <c r="E54" s="80" t="s">
        <v>241</v>
      </c>
      <c r="F54" s="79"/>
      <c r="G54" s="79"/>
    </row>
    <row r="55" spans="1:7" x14ac:dyDescent="0.3">
      <c r="A55" s="49">
        <v>1</v>
      </c>
      <c r="B55" s="49">
        <v>4.5</v>
      </c>
      <c r="C55" s="49">
        <v>2.3220000000000001</v>
      </c>
      <c r="D55" s="49">
        <v>2.1779999999999999</v>
      </c>
      <c r="E55" s="49">
        <v>2.95</v>
      </c>
      <c r="F55" s="46" t="s">
        <v>242</v>
      </c>
      <c r="G55" s="50"/>
    </row>
    <row r="56" spans="1:7" x14ac:dyDescent="0.3">
      <c r="A56" s="49">
        <v>4</v>
      </c>
      <c r="B56" s="49">
        <v>2</v>
      </c>
      <c r="C56" s="49">
        <v>3.0670000000000002</v>
      </c>
      <c r="D56" s="49">
        <v>-1.0669999999999999</v>
      </c>
      <c r="E56" s="49">
        <v>-1.73</v>
      </c>
      <c r="F56" s="50"/>
      <c r="G56" s="46" t="s">
        <v>390</v>
      </c>
    </row>
    <row r="57" spans="1:7" x14ac:dyDescent="0.3">
      <c r="A57" t="s">
        <v>243</v>
      </c>
    </row>
    <row r="58" spans="1:7" x14ac:dyDescent="0.3">
      <c r="A58" t="s">
        <v>391</v>
      </c>
    </row>
    <row r="59" spans="1:7" ht="15" x14ac:dyDescent="0.3">
      <c r="A59" s="78"/>
    </row>
    <row r="60" spans="1:7" x14ac:dyDescent="0.3">
      <c r="A60" s="26"/>
    </row>
    <row r="61" spans="1:7" x14ac:dyDescent="0.3">
      <c r="A61" s="26"/>
    </row>
    <row r="62" spans="1:7" x14ac:dyDescent="0.3">
      <c r="A62" s="26"/>
    </row>
    <row r="63" spans="1:7" x14ac:dyDescent="0.3">
      <c r="A63" s="26"/>
    </row>
    <row r="64" spans="1:7" x14ac:dyDescent="0.3">
      <c r="A64" s="26"/>
    </row>
    <row r="65" spans="1:1" x14ac:dyDescent="0.3">
      <c r="A65" s="26"/>
    </row>
    <row r="66" spans="1:1" x14ac:dyDescent="0.3">
      <c r="A66" s="26"/>
    </row>
    <row r="67" spans="1:1" x14ac:dyDescent="0.3">
      <c r="A67" s="26"/>
    </row>
    <row r="68" spans="1:1" x14ac:dyDescent="0.3">
      <c r="A68" s="26"/>
    </row>
    <row r="69" spans="1:1" x14ac:dyDescent="0.3">
      <c r="A69" s="26"/>
    </row>
    <row r="70" spans="1:1" x14ac:dyDescent="0.3">
      <c r="A70" s="26"/>
    </row>
    <row r="71" spans="1:1" x14ac:dyDescent="0.3">
      <c r="A71" s="26"/>
    </row>
    <row r="72" spans="1:1" x14ac:dyDescent="0.3">
      <c r="A72" s="26"/>
    </row>
    <row r="73" spans="1:1" x14ac:dyDescent="0.3">
      <c r="A73" s="26"/>
    </row>
    <row r="74" spans="1:1" x14ac:dyDescent="0.3">
      <c r="A74" s="26"/>
    </row>
    <row r="75" spans="1:1" x14ac:dyDescent="0.3">
      <c r="A75" s="26"/>
    </row>
    <row r="76" spans="1:1" x14ac:dyDescent="0.3">
      <c r="A76" s="26"/>
    </row>
    <row r="77" spans="1:1" x14ac:dyDescent="0.3">
      <c r="A77" s="26"/>
    </row>
    <row r="78" spans="1:1" ht="15" x14ac:dyDescent="0.3">
      <c r="A78" s="78"/>
    </row>
    <row r="79" spans="1:1" ht="15" x14ac:dyDescent="0.3">
      <c r="A79" s="78"/>
    </row>
    <row r="80" spans="1:1" x14ac:dyDescent="0.3">
      <c r="A80" s="26"/>
    </row>
    <row r="81" spans="1:1" x14ac:dyDescent="0.3">
      <c r="A81" s="26"/>
    </row>
    <row r="82" spans="1:1" x14ac:dyDescent="0.3">
      <c r="A82" s="26"/>
    </row>
    <row r="83" spans="1:1" x14ac:dyDescent="0.3">
      <c r="A83" s="26"/>
    </row>
    <row r="84" spans="1:1" x14ac:dyDescent="0.3">
      <c r="A84" s="26"/>
    </row>
    <row r="85" spans="1:1" x14ac:dyDescent="0.3">
      <c r="A85" s="26"/>
    </row>
    <row r="86" spans="1:1" x14ac:dyDescent="0.3">
      <c r="A86" s="26"/>
    </row>
    <row r="87" spans="1:1" x14ac:dyDescent="0.3">
      <c r="A87" s="26"/>
    </row>
    <row r="88" spans="1:1" x14ac:dyDescent="0.3">
      <c r="A88" s="26"/>
    </row>
    <row r="89" spans="1:1" x14ac:dyDescent="0.3">
      <c r="A89" s="26"/>
    </row>
    <row r="90" spans="1:1" x14ac:dyDescent="0.3">
      <c r="A90" s="26"/>
    </row>
    <row r="91" spans="1:1" x14ac:dyDescent="0.3">
      <c r="A91" s="26"/>
    </row>
    <row r="92" spans="1:1" x14ac:dyDescent="0.3">
      <c r="A92" s="26"/>
    </row>
    <row r="93" spans="1:1" x14ac:dyDescent="0.3">
      <c r="A93" s="26"/>
    </row>
    <row r="94" spans="1:1" x14ac:dyDescent="0.3">
      <c r="A94" s="26"/>
    </row>
    <row r="95" spans="1:1" x14ac:dyDescent="0.3">
      <c r="A95" s="26"/>
    </row>
    <row r="96" spans="1:1" x14ac:dyDescent="0.3">
      <c r="A96" s="26"/>
    </row>
    <row r="97" spans="1:1" x14ac:dyDescent="0.3">
      <c r="A97" s="2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20153-3A9B-46BB-8DDB-09CFB1DE258A}">
  <dimension ref="A2:AF210"/>
  <sheetViews>
    <sheetView topLeftCell="E1" zoomScaleNormal="100" workbookViewId="0">
      <selection activeCell="P144" sqref="P144"/>
    </sheetView>
  </sheetViews>
  <sheetFormatPr defaultRowHeight="14.4" x14ac:dyDescent="0.3"/>
  <cols>
    <col min="6" max="6" width="8.88671875" style="74"/>
    <col min="10" max="10" width="14.21875" customWidth="1"/>
    <col min="11" max="11" width="13.5546875" customWidth="1"/>
    <col min="16" max="17" width="8.88671875" customWidth="1"/>
    <col min="18" max="18" width="13.109375" customWidth="1"/>
    <col min="19" max="19" width="11.33203125" customWidth="1"/>
  </cols>
  <sheetData>
    <row r="2" spans="1:16" x14ac:dyDescent="0.3">
      <c r="L2" s="26" t="s">
        <v>75</v>
      </c>
    </row>
    <row r="3" spans="1:16" x14ac:dyDescent="0.3">
      <c r="L3" s="27" t="s">
        <v>76</v>
      </c>
    </row>
    <row r="4" spans="1:16" x14ac:dyDescent="0.3">
      <c r="L4" s="27" t="s">
        <v>77</v>
      </c>
    </row>
    <row r="5" spans="1:16" x14ac:dyDescent="0.3">
      <c r="L5" s="27" t="s">
        <v>78</v>
      </c>
    </row>
    <row r="6" spans="1:16" x14ac:dyDescent="0.3">
      <c r="L6" s="27" t="s">
        <v>79</v>
      </c>
    </row>
    <row r="7" spans="1:16" x14ac:dyDescent="0.3">
      <c r="L7" s="27" t="s">
        <v>80</v>
      </c>
    </row>
    <row r="8" spans="1:16" x14ac:dyDescent="0.3">
      <c r="L8" s="27" t="s">
        <v>81</v>
      </c>
    </row>
    <row r="14" spans="1:16" x14ac:dyDescent="0.3">
      <c r="O14" t="s">
        <v>146</v>
      </c>
    </row>
    <row r="15" spans="1:16" ht="15" thickBot="1" x14ac:dyDescent="0.35"/>
    <row r="16" spans="1:16" x14ac:dyDescent="0.3">
      <c r="A16" s="23" t="s">
        <v>68</v>
      </c>
      <c r="B16" s="23" t="s">
        <v>69</v>
      </c>
      <c r="C16" s="23" t="s">
        <v>70</v>
      </c>
      <c r="D16" s="23" t="s">
        <v>71</v>
      </c>
      <c r="E16" s="23" t="s">
        <v>72</v>
      </c>
      <c r="F16" s="100" t="s">
        <v>507</v>
      </c>
      <c r="G16" s="95" t="s">
        <v>320</v>
      </c>
      <c r="H16" t="s">
        <v>488</v>
      </c>
      <c r="O16" s="41" t="s">
        <v>147</v>
      </c>
      <c r="P16" s="41"/>
    </row>
    <row r="17" spans="1:23" x14ac:dyDescent="0.3">
      <c r="A17" s="24" t="s">
        <v>73</v>
      </c>
      <c r="B17" s="24">
        <v>19</v>
      </c>
      <c r="C17" s="24">
        <v>21</v>
      </c>
      <c r="D17" s="24">
        <v>18</v>
      </c>
      <c r="E17" s="24">
        <v>50</v>
      </c>
      <c r="F17" s="24">
        <f>D17+C17+B17</f>
        <v>58</v>
      </c>
      <c r="H17" t="s">
        <v>489</v>
      </c>
      <c r="O17" s="38" t="s">
        <v>148</v>
      </c>
      <c r="P17" s="38">
        <v>0.67288014824845543</v>
      </c>
    </row>
    <row r="18" spans="1:23" x14ac:dyDescent="0.3">
      <c r="A18" s="24" t="s">
        <v>73</v>
      </c>
      <c r="B18" s="24">
        <v>18</v>
      </c>
      <c r="C18" s="24">
        <v>17</v>
      </c>
      <c r="D18" s="24">
        <v>17</v>
      </c>
      <c r="E18" s="24">
        <v>38</v>
      </c>
      <c r="F18" s="24">
        <f t="shared" ref="F18:F81" si="0">D18+C18+B18</f>
        <v>52</v>
      </c>
      <c r="O18" s="38" t="s">
        <v>149</v>
      </c>
      <c r="P18" s="38">
        <v>0.45276769390686333</v>
      </c>
    </row>
    <row r="19" spans="1:23" ht="18" x14ac:dyDescent="0.3">
      <c r="A19" s="24" t="s">
        <v>73</v>
      </c>
      <c r="B19" s="24">
        <v>19</v>
      </c>
      <c r="C19" s="24">
        <v>16</v>
      </c>
      <c r="D19" s="24">
        <v>19</v>
      </c>
      <c r="E19" s="24">
        <v>43</v>
      </c>
      <c r="F19" s="24">
        <f t="shared" si="0"/>
        <v>54</v>
      </c>
      <c r="H19" s="44" t="s">
        <v>490</v>
      </c>
      <c r="O19" s="38" t="s">
        <v>150</v>
      </c>
      <c r="P19" s="38">
        <v>0.43566668434145278</v>
      </c>
    </row>
    <row r="20" spans="1:23" ht="15" x14ac:dyDescent="0.3">
      <c r="A20" s="24" t="s">
        <v>73</v>
      </c>
      <c r="B20" s="24">
        <v>23</v>
      </c>
      <c r="C20" s="24">
        <v>18</v>
      </c>
      <c r="D20" s="24">
        <v>21</v>
      </c>
      <c r="E20" s="24">
        <v>56</v>
      </c>
      <c r="F20" s="24">
        <f t="shared" si="0"/>
        <v>62</v>
      </c>
      <c r="H20" s="96" t="s">
        <v>211</v>
      </c>
      <c r="O20" s="38" t="s">
        <v>151</v>
      </c>
      <c r="P20" s="38">
        <v>6.9136596543428182</v>
      </c>
    </row>
    <row r="21" spans="1:23" ht="15" thickBot="1" x14ac:dyDescent="0.35">
      <c r="A21" s="24" t="s">
        <v>73</v>
      </c>
      <c r="B21" s="24">
        <v>23</v>
      </c>
      <c r="C21" s="24">
        <v>20</v>
      </c>
      <c r="D21" s="24">
        <v>21</v>
      </c>
      <c r="E21" s="24">
        <v>51</v>
      </c>
      <c r="F21" s="24">
        <f t="shared" si="0"/>
        <v>64</v>
      </c>
      <c r="H21" s="46" t="s">
        <v>72</v>
      </c>
      <c r="I21" s="46" t="s">
        <v>212</v>
      </c>
      <c r="J21" s="46" t="s">
        <v>491</v>
      </c>
      <c r="O21" s="39" t="s">
        <v>152</v>
      </c>
      <c r="P21" s="39">
        <v>100</v>
      </c>
    </row>
    <row r="22" spans="1:23" ht="15" x14ac:dyDescent="0.3">
      <c r="A22" s="24" t="s">
        <v>73</v>
      </c>
      <c r="B22" s="24">
        <v>23</v>
      </c>
      <c r="C22" s="24">
        <v>18</v>
      </c>
      <c r="D22" s="24">
        <v>20</v>
      </c>
      <c r="E22" s="24">
        <v>36</v>
      </c>
      <c r="F22" s="24">
        <f t="shared" si="0"/>
        <v>61</v>
      </c>
      <c r="H22" s="96" t="s">
        <v>163</v>
      </c>
    </row>
    <row r="23" spans="1:23" ht="15" thickBot="1" x14ac:dyDescent="0.35">
      <c r="A23" s="24" t="s">
        <v>73</v>
      </c>
      <c r="B23" s="24">
        <v>20</v>
      </c>
      <c r="C23" s="24">
        <v>17</v>
      </c>
      <c r="D23" s="24">
        <v>16</v>
      </c>
      <c r="E23" s="24">
        <v>25</v>
      </c>
      <c r="F23" s="24">
        <f t="shared" si="0"/>
        <v>53</v>
      </c>
      <c r="H23" s="97" t="s">
        <v>214</v>
      </c>
      <c r="I23" s="98" t="s">
        <v>215</v>
      </c>
      <c r="J23" s="98" t="s">
        <v>216</v>
      </c>
      <c r="K23" s="98" t="s">
        <v>217</v>
      </c>
      <c r="L23" s="98" t="s">
        <v>218</v>
      </c>
      <c r="M23" s="98" t="s">
        <v>219</v>
      </c>
      <c r="O23" t="s">
        <v>153</v>
      </c>
    </row>
    <row r="24" spans="1:23" x14ac:dyDescent="0.3">
      <c r="A24" s="24" t="s">
        <v>73</v>
      </c>
      <c r="B24" s="24">
        <v>20</v>
      </c>
      <c r="C24" s="24">
        <v>15</v>
      </c>
      <c r="D24" s="24">
        <v>17</v>
      </c>
      <c r="E24" s="24">
        <v>33</v>
      </c>
      <c r="F24" s="24">
        <f t="shared" si="0"/>
        <v>52</v>
      </c>
      <c r="H24" s="46" t="s">
        <v>220</v>
      </c>
      <c r="I24" s="49">
        <v>-10.94</v>
      </c>
      <c r="J24" s="49">
        <v>6.12</v>
      </c>
      <c r="K24" s="49">
        <v>-1.79</v>
      </c>
      <c r="L24" s="49">
        <v>7.6999999999999999E-2</v>
      </c>
      <c r="M24" s="50"/>
      <c r="O24" s="40"/>
      <c r="P24" s="40" t="s">
        <v>158</v>
      </c>
      <c r="Q24" s="40" t="s">
        <v>159</v>
      </c>
      <c r="R24" s="40" t="s">
        <v>160</v>
      </c>
      <c r="S24" s="40" t="s">
        <v>161</v>
      </c>
      <c r="T24" s="40" t="s">
        <v>162</v>
      </c>
    </row>
    <row r="25" spans="1:23" x14ac:dyDescent="0.3">
      <c r="A25" s="24" t="s">
        <v>73</v>
      </c>
      <c r="B25" s="24">
        <v>19</v>
      </c>
      <c r="C25" s="24">
        <v>18</v>
      </c>
      <c r="D25" s="24">
        <v>18</v>
      </c>
      <c r="E25" s="24">
        <v>41</v>
      </c>
      <c r="F25" s="24">
        <f t="shared" si="0"/>
        <v>55</v>
      </c>
      <c r="H25" s="46" t="s">
        <v>70</v>
      </c>
      <c r="I25" s="49">
        <v>0.92400000000000004</v>
      </c>
      <c r="J25" s="49">
        <v>0.29199999999999998</v>
      </c>
      <c r="K25" s="86">
        <v>3.16</v>
      </c>
      <c r="L25" s="86">
        <v>2E-3</v>
      </c>
      <c r="M25" s="49">
        <v>1.71</v>
      </c>
      <c r="O25" s="38" t="s">
        <v>154</v>
      </c>
      <c r="P25" s="38">
        <v>3</v>
      </c>
      <c r="Q25" s="38">
        <v>3796.5657776555881</v>
      </c>
      <c r="R25" s="38">
        <v>1265.521925885196</v>
      </c>
      <c r="S25" s="38">
        <v>26.476079799560903</v>
      </c>
      <c r="T25" s="38">
        <v>1.4517355293272967E-12</v>
      </c>
    </row>
    <row r="26" spans="1:23" x14ac:dyDescent="0.3">
      <c r="A26" s="24" t="s">
        <v>73</v>
      </c>
      <c r="B26" s="24">
        <v>21</v>
      </c>
      <c r="C26" s="24">
        <v>19</v>
      </c>
      <c r="D26" s="24">
        <v>19</v>
      </c>
      <c r="E26" s="24">
        <v>44</v>
      </c>
      <c r="F26" s="24">
        <f t="shared" si="0"/>
        <v>59</v>
      </c>
      <c r="H26" s="46" t="s">
        <v>69</v>
      </c>
      <c r="I26" s="49">
        <v>1.7999999999999999E-2</v>
      </c>
      <c r="J26" s="49">
        <v>0.41</v>
      </c>
      <c r="K26" s="86">
        <v>0.04</v>
      </c>
      <c r="L26" s="86">
        <v>0.96499999999999997</v>
      </c>
      <c r="M26" s="49">
        <v>2.1800000000000002</v>
      </c>
      <c r="O26" s="38" t="s">
        <v>155</v>
      </c>
      <c r="P26" s="38">
        <v>96</v>
      </c>
      <c r="Q26" s="38">
        <v>4588.6742223444153</v>
      </c>
      <c r="R26" s="38">
        <v>47.798689816087659</v>
      </c>
      <c r="S26" s="38"/>
      <c r="T26" s="38"/>
    </row>
    <row r="27" spans="1:23" ht="15" thickBot="1" x14ac:dyDescent="0.35">
      <c r="A27" s="24" t="s">
        <v>73</v>
      </c>
      <c r="B27" s="24">
        <v>20</v>
      </c>
      <c r="C27" s="24">
        <v>17</v>
      </c>
      <c r="D27" s="24">
        <v>16</v>
      </c>
      <c r="E27" s="24">
        <v>34</v>
      </c>
      <c r="F27" s="24">
        <f t="shared" si="0"/>
        <v>53</v>
      </c>
      <c r="H27" s="46" t="s">
        <v>71</v>
      </c>
      <c r="I27" s="49">
        <v>1.67</v>
      </c>
      <c r="J27" s="49">
        <v>0.52200000000000002</v>
      </c>
      <c r="K27" s="86">
        <v>3.2</v>
      </c>
      <c r="L27" s="86">
        <v>2E-3</v>
      </c>
      <c r="M27" s="49">
        <v>3.12</v>
      </c>
      <c r="O27" s="39" t="s">
        <v>156</v>
      </c>
      <c r="P27" s="39">
        <v>99</v>
      </c>
      <c r="Q27" s="39">
        <v>8385.2400000000034</v>
      </c>
      <c r="R27" s="39"/>
      <c r="S27" s="39"/>
      <c r="T27" s="39"/>
    </row>
    <row r="28" spans="1:23" ht="15.6" thickBot="1" x14ac:dyDescent="0.35">
      <c r="A28" s="24" t="s">
        <v>73</v>
      </c>
      <c r="B28" s="24">
        <v>21</v>
      </c>
      <c r="C28" s="24">
        <v>23</v>
      </c>
      <c r="D28" s="24">
        <v>21</v>
      </c>
      <c r="E28" s="24">
        <v>39</v>
      </c>
      <c r="F28" s="24">
        <f t="shared" si="0"/>
        <v>65</v>
      </c>
      <c r="H28" s="96" t="s">
        <v>221</v>
      </c>
    </row>
    <row r="29" spans="1:23" ht="15" thickBot="1" x14ac:dyDescent="0.35">
      <c r="A29" s="24" t="s">
        <v>73</v>
      </c>
      <c r="B29" s="24">
        <v>24</v>
      </c>
      <c r="C29" s="24">
        <v>20</v>
      </c>
      <c r="D29" s="24">
        <v>22</v>
      </c>
      <c r="E29" s="24">
        <v>49</v>
      </c>
      <c r="F29" s="24">
        <f t="shared" si="0"/>
        <v>66</v>
      </c>
      <c r="H29" s="98" t="s">
        <v>222</v>
      </c>
      <c r="I29" s="98" t="s">
        <v>223</v>
      </c>
      <c r="J29" s="98" t="s">
        <v>224</v>
      </c>
      <c r="K29" s="98" t="s">
        <v>225</v>
      </c>
      <c r="O29" s="40"/>
      <c r="P29" s="40" t="s">
        <v>163</v>
      </c>
      <c r="Q29" s="40" t="s">
        <v>151</v>
      </c>
      <c r="R29" s="40" t="s">
        <v>164</v>
      </c>
      <c r="S29" s="40" t="s">
        <v>165</v>
      </c>
      <c r="T29" s="40" t="s">
        <v>166</v>
      </c>
      <c r="U29" s="40" t="s">
        <v>167</v>
      </c>
      <c r="V29" s="40" t="s">
        <v>168</v>
      </c>
      <c r="W29" s="40" t="s">
        <v>169</v>
      </c>
    </row>
    <row r="30" spans="1:23" x14ac:dyDescent="0.3">
      <c r="A30" s="24" t="s">
        <v>73</v>
      </c>
      <c r="B30" s="24">
        <v>20</v>
      </c>
      <c r="C30" s="24">
        <v>17</v>
      </c>
      <c r="D30" s="24">
        <v>20</v>
      </c>
      <c r="E30" s="24">
        <v>37</v>
      </c>
      <c r="F30" s="24">
        <f t="shared" si="0"/>
        <v>57</v>
      </c>
      <c r="H30" s="49">
        <v>6.9136600000000001</v>
      </c>
      <c r="I30" s="51">
        <v>0.45279999999999998</v>
      </c>
      <c r="J30" s="51">
        <v>0.43569999999999998</v>
      </c>
      <c r="K30" s="51">
        <v>0.40849999999999997</v>
      </c>
      <c r="O30" s="38" t="s">
        <v>157</v>
      </c>
      <c r="P30" s="38">
        <v>-10.943547976318275</v>
      </c>
      <c r="Q30" s="38">
        <v>6.1231971945536934</v>
      </c>
      <c r="R30" s="38">
        <v>-1.7872277551426998</v>
      </c>
      <c r="S30" s="38">
        <v>7.7056582458473202E-2</v>
      </c>
      <c r="T30" s="38">
        <v>-23.097998343865672</v>
      </c>
      <c r="U30" s="38">
        <v>1.2109023912291228</v>
      </c>
      <c r="V30" s="38">
        <v>-23.097998343865672</v>
      </c>
      <c r="W30" s="38">
        <v>1.2109023912291228</v>
      </c>
    </row>
    <row r="31" spans="1:23" ht="15" x14ac:dyDescent="0.3">
      <c r="A31" s="24" t="s">
        <v>73</v>
      </c>
      <c r="B31" s="24">
        <v>17</v>
      </c>
      <c r="C31" s="24">
        <v>18</v>
      </c>
      <c r="D31" s="24">
        <v>14</v>
      </c>
      <c r="E31" s="24">
        <v>40</v>
      </c>
      <c r="F31" s="24">
        <f t="shared" si="0"/>
        <v>49</v>
      </c>
      <c r="H31" s="96" t="s">
        <v>226</v>
      </c>
      <c r="O31" s="38" t="s">
        <v>69</v>
      </c>
      <c r="P31" s="38">
        <v>1.7934162013618554E-2</v>
      </c>
      <c r="Q31" s="38">
        <v>0.41039304947645333</v>
      </c>
      <c r="R31" s="118">
        <v>4.3699965280838762E-2</v>
      </c>
      <c r="S31" s="118">
        <v>0.96523433429480865</v>
      </c>
      <c r="T31" s="38">
        <v>-0.79668960275500045</v>
      </c>
      <c r="U31" s="38">
        <v>0.8325579267822375</v>
      </c>
      <c r="V31" s="38">
        <v>-0.79668960275500045</v>
      </c>
      <c r="W31" s="38">
        <v>0.8325579267822375</v>
      </c>
    </row>
    <row r="32" spans="1:23" ht="15" thickBot="1" x14ac:dyDescent="0.35">
      <c r="A32" s="24" t="s">
        <v>73</v>
      </c>
      <c r="B32" s="24">
        <v>21</v>
      </c>
      <c r="C32" s="24">
        <v>17</v>
      </c>
      <c r="D32" s="24">
        <v>20</v>
      </c>
      <c r="E32" s="24">
        <v>50</v>
      </c>
      <c r="F32" s="24">
        <f t="shared" si="0"/>
        <v>58</v>
      </c>
      <c r="H32" s="97" t="s">
        <v>227</v>
      </c>
      <c r="I32" s="98" t="s">
        <v>228</v>
      </c>
      <c r="J32" s="98" t="s">
        <v>229</v>
      </c>
      <c r="K32" s="98" t="s">
        <v>230</v>
      </c>
      <c r="L32" s="98" t="s">
        <v>231</v>
      </c>
      <c r="M32" s="98" t="s">
        <v>218</v>
      </c>
      <c r="O32" s="38" t="s">
        <v>70</v>
      </c>
      <c r="P32" s="38">
        <v>0.924117063663492</v>
      </c>
      <c r="Q32" s="38">
        <v>0.29245558538440902</v>
      </c>
      <c r="R32" s="118">
        <v>3.159854384209539</v>
      </c>
      <c r="S32" s="118">
        <v>2.1115890151741884E-3</v>
      </c>
      <c r="T32" s="38">
        <v>0.34359731485832401</v>
      </c>
      <c r="U32" s="38">
        <v>1.50463681246866</v>
      </c>
      <c r="V32" s="38">
        <v>0.34359731485832401</v>
      </c>
      <c r="W32" s="38">
        <v>1.50463681246866</v>
      </c>
    </row>
    <row r="33" spans="1:23" ht="15" thickBot="1" x14ac:dyDescent="0.35">
      <c r="A33" s="24" t="s">
        <v>73</v>
      </c>
      <c r="B33" s="24">
        <v>21</v>
      </c>
      <c r="C33" s="24">
        <v>19</v>
      </c>
      <c r="D33" s="24">
        <v>21</v>
      </c>
      <c r="E33" s="24">
        <v>50</v>
      </c>
      <c r="F33" s="24">
        <f t="shared" si="0"/>
        <v>61</v>
      </c>
      <c r="H33" s="46" t="s">
        <v>154</v>
      </c>
      <c r="I33" s="49">
        <v>3</v>
      </c>
      <c r="J33" s="49">
        <v>3796.57</v>
      </c>
      <c r="K33" s="49">
        <v>1265.52</v>
      </c>
      <c r="L33" s="49">
        <v>26.48</v>
      </c>
      <c r="M33" s="49">
        <v>0</v>
      </c>
      <c r="O33" s="39" t="s">
        <v>71</v>
      </c>
      <c r="P33" s="39">
        <v>1.6697634208189136</v>
      </c>
      <c r="Q33" s="39">
        <v>0.5218973250571749</v>
      </c>
      <c r="R33" s="119">
        <v>3.1994098085020606</v>
      </c>
      <c r="S33" s="119">
        <v>1.8665727269805603E-3</v>
      </c>
      <c r="T33" s="39">
        <v>0.6338054183548858</v>
      </c>
      <c r="U33" s="39">
        <v>2.7057214232829416</v>
      </c>
      <c r="V33" s="39">
        <v>0.6338054183548858</v>
      </c>
      <c r="W33" s="39">
        <v>2.7057214232829416</v>
      </c>
    </row>
    <row r="34" spans="1:23" x14ac:dyDescent="0.3">
      <c r="A34" s="24" t="s">
        <v>73</v>
      </c>
      <c r="B34" s="24">
        <v>20</v>
      </c>
      <c r="C34" s="24">
        <v>16</v>
      </c>
      <c r="D34" s="24">
        <v>19</v>
      </c>
      <c r="E34" s="24">
        <v>35</v>
      </c>
      <c r="F34" s="24">
        <f t="shared" si="0"/>
        <v>55</v>
      </c>
      <c r="H34" s="46" t="s">
        <v>492</v>
      </c>
      <c r="I34" s="49">
        <v>1</v>
      </c>
      <c r="J34" s="49">
        <v>477.25</v>
      </c>
      <c r="K34" s="49">
        <v>477.25</v>
      </c>
      <c r="L34" s="49">
        <v>9.98</v>
      </c>
      <c r="M34" s="49">
        <v>2E-3</v>
      </c>
    </row>
    <row r="35" spans="1:23" x14ac:dyDescent="0.3">
      <c r="A35" s="24" t="s">
        <v>73</v>
      </c>
      <c r="B35" s="24">
        <v>17</v>
      </c>
      <c r="C35" s="24">
        <v>11</v>
      </c>
      <c r="D35" s="24">
        <v>13</v>
      </c>
      <c r="E35" s="24">
        <v>22</v>
      </c>
      <c r="F35" s="24">
        <f t="shared" si="0"/>
        <v>41</v>
      </c>
      <c r="H35" s="46" t="s">
        <v>493</v>
      </c>
      <c r="I35" s="49">
        <v>1</v>
      </c>
      <c r="J35" s="49">
        <v>0.09</v>
      </c>
      <c r="K35" s="49">
        <v>0.09</v>
      </c>
      <c r="L35" s="49">
        <v>0</v>
      </c>
      <c r="M35" s="49">
        <v>0.96499999999999997</v>
      </c>
      <c r="O35" t="s">
        <v>608</v>
      </c>
    </row>
    <row r="36" spans="1:23" x14ac:dyDescent="0.3">
      <c r="A36" s="24" t="s">
        <v>73</v>
      </c>
      <c r="B36" s="24">
        <v>21</v>
      </c>
      <c r="C36" s="24">
        <v>16</v>
      </c>
      <c r="D36" s="24">
        <v>20</v>
      </c>
      <c r="E36" s="24">
        <v>45</v>
      </c>
      <c r="F36" s="24">
        <f t="shared" si="0"/>
        <v>57</v>
      </c>
      <c r="H36" s="46" t="s">
        <v>494</v>
      </c>
      <c r="I36" s="49">
        <v>1</v>
      </c>
      <c r="J36" s="49">
        <v>489.28</v>
      </c>
      <c r="K36" s="49">
        <v>489.28</v>
      </c>
      <c r="L36" s="49">
        <v>10.24</v>
      </c>
      <c r="M36" s="49">
        <v>2E-3</v>
      </c>
      <c r="O36" s="103" t="s">
        <v>609</v>
      </c>
      <c r="P36" s="103"/>
      <c r="Q36" s="103"/>
      <c r="R36" s="103"/>
    </row>
    <row r="37" spans="1:23" x14ac:dyDescent="0.3">
      <c r="A37" s="24" t="s">
        <v>73</v>
      </c>
      <c r="B37" s="24">
        <v>23</v>
      </c>
      <c r="C37" s="24">
        <v>20</v>
      </c>
      <c r="D37" s="24">
        <v>23</v>
      </c>
      <c r="E37" s="24">
        <v>44</v>
      </c>
      <c r="F37" s="24">
        <f t="shared" si="0"/>
        <v>66</v>
      </c>
      <c r="H37" s="46" t="s">
        <v>234</v>
      </c>
      <c r="I37" s="49">
        <v>96</v>
      </c>
      <c r="J37" s="49">
        <v>4588.67</v>
      </c>
      <c r="K37" s="49">
        <v>47.8</v>
      </c>
      <c r="L37" s="50"/>
      <c r="M37" s="50"/>
    </row>
    <row r="38" spans="1:23" x14ac:dyDescent="0.3">
      <c r="A38" s="24" t="s">
        <v>73</v>
      </c>
      <c r="B38" s="24">
        <v>17</v>
      </c>
      <c r="C38" s="24">
        <v>19</v>
      </c>
      <c r="D38" s="24">
        <v>16</v>
      </c>
      <c r="E38" s="24">
        <v>38</v>
      </c>
      <c r="F38" s="24">
        <f t="shared" si="0"/>
        <v>52</v>
      </c>
      <c r="H38" s="46" t="s">
        <v>235</v>
      </c>
      <c r="I38" s="49">
        <v>79</v>
      </c>
      <c r="J38" s="49">
        <v>4165.84</v>
      </c>
      <c r="K38" s="49">
        <v>52.73</v>
      </c>
      <c r="L38" s="49">
        <v>2.12</v>
      </c>
      <c r="M38" s="49">
        <v>4.1000000000000002E-2</v>
      </c>
      <c r="O38" s="157" t="s">
        <v>614</v>
      </c>
      <c r="P38" s="157"/>
      <c r="Q38" s="157"/>
      <c r="R38" s="157"/>
      <c r="S38" s="157"/>
      <c r="T38" s="157"/>
      <c r="U38" s="157"/>
      <c r="V38" s="157"/>
    </row>
    <row r="39" spans="1:23" x14ac:dyDescent="0.3">
      <c r="A39" s="24" t="s">
        <v>73</v>
      </c>
      <c r="B39" s="24">
        <v>22</v>
      </c>
      <c r="C39" s="24">
        <v>14</v>
      </c>
      <c r="D39" s="24">
        <v>15</v>
      </c>
      <c r="E39" s="24">
        <v>14</v>
      </c>
      <c r="F39" s="24">
        <f t="shared" si="0"/>
        <v>51</v>
      </c>
      <c r="H39" s="46" t="s">
        <v>236</v>
      </c>
      <c r="I39" s="49">
        <v>17</v>
      </c>
      <c r="J39" s="49">
        <v>422.83</v>
      </c>
      <c r="K39" s="49">
        <v>24.87</v>
      </c>
      <c r="L39" s="50"/>
      <c r="M39" s="50"/>
      <c r="O39" s="157"/>
      <c r="P39" s="157"/>
      <c r="Q39" s="157"/>
      <c r="R39" s="157"/>
      <c r="S39" s="157"/>
      <c r="T39" s="157"/>
      <c r="U39" s="157"/>
      <c r="V39" s="157"/>
    </row>
    <row r="40" spans="1:23" x14ac:dyDescent="0.3">
      <c r="A40" s="24" t="s">
        <v>73</v>
      </c>
      <c r="B40" s="24">
        <v>19</v>
      </c>
      <c r="C40" s="24">
        <v>19</v>
      </c>
      <c r="D40" s="24">
        <v>18</v>
      </c>
      <c r="E40" s="24">
        <v>44</v>
      </c>
      <c r="F40" s="24">
        <f t="shared" si="0"/>
        <v>56</v>
      </c>
      <c r="H40" s="46" t="s">
        <v>156</v>
      </c>
      <c r="I40" s="49">
        <v>99</v>
      </c>
      <c r="J40" s="49">
        <v>8385.24</v>
      </c>
      <c r="K40" s="50"/>
      <c r="L40" s="50"/>
      <c r="M40" s="50"/>
      <c r="O40" s="157"/>
      <c r="P40" s="157"/>
      <c r="Q40" s="157"/>
      <c r="R40" s="157"/>
      <c r="S40" s="157"/>
      <c r="T40" s="157"/>
      <c r="U40" s="157"/>
      <c r="V40" s="157"/>
    </row>
    <row r="41" spans="1:23" ht="15" x14ac:dyDescent="0.3">
      <c r="A41" s="24" t="s">
        <v>73</v>
      </c>
      <c r="B41" s="24">
        <v>21</v>
      </c>
      <c r="C41" s="24">
        <v>19</v>
      </c>
      <c r="D41" s="24">
        <v>20</v>
      </c>
      <c r="E41" s="24">
        <v>51</v>
      </c>
      <c r="F41" s="24">
        <f t="shared" si="0"/>
        <v>60</v>
      </c>
      <c r="H41" s="96" t="s">
        <v>237</v>
      </c>
      <c r="O41" s="157"/>
      <c r="P41" s="157"/>
      <c r="Q41" s="157"/>
      <c r="R41" s="157"/>
      <c r="S41" s="157"/>
      <c r="T41" s="157"/>
      <c r="U41" s="157"/>
      <c r="V41" s="157"/>
    </row>
    <row r="42" spans="1:23" ht="15" thickBot="1" x14ac:dyDescent="0.35">
      <c r="A42" s="24" t="s">
        <v>73</v>
      </c>
      <c r="B42" s="24">
        <v>19</v>
      </c>
      <c r="C42" s="24">
        <v>14</v>
      </c>
      <c r="D42" s="24">
        <v>16</v>
      </c>
      <c r="E42" s="24">
        <v>27</v>
      </c>
      <c r="F42" s="24">
        <f t="shared" si="0"/>
        <v>49</v>
      </c>
      <c r="H42" s="98" t="s">
        <v>238</v>
      </c>
      <c r="I42" s="98" t="s">
        <v>72</v>
      </c>
      <c r="J42" s="98" t="s">
        <v>239</v>
      </c>
      <c r="K42" s="98" t="s">
        <v>240</v>
      </c>
      <c r="L42" s="98" t="s">
        <v>241</v>
      </c>
      <c r="M42" s="97"/>
      <c r="N42" s="97"/>
      <c r="O42" s="157"/>
      <c r="P42" s="157"/>
      <c r="Q42" s="157"/>
      <c r="R42" s="157"/>
      <c r="S42" s="157"/>
      <c r="T42" s="157"/>
      <c r="U42" s="157"/>
      <c r="V42" s="157"/>
    </row>
    <row r="43" spans="1:23" x14ac:dyDescent="0.3">
      <c r="A43" s="24" t="s">
        <v>73</v>
      </c>
      <c r="B43" s="24">
        <v>19</v>
      </c>
      <c r="C43" s="24">
        <v>17</v>
      </c>
      <c r="D43" s="24">
        <v>19</v>
      </c>
      <c r="E43" s="24">
        <v>44</v>
      </c>
      <c r="F43" s="24">
        <f t="shared" si="0"/>
        <v>55</v>
      </c>
      <c r="H43" s="49">
        <v>4</v>
      </c>
      <c r="I43" s="49">
        <v>56</v>
      </c>
      <c r="J43" s="49">
        <v>41.17</v>
      </c>
      <c r="K43" s="49">
        <v>14.83</v>
      </c>
      <c r="L43" s="49">
        <v>2.17</v>
      </c>
      <c r="M43" s="46" t="s">
        <v>242</v>
      </c>
      <c r="N43" s="50"/>
      <c r="O43" s="157"/>
      <c r="P43" s="157"/>
      <c r="Q43" s="157"/>
      <c r="R43" s="157"/>
      <c r="S43" s="157"/>
      <c r="T43" s="157"/>
      <c r="U43" s="157"/>
      <c r="V43" s="157"/>
    </row>
    <row r="44" spans="1:23" x14ac:dyDescent="0.3">
      <c r="A44" s="24" t="s">
        <v>73</v>
      </c>
      <c r="B44" s="24">
        <v>21</v>
      </c>
      <c r="C44" s="24">
        <v>13</v>
      </c>
      <c r="D44" s="24">
        <v>21</v>
      </c>
      <c r="E44" s="24">
        <v>39</v>
      </c>
      <c r="F44" s="24">
        <f t="shared" si="0"/>
        <v>55</v>
      </c>
      <c r="H44" s="49">
        <v>23</v>
      </c>
      <c r="I44" s="49">
        <v>14</v>
      </c>
      <c r="J44" s="49">
        <v>27.44</v>
      </c>
      <c r="K44" s="49">
        <v>-13.44</v>
      </c>
      <c r="L44" s="49">
        <v>-2.06</v>
      </c>
      <c r="M44" s="46" t="s">
        <v>242</v>
      </c>
      <c r="N44" s="50"/>
      <c r="O44" s="157"/>
      <c r="P44" s="157"/>
      <c r="Q44" s="157"/>
      <c r="R44" s="157"/>
      <c r="S44" s="157"/>
      <c r="T44" s="157"/>
      <c r="U44" s="157"/>
      <c r="V44" s="157"/>
    </row>
    <row r="45" spans="1:23" x14ac:dyDescent="0.3">
      <c r="A45" s="24" t="s">
        <v>73</v>
      </c>
      <c r="B45" s="24">
        <v>24</v>
      </c>
      <c r="C45" s="24">
        <v>21</v>
      </c>
      <c r="D45" s="24">
        <v>21</v>
      </c>
      <c r="E45" s="24">
        <v>50</v>
      </c>
      <c r="F45" s="24">
        <f t="shared" si="0"/>
        <v>66</v>
      </c>
      <c r="H45" s="49">
        <v>40</v>
      </c>
      <c r="I45" s="49">
        <v>63</v>
      </c>
      <c r="J45" s="49">
        <v>41.19</v>
      </c>
      <c r="K45" s="49">
        <v>21.81</v>
      </c>
      <c r="L45" s="49">
        <v>3.21</v>
      </c>
      <c r="M45" s="46" t="s">
        <v>242</v>
      </c>
      <c r="N45" s="50"/>
    </row>
    <row r="46" spans="1:23" x14ac:dyDescent="0.3">
      <c r="A46" s="24" t="s">
        <v>73</v>
      </c>
      <c r="B46" s="24">
        <v>19</v>
      </c>
      <c r="C46" s="24">
        <v>16</v>
      </c>
      <c r="D46" s="24">
        <v>19</v>
      </c>
      <c r="E46" s="24">
        <v>35</v>
      </c>
      <c r="F46" s="24">
        <f t="shared" si="0"/>
        <v>54</v>
      </c>
      <c r="H46" s="49">
        <v>43</v>
      </c>
      <c r="I46" s="49">
        <v>53</v>
      </c>
      <c r="J46" s="49">
        <v>38.700000000000003</v>
      </c>
      <c r="K46" s="49">
        <v>14.3</v>
      </c>
      <c r="L46" s="49">
        <v>2.08</v>
      </c>
      <c r="M46" s="46" t="s">
        <v>242</v>
      </c>
      <c r="N46" s="50"/>
    </row>
    <row r="47" spans="1:23" x14ac:dyDescent="0.3">
      <c r="A47" s="24" t="s">
        <v>73</v>
      </c>
      <c r="B47" s="24">
        <v>17</v>
      </c>
      <c r="C47" s="24">
        <v>15</v>
      </c>
      <c r="D47" s="24">
        <v>15</v>
      </c>
      <c r="E47" s="24">
        <v>31</v>
      </c>
      <c r="F47" s="24">
        <f t="shared" si="0"/>
        <v>47</v>
      </c>
      <c r="H47" s="49">
        <v>77</v>
      </c>
      <c r="I47" s="49">
        <v>32</v>
      </c>
      <c r="J47" s="49">
        <v>36.049999999999997</v>
      </c>
      <c r="K47" s="49">
        <v>-4.05</v>
      </c>
      <c r="L47" s="49">
        <v>-0.64</v>
      </c>
      <c r="M47" s="50"/>
      <c r="N47" s="46" t="s">
        <v>390</v>
      </c>
    </row>
    <row r="48" spans="1:23" x14ac:dyDescent="0.3">
      <c r="A48" s="24" t="s">
        <v>73</v>
      </c>
      <c r="B48" s="24">
        <v>19</v>
      </c>
      <c r="C48" s="24">
        <v>16</v>
      </c>
      <c r="D48" s="24">
        <v>19</v>
      </c>
      <c r="E48" s="24">
        <v>34</v>
      </c>
      <c r="F48" s="24">
        <f t="shared" si="0"/>
        <v>54</v>
      </c>
      <c r="H48" s="49">
        <v>97</v>
      </c>
      <c r="I48" s="49">
        <v>33</v>
      </c>
      <c r="J48" s="49">
        <v>46.68</v>
      </c>
      <c r="K48" s="49">
        <v>-13.68</v>
      </c>
      <c r="L48" s="49">
        <v>-2.04</v>
      </c>
      <c r="M48" s="46" t="s">
        <v>242</v>
      </c>
      <c r="N48" s="50"/>
    </row>
    <row r="49" spans="1:8" x14ac:dyDescent="0.3">
      <c r="A49" s="24" t="s">
        <v>73</v>
      </c>
      <c r="B49" s="24">
        <v>22</v>
      </c>
      <c r="C49" s="24">
        <v>19</v>
      </c>
      <c r="D49" s="24">
        <v>21</v>
      </c>
      <c r="E49" s="24">
        <v>48</v>
      </c>
      <c r="F49" s="24">
        <f t="shared" si="0"/>
        <v>62</v>
      </c>
      <c r="H49" t="s">
        <v>243</v>
      </c>
    </row>
    <row r="50" spans="1:8" x14ac:dyDescent="0.3">
      <c r="A50" s="24" t="s">
        <v>73</v>
      </c>
      <c r="B50" s="24">
        <v>22</v>
      </c>
      <c r="C50" s="24">
        <v>18</v>
      </c>
      <c r="D50" s="24">
        <v>20</v>
      </c>
      <c r="E50" s="24">
        <v>48</v>
      </c>
      <c r="F50" s="24">
        <f t="shared" si="0"/>
        <v>60</v>
      </c>
      <c r="H50" t="s">
        <v>391</v>
      </c>
    </row>
    <row r="51" spans="1:8" ht="15" x14ac:dyDescent="0.3">
      <c r="A51" s="24" t="s">
        <v>73</v>
      </c>
      <c r="B51" s="24">
        <v>14</v>
      </c>
      <c r="C51" s="24">
        <v>15</v>
      </c>
      <c r="D51" s="24">
        <v>15</v>
      </c>
      <c r="E51" s="24">
        <v>30</v>
      </c>
      <c r="F51" s="24">
        <f t="shared" si="0"/>
        <v>44</v>
      </c>
      <c r="H51" s="96"/>
    </row>
    <row r="52" spans="1:8" x14ac:dyDescent="0.3">
      <c r="A52" s="24" t="s">
        <v>73</v>
      </c>
      <c r="B52" s="24">
        <v>22</v>
      </c>
      <c r="C52" s="24">
        <v>22</v>
      </c>
      <c r="D52" s="24">
        <v>21</v>
      </c>
      <c r="E52" s="24">
        <v>42</v>
      </c>
      <c r="F52" s="24">
        <f t="shared" si="0"/>
        <v>65</v>
      </c>
      <c r="H52" s="26"/>
    </row>
    <row r="53" spans="1:8" x14ac:dyDescent="0.3">
      <c r="A53" s="24" t="s">
        <v>73</v>
      </c>
      <c r="B53" s="24">
        <v>20</v>
      </c>
      <c r="C53" s="24">
        <v>15</v>
      </c>
      <c r="D53" s="24">
        <v>18</v>
      </c>
      <c r="E53" s="24">
        <v>26</v>
      </c>
      <c r="F53" s="24">
        <f t="shared" si="0"/>
        <v>53</v>
      </c>
      <c r="H53" s="26"/>
    </row>
    <row r="54" spans="1:8" x14ac:dyDescent="0.3">
      <c r="A54" s="24" t="s">
        <v>73</v>
      </c>
      <c r="B54" s="24">
        <v>18</v>
      </c>
      <c r="C54" s="24">
        <v>14</v>
      </c>
      <c r="D54" s="24">
        <v>17</v>
      </c>
      <c r="E54" s="24">
        <v>35</v>
      </c>
      <c r="F54" s="24">
        <f t="shared" si="0"/>
        <v>49</v>
      </c>
      <c r="H54" s="26"/>
    </row>
    <row r="55" spans="1:8" x14ac:dyDescent="0.3">
      <c r="A55" s="24" t="s">
        <v>73</v>
      </c>
      <c r="B55" s="24">
        <v>18</v>
      </c>
      <c r="C55" s="24">
        <v>20</v>
      </c>
      <c r="D55" s="24">
        <v>16</v>
      </c>
      <c r="E55" s="24">
        <v>32</v>
      </c>
      <c r="F55" s="24">
        <f t="shared" si="0"/>
        <v>54</v>
      </c>
      <c r="H55" s="26"/>
    </row>
    <row r="56" spans="1:8" x14ac:dyDescent="0.3">
      <c r="A56" s="24" t="s">
        <v>73</v>
      </c>
      <c r="B56" s="24">
        <v>24</v>
      </c>
      <c r="C56" s="24">
        <v>18</v>
      </c>
      <c r="D56" s="24">
        <v>21</v>
      </c>
      <c r="E56" s="24">
        <v>63</v>
      </c>
      <c r="F56" s="24">
        <f t="shared" si="0"/>
        <v>63</v>
      </c>
      <c r="H56" s="26"/>
    </row>
    <row r="57" spans="1:8" x14ac:dyDescent="0.3">
      <c r="A57" s="24" t="s">
        <v>73</v>
      </c>
      <c r="B57" s="24">
        <v>21</v>
      </c>
      <c r="C57" s="24">
        <v>17</v>
      </c>
      <c r="D57" s="24">
        <v>18</v>
      </c>
      <c r="E57" s="24">
        <v>36</v>
      </c>
      <c r="F57" s="24">
        <f t="shared" si="0"/>
        <v>56</v>
      </c>
      <c r="H57" s="26"/>
    </row>
    <row r="58" spans="1:8" x14ac:dyDescent="0.3">
      <c r="A58" s="24" t="s">
        <v>73</v>
      </c>
      <c r="B58" s="24">
        <v>18</v>
      </c>
      <c r="C58" s="24">
        <v>17</v>
      </c>
      <c r="D58" s="24">
        <v>17</v>
      </c>
      <c r="E58" s="24">
        <v>38</v>
      </c>
      <c r="F58" s="24">
        <f t="shared" si="0"/>
        <v>52</v>
      </c>
      <c r="H58" s="26"/>
    </row>
    <row r="59" spans="1:8" x14ac:dyDescent="0.3">
      <c r="A59" s="24" t="s">
        <v>73</v>
      </c>
      <c r="B59" s="24">
        <v>20</v>
      </c>
      <c r="C59" s="24">
        <v>19</v>
      </c>
      <c r="D59" s="24">
        <v>19</v>
      </c>
      <c r="E59" s="24">
        <v>53</v>
      </c>
      <c r="F59" s="24">
        <f t="shared" si="0"/>
        <v>58</v>
      </c>
      <c r="H59" s="26"/>
    </row>
    <row r="60" spans="1:8" x14ac:dyDescent="0.3">
      <c r="A60" s="24" t="s">
        <v>73</v>
      </c>
      <c r="B60" s="24">
        <v>21</v>
      </c>
      <c r="C60" s="24">
        <v>10</v>
      </c>
      <c r="D60" s="24">
        <v>17</v>
      </c>
      <c r="E60" s="24">
        <v>23</v>
      </c>
      <c r="F60" s="24">
        <f t="shared" si="0"/>
        <v>48</v>
      </c>
      <c r="H60" s="26"/>
    </row>
    <row r="61" spans="1:8" x14ac:dyDescent="0.3">
      <c r="A61" s="24" t="s">
        <v>73</v>
      </c>
      <c r="B61" s="24">
        <v>19</v>
      </c>
      <c r="C61" s="24">
        <v>14</v>
      </c>
      <c r="D61" s="24">
        <v>19</v>
      </c>
      <c r="E61" s="24">
        <v>39</v>
      </c>
      <c r="F61" s="24">
        <f t="shared" si="0"/>
        <v>52</v>
      </c>
      <c r="H61" s="26"/>
    </row>
    <row r="62" spans="1:8" x14ac:dyDescent="0.3">
      <c r="A62" s="24" t="s">
        <v>73</v>
      </c>
      <c r="B62" s="24">
        <v>18</v>
      </c>
      <c r="C62" s="24">
        <v>17</v>
      </c>
      <c r="D62" s="24">
        <v>17</v>
      </c>
      <c r="E62" s="24">
        <v>45</v>
      </c>
      <c r="F62" s="24">
        <f t="shared" si="0"/>
        <v>52</v>
      </c>
      <c r="H62" s="26"/>
    </row>
    <row r="63" spans="1:8" x14ac:dyDescent="0.3">
      <c r="A63" s="24" t="s">
        <v>73</v>
      </c>
      <c r="B63" s="24">
        <v>20</v>
      </c>
      <c r="C63" s="24">
        <v>16</v>
      </c>
      <c r="D63" s="24">
        <v>17</v>
      </c>
      <c r="E63" s="24">
        <v>37</v>
      </c>
      <c r="F63" s="24">
        <f t="shared" si="0"/>
        <v>53</v>
      </c>
      <c r="H63" s="26"/>
    </row>
    <row r="64" spans="1:8" x14ac:dyDescent="0.3">
      <c r="A64" s="24" t="s">
        <v>73</v>
      </c>
      <c r="B64" s="24">
        <v>21</v>
      </c>
      <c r="C64" s="24">
        <v>12</v>
      </c>
      <c r="D64" s="24">
        <v>14</v>
      </c>
      <c r="E64" s="24">
        <v>31</v>
      </c>
      <c r="F64" s="24">
        <f t="shared" si="0"/>
        <v>47</v>
      </c>
      <c r="H64" s="26"/>
    </row>
    <row r="65" spans="1:32" x14ac:dyDescent="0.3">
      <c r="A65" s="24" t="s">
        <v>73</v>
      </c>
      <c r="B65" s="24">
        <v>19</v>
      </c>
      <c r="C65" s="24">
        <v>17</v>
      </c>
      <c r="D65" s="24">
        <v>19</v>
      </c>
      <c r="E65" s="24">
        <v>39</v>
      </c>
      <c r="F65" s="24">
        <f t="shared" si="0"/>
        <v>55</v>
      </c>
      <c r="G65" t="s">
        <v>196</v>
      </c>
      <c r="H65" s="26" t="s">
        <v>495</v>
      </c>
    </row>
    <row r="66" spans="1:32" x14ac:dyDescent="0.3">
      <c r="A66" s="24" t="s">
        <v>73</v>
      </c>
      <c r="B66" s="24">
        <v>21</v>
      </c>
      <c r="C66" s="24">
        <v>20</v>
      </c>
      <c r="D66" s="24">
        <v>20</v>
      </c>
      <c r="E66" s="24">
        <v>53</v>
      </c>
      <c r="F66" s="24">
        <f t="shared" si="0"/>
        <v>61</v>
      </c>
      <c r="H66" s="26"/>
    </row>
    <row r="67" spans="1:32" ht="18" x14ac:dyDescent="0.35">
      <c r="A67" s="24" t="s">
        <v>74</v>
      </c>
      <c r="B67" s="24">
        <v>21</v>
      </c>
      <c r="C67" s="24">
        <v>18</v>
      </c>
      <c r="D67" s="24">
        <v>21</v>
      </c>
      <c r="E67" s="24">
        <v>37</v>
      </c>
      <c r="F67" s="24">
        <f t="shared" si="0"/>
        <v>60</v>
      </c>
      <c r="H67" s="26"/>
      <c r="I67" s="124" t="s">
        <v>498</v>
      </c>
      <c r="P67" s="124" t="s">
        <v>500</v>
      </c>
      <c r="Q67" s="124"/>
      <c r="V67" s="124" t="s">
        <v>498</v>
      </c>
      <c r="W67" s="74"/>
      <c r="X67" s="74"/>
      <c r="Y67" s="74"/>
      <c r="Z67" s="74"/>
      <c r="AA67" s="74"/>
      <c r="AB67" s="74"/>
      <c r="AC67" s="74"/>
      <c r="AE67" s="124"/>
      <c r="AF67" s="74"/>
    </row>
    <row r="68" spans="1:32" x14ac:dyDescent="0.3">
      <c r="A68" s="24" t="s">
        <v>74</v>
      </c>
      <c r="B68" s="24">
        <v>17</v>
      </c>
      <c r="C68" s="24">
        <v>14</v>
      </c>
      <c r="D68" s="24">
        <v>17</v>
      </c>
      <c r="E68" s="24">
        <v>37</v>
      </c>
      <c r="F68" s="24">
        <f t="shared" si="0"/>
        <v>48</v>
      </c>
    </row>
    <row r="69" spans="1:32" ht="18" x14ac:dyDescent="0.3">
      <c r="A69" s="24" t="s">
        <v>74</v>
      </c>
      <c r="B69" s="24">
        <v>17</v>
      </c>
      <c r="C69" s="24">
        <v>17</v>
      </c>
      <c r="D69" s="24">
        <v>18</v>
      </c>
      <c r="E69" s="24">
        <v>29</v>
      </c>
      <c r="F69" s="24">
        <f t="shared" si="0"/>
        <v>52</v>
      </c>
      <c r="H69" s="44" t="s">
        <v>496</v>
      </c>
      <c r="O69" s="44" t="s">
        <v>496</v>
      </c>
      <c r="V69" t="s">
        <v>146</v>
      </c>
    </row>
    <row r="70" spans="1:32" ht="15.6" thickBot="1" x14ac:dyDescent="0.35">
      <c r="A70" s="24" t="s">
        <v>74</v>
      </c>
      <c r="B70" s="24">
        <v>23</v>
      </c>
      <c r="C70" s="24">
        <v>19</v>
      </c>
      <c r="D70" s="24">
        <v>18</v>
      </c>
      <c r="E70" s="24">
        <v>38</v>
      </c>
      <c r="F70" s="24">
        <f t="shared" si="0"/>
        <v>60</v>
      </c>
      <c r="H70" s="96" t="s">
        <v>211</v>
      </c>
      <c r="O70" s="96" t="s">
        <v>211</v>
      </c>
    </row>
    <row r="71" spans="1:32" x14ac:dyDescent="0.3">
      <c r="A71" s="24" t="s">
        <v>74</v>
      </c>
      <c r="B71" s="24">
        <v>23</v>
      </c>
      <c r="C71" s="24">
        <v>22</v>
      </c>
      <c r="D71" s="24">
        <v>21</v>
      </c>
      <c r="E71" s="24">
        <v>37</v>
      </c>
      <c r="F71" s="24">
        <f t="shared" si="0"/>
        <v>66</v>
      </c>
      <c r="H71" s="46" t="s">
        <v>72</v>
      </c>
      <c r="I71" s="46" t="s">
        <v>212</v>
      </c>
      <c r="J71" s="46" t="s">
        <v>497</v>
      </c>
      <c r="O71" s="46" t="s">
        <v>72</v>
      </c>
      <c r="P71" s="46" t="s">
        <v>212</v>
      </c>
      <c r="Q71" s="46" t="s">
        <v>499</v>
      </c>
      <c r="V71" s="41" t="s">
        <v>147</v>
      </c>
      <c r="W71" s="41"/>
    </row>
    <row r="72" spans="1:32" ht="15" x14ac:dyDescent="0.3">
      <c r="A72" s="24" t="s">
        <v>74</v>
      </c>
      <c r="B72" s="24">
        <v>21</v>
      </c>
      <c r="C72" s="24">
        <v>18</v>
      </c>
      <c r="D72" s="24">
        <v>19</v>
      </c>
      <c r="E72" s="24">
        <v>38</v>
      </c>
      <c r="F72" s="24">
        <f t="shared" si="0"/>
        <v>58</v>
      </c>
      <c r="H72" s="96" t="s">
        <v>163</v>
      </c>
      <c r="O72" s="96" t="s">
        <v>163</v>
      </c>
      <c r="V72" s="38" t="s">
        <v>148</v>
      </c>
      <c r="W72" s="38">
        <v>0.76130434647536549</v>
      </c>
    </row>
    <row r="73" spans="1:32" ht="15" thickBot="1" x14ac:dyDescent="0.35">
      <c r="A73" s="24" t="s">
        <v>74</v>
      </c>
      <c r="B73" s="24">
        <v>21</v>
      </c>
      <c r="C73" s="24">
        <v>19</v>
      </c>
      <c r="D73" s="24">
        <v>23</v>
      </c>
      <c r="E73" s="24">
        <v>39</v>
      </c>
      <c r="F73" s="24">
        <f t="shared" si="0"/>
        <v>63</v>
      </c>
      <c r="H73" s="97" t="s">
        <v>214</v>
      </c>
      <c r="I73" s="98" t="s">
        <v>215</v>
      </c>
      <c r="J73" s="98" t="s">
        <v>216</v>
      </c>
      <c r="K73" s="98" t="s">
        <v>217</v>
      </c>
      <c r="L73" s="98" t="s">
        <v>218</v>
      </c>
      <c r="M73" s="98" t="s">
        <v>219</v>
      </c>
      <c r="O73" s="97" t="s">
        <v>214</v>
      </c>
      <c r="P73" s="98" t="s">
        <v>215</v>
      </c>
      <c r="Q73" s="98" t="s">
        <v>216</v>
      </c>
      <c r="R73" s="98" t="s">
        <v>217</v>
      </c>
      <c r="S73" s="98" t="s">
        <v>218</v>
      </c>
      <c r="T73" s="98" t="s">
        <v>219</v>
      </c>
      <c r="V73" s="38" t="s">
        <v>149</v>
      </c>
      <c r="W73" s="38">
        <v>0.57958430796228333</v>
      </c>
    </row>
    <row r="74" spans="1:32" x14ac:dyDescent="0.3">
      <c r="A74" s="24" t="s">
        <v>74</v>
      </c>
      <c r="B74" s="24">
        <v>21</v>
      </c>
      <c r="C74" s="24">
        <v>18</v>
      </c>
      <c r="D74" s="24">
        <v>18</v>
      </c>
      <c r="E74" s="24">
        <v>29</v>
      </c>
      <c r="F74" s="24">
        <f t="shared" si="0"/>
        <v>57</v>
      </c>
      <c r="H74" s="46" t="s">
        <v>220</v>
      </c>
      <c r="I74" s="49">
        <v>-17.510000000000002</v>
      </c>
      <c r="J74" s="49">
        <v>9.4600000000000009</v>
      </c>
      <c r="K74" s="49">
        <v>-1.85</v>
      </c>
      <c r="L74" s="49">
        <v>7.0999999999999994E-2</v>
      </c>
      <c r="M74" s="50"/>
      <c r="O74" s="46" t="s">
        <v>220</v>
      </c>
      <c r="P74" s="49">
        <v>-13</v>
      </c>
      <c r="Q74" s="49">
        <v>5.67</v>
      </c>
      <c r="R74" s="49">
        <v>-2.29</v>
      </c>
      <c r="S74" s="49">
        <v>2.5999999999999999E-2</v>
      </c>
      <c r="T74" s="50"/>
      <c r="V74" s="38" t="s">
        <v>150</v>
      </c>
      <c r="W74" s="38">
        <v>0.55216589326417131</v>
      </c>
    </row>
    <row r="75" spans="1:32" x14ac:dyDescent="0.3">
      <c r="A75" s="24" t="s">
        <v>74</v>
      </c>
      <c r="B75" s="24">
        <v>22</v>
      </c>
      <c r="C75" s="24">
        <v>18</v>
      </c>
      <c r="D75" s="24">
        <v>20</v>
      </c>
      <c r="E75" s="24">
        <v>36</v>
      </c>
      <c r="F75" s="24">
        <f t="shared" si="0"/>
        <v>60</v>
      </c>
      <c r="H75" s="46" t="s">
        <v>71</v>
      </c>
      <c r="I75" s="49">
        <v>2.2970000000000002</v>
      </c>
      <c r="J75" s="49">
        <v>0.64700000000000002</v>
      </c>
      <c r="K75" s="49">
        <v>3.55</v>
      </c>
      <c r="L75" s="104">
        <v>1E-3</v>
      </c>
      <c r="M75" s="49">
        <v>2.63</v>
      </c>
      <c r="O75" s="46" t="s">
        <v>71</v>
      </c>
      <c r="P75" s="49">
        <v>1.379</v>
      </c>
      <c r="Q75" s="49">
        <v>0.57399999999999995</v>
      </c>
      <c r="R75" s="49">
        <v>2.4</v>
      </c>
      <c r="S75" s="104">
        <v>0.02</v>
      </c>
      <c r="T75" s="49">
        <v>3.96</v>
      </c>
      <c r="V75" s="38" t="s">
        <v>151</v>
      </c>
      <c r="W75" s="38">
        <v>6.4596713671309391</v>
      </c>
    </row>
    <row r="76" spans="1:32" ht="15" thickBot="1" x14ac:dyDescent="0.35">
      <c r="A76" s="24" t="s">
        <v>74</v>
      </c>
      <c r="B76" s="24">
        <v>22</v>
      </c>
      <c r="C76" s="24">
        <v>20</v>
      </c>
      <c r="D76" s="24">
        <v>20</v>
      </c>
      <c r="E76" s="24">
        <v>38</v>
      </c>
      <c r="F76" s="24">
        <f t="shared" si="0"/>
        <v>62</v>
      </c>
      <c r="H76" s="46" t="s">
        <v>70</v>
      </c>
      <c r="I76" s="49">
        <v>1.288</v>
      </c>
      <c r="J76" s="49">
        <v>0.41399999999999998</v>
      </c>
      <c r="K76" s="49">
        <v>3.11</v>
      </c>
      <c r="L76" s="104">
        <v>3.0000000000000001E-3</v>
      </c>
      <c r="M76" s="49">
        <v>1.46</v>
      </c>
      <c r="O76" s="46" t="s">
        <v>70</v>
      </c>
      <c r="P76" s="49">
        <v>0.79300000000000004</v>
      </c>
      <c r="Q76" s="49">
        <v>0.28199999999999997</v>
      </c>
      <c r="R76" s="49">
        <v>2.81</v>
      </c>
      <c r="S76" s="104">
        <v>7.0000000000000001E-3</v>
      </c>
      <c r="T76" s="49">
        <v>2.0699999999999998</v>
      </c>
      <c r="V76" s="39" t="s">
        <v>152</v>
      </c>
      <c r="W76" s="39">
        <v>50</v>
      </c>
    </row>
    <row r="77" spans="1:32" x14ac:dyDescent="0.3">
      <c r="A77" s="24" t="s">
        <v>74</v>
      </c>
      <c r="B77" s="24">
        <v>23</v>
      </c>
      <c r="C77" s="24">
        <v>20</v>
      </c>
      <c r="D77" s="24">
        <v>22</v>
      </c>
      <c r="E77" s="24">
        <v>44</v>
      </c>
      <c r="F77" s="24">
        <f t="shared" si="0"/>
        <v>65</v>
      </c>
      <c r="H77" s="46" t="s">
        <v>69</v>
      </c>
      <c r="I77" s="49">
        <v>-0.35099999999999998</v>
      </c>
      <c r="J77" s="49">
        <v>0.63400000000000001</v>
      </c>
      <c r="K77" s="49">
        <v>-0.55000000000000004</v>
      </c>
      <c r="L77" s="104">
        <v>0.58299999999999996</v>
      </c>
      <c r="M77" s="49">
        <v>2.0499999999999998</v>
      </c>
      <c r="O77" s="46" t="s">
        <v>69</v>
      </c>
      <c r="P77" s="49">
        <v>0.316</v>
      </c>
      <c r="Q77" s="49">
        <v>0.373</v>
      </c>
      <c r="R77" s="49">
        <v>0.85</v>
      </c>
      <c r="S77" s="104">
        <v>0.4</v>
      </c>
      <c r="T77" s="49">
        <v>2.4300000000000002</v>
      </c>
    </row>
    <row r="78" spans="1:32" ht="15.6" thickBot="1" x14ac:dyDescent="0.35">
      <c r="A78" s="24" t="s">
        <v>74</v>
      </c>
      <c r="B78" s="24">
        <v>23</v>
      </c>
      <c r="C78" s="24">
        <v>18</v>
      </c>
      <c r="D78" s="24">
        <v>20</v>
      </c>
      <c r="E78" s="24">
        <v>27</v>
      </c>
      <c r="F78" s="24">
        <f t="shared" si="0"/>
        <v>61</v>
      </c>
      <c r="H78" s="96" t="s">
        <v>221</v>
      </c>
      <c r="O78" s="96" t="s">
        <v>221</v>
      </c>
      <c r="V78" t="s">
        <v>153</v>
      </c>
    </row>
    <row r="79" spans="1:32" ht="15" thickBot="1" x14ac:dyDescent="0.35">
      <c r="A79" s="24" t="s">
        <v>74</v>
      </c>
      <c r="B79" s="24">
        <v>21</v>
      </c>
      <c r="C79" s="24">
        <v>14</v>
      </c>
      <c r="D79" s="24">
        <v>19</v>
      </c>
      <c r="E79" s="24">
        <v>24</v>
      </c>
      <c r="F79" s="24">
        <f t="shared" si="0"/>
        <v>54</v>
      </c>
      <c r="H79" s="98" t="s">
        <v>222</v>
      </c>
      <c r="I79" s="98" t="s">
        <v>223</v>
      </c>
      <c r="J79" s="98" t="s">
        <v>224</v>
      </c>
      <c r="K79" s="98" t="s">
        <v>225</v>
      </c>
      <c r="O79" s="98" t="s">
        <v>222</v>
      </c>
      <c r="P79" s="98" t="s">
        <v>223</v>
      </c>
      <c r="Q79" s="98" t="s">
        <v>224</v>
      </c>
      <c r="R79" s="98" t="s">
        <v>225</v>
      </c>
      <c r="V79" s="40"/>
      <c r="W79" s="40" t="s">
        <v>158</v>
      </c>
      <c r="X79" s="40" t="s">
        <v>159</v>
      </c>
      <c r="Y79" s="40" t="s">
        <v>160</v>
      </c>
      <c r="Z79" s="40" t="s">
        <v>161</v>
      </c>
      <c r="AA79" s="40" t="s">
        <v>162</v>
      </c>
    </row>
    <row r="80" spans="1:32" x14ac:dyDescent="0.3">
      <c r="A80" s="24" t="s">
        <v>74</v>
      </c>
      <c r="B80" s="24">
        <v>17</v>
      </c>
      <c r="C80" s="24">
        <v>17</v>
      </c>
      <c r="D80" s="24">
        <v>17</v>
      </c>
      <c r="E80" s="24">
        <v>34</v>
      </c>
      <c r="F80" s="24">
        <f t="shared" si="0"/>
        <v>51</v>
      </c>
      <c r="H80" s="49">
        <v>6.45967</v>
      </c>
      <c r="I80" s="51">
        <v>0.5796</v>
      </c>
      <c r="J80" s="51">
        <v>0.55220000000000002</v>
      </c>
      <c r="K80" s="51">
        <v>0.47610000000000002</v>
      </c>
      <c r="O80" s="49">
        <v>4.7890600000000001</v>
      </c>
      <c r="P80" s="51">
        <v>0.63859999999999995</v>
      </c>
      <c r="Q80" s="51">
        <v>0.61509999999999998</v>
      </c>
      <c r="R80" s="51">
        <v>0.57509999999999994</v>
      </c>
      <c r="V80" s="38" t="s">
        <v>154</v>
      </c>
      <c r="W80" s="38">
        <v>3</v>
      </c>
      <c r="X80" s="38">
        <v>2646.1617081187596</v>
      </c>
      <c r="Y80" s="38">
        <v>882.05390270625321</v>
      </c>
      <c r="Z80" s="38">
        <v>21.138505429425642</v>
      </c>
      <c r="AA80" s="38">
        <v>9.3949859878085981E-9</v>
      </c>
    </row>
    <row r="81" spans="1:30" ht="15" x14ac:dyDescent="0.3">
      <c r="A81" s="24" t="s">
        <v>74</v>
      </c>
      <c r="B81" s="24">
        <v>23</v>
      </c>
      <c r="C81" s="24">
        <v>23</v>
      </c>
      <c r="D81" s="24">
        <v>22</v>
      </c>
      <c r="E81" s="24">
        <v>44</v>
      </c>
      <c r="F81" s="24">
        <f t="shared" si="0"/>
        <v>68</v>
      </c>
      <c r="H81" s="96" t="s">
        <v>226</v>
      </c>
      <c r="O81" s="96" t="s">
        <v>226</v>
      </c>
      <c r="V81" s="38" t="s">
        <v>155</v>
      </c>
      <c r="W81" s="38">
        <v>46</v>
      </c>
      <c r="X81" s="38">
        <v>1919.4582918812396</v>
      </c>
      <c r="Y81" s="38">
        <v>41.727354171331292</v>
      </c>
      <c r="Z81" s="38"/>
      <c r="AA81" s="38"/>
    </row>
    <row r="82" spans="1:30" ht="15" thickBot="1" x14ac:dyDescent="0.35">
      <c r="A82" s="24" t="s">
        <v>74</v>
      </c>
      <c r="B82" s="24">
        <v>15</v>
      </c>
      <c r="C82" s="24">
        <v>17</v>
      </c>
      <c r="D82" s="24">
        <v>15</v>
      </c>
      <c r="E82" s="24">
        <v>23</v>
      </c>
      <c r="F82" s="24">
        <f t="shared" ref="F82:F116" si="1">D82+C82+B82</f>
        <v>47</v>
      </c>
      <c r="H82" s="97" t="s">
        <v>227</v>
      </c>
      <c r="I82" s="98" t="s">
        <v>228</v>
      </c>
      <c r="J82" s="98" t="s">
        <v>229</v>
      </c>
      <c r="K82" s="98" t="s">
        <v>230</v>
      </c>
      <c r="L82" s="98" t="s">
        <v>231</v>
      </c>
      <c r="M82" s="98" t="s">
        <v>218</v>
      </c>
      <c r="O82" s="97" t="s">
        <v>227</v>
      </c>
      <c r="P82" s="98" t="s">
        <v>228</v>
      </c>
      <c r="Q82" s="98" t="s">
        <v>229</v>
      </c>
      <c r="R82" s="98" t="s">
        <v>230</v>
      </c>
      <c r="S82" s="98" t="s">
        <v>231</v>
      </c>
      <c r="T82" s="98" t="s">
        <v>218</v>
      </c>
      <c r="V82" s="39" t="s">
        <v>156</v>
      </c>
      <c r="W82" s="39">
        <v>49</v>
      </c>
      <c r="X82" s="39">
        <v>4565.619999999999</v>
      </c>
      <c r="Y82" s="39"/>
      <c r="Z82" s="39"/>
      <c r="AA82" s="39"/>
    </row>
    <row r="83" spans="1:30" ht="15" thickBot="1" x14ac:dyDescent="0.35">
      <c r="A83" s="24" t="s">
        <v>74</v>
      </c>
      <c r="B83" s="24">
        <v>19</v>
      </c>
      <c r="C83" s="24">
        <v>14</v>
      </c>
      <c r="D83" s="24">
        <v>17</v>
      </c>
      <c r="E83" s="24">
        <v>30</v>
      </c>
      <c r="F83" s="24">
        <f t="shared" si="1"/>
        <v>50</v>
      </c>
      <c r="H83" s="46" t="s">
        <v>154</v>
      </c>
      <c r="I83" s="49">
        <v>3</v>
      </c>
      <c r="J83" s="49">
        <v>2646.16</v>
      </c>
      <c r="K83" s="49">
        <v>882.05</v>
      </c>
      <c r="L83" s="49">
        <v>21.14</v>
      </c>
      <c r="M83" s="49">
        <v>0</v>
      </c>
      <c r="O83" s="46" t="s">
        <v>154</v>
      </c>
      <c r="P83" s="49">
        <v>3</v>
      </c>
      <c r="Q83" s="49">
        <v>1864.6</v>
      </c>
      <c r="R83" s="49">
        <v>621.53499999999997</v>
      </c>
      <c r="S83" s="49">
        <v>27.1</v>
      </c>
      <c r="T83" s="49">
        <v>0</v>
      </c>
    </row>
    <row r="84" spans="1:30" x14ac:dyDescent="0.3">
      <c r="A84" s="24" t="s">
        <v>74</v>
      </c>
      <c r="B84" s="24">
        <v>20</v>
      </c>
      <c r="C84" s="24">
        <v>19</v>
      </c>
      <c r="D84" s="24">
        <v>18</v>
      </c>
      <c r="E84" s="24">
        <v>32</v>
      </c>
      <c r="F84" s="24">
        <f t="shared" si="1"/>
        <v>57</v>
      </c>
      <c r="H84" s="46" t="s">
        <v>494</v>
      </c>
      <c r="I84" s="49">
        <v>1</v>
      </c>
      <c r="J84" s="49">
        <v>525.39</v>
      </c>
      <c r="K84" s="49">
        <v>525.39</v>
      </c>
      <c r="L84" s="49">
        <v>12.59</v>
      </c>
      <c r="M84" s="49">
        <v>1E-3</v>
      </c>
      <c r="O84" s="46" t="s">
        <v>494</v>
      </c>
      <c r="P84" s="49">
        <v>1</v>
      </c>
      <c r="Q84" s="49">
        <v>132.55000000000001</v>
      </c>
      <c r="R84" s="49">
        <v>132.553</v>
      </c>
      <c r="S84" s="49">
        <v>5.78</v>
      </c>
      <c r="T84" s="49">
        <v>0.02</v>
      </c>
      <c r="V84" s="40"/>
      <c r="W84" s="40" t="s">
        <v>163</v>
      </c>
      <c r="X84" s="40" t="s">
        <v>151</v>
      </c>
      <c r="Y84" s="40" t="s">
        <v>164</v>
      </c>
      <c r="Z84" s="40" t="s">
        <v>165</v>
      </c>
      <c r="AA84" s="40" t="s">
        <v>166</v>
      </c>
      <c r="AB84" s="40" t="s">
        <v>167</v>
      </c>
      <c r="AC84" s="40" t="s">
        <v>168</v>
      </c>
      <c r="AD84" s="40" t="s">
        <v>169</v>
      </c>
    </row>
    <row r="85" spans="1:30" x14ac:dyDescent="0.3">
      <c r="A85" s="24" t="s">
        <v>74</v>
      </c>
      <c r="B85" s="24">
        <v>20</v>
      </c>
      <c r="C85" s="24">
        <v>15</v>
      </c>
      <c r="D85" s="24">
        <v>17</v>
      </c>
      <c r="E85" s="24">
        <v>25</v>
      </c>
      <c r="F85" s="24">
        <f t="shared" si="1"/>
        <v>52</v>
      </c>
      <c r="H85" s="46" t="s">
        <v>492</v>
      </c>
      <c r="I85" s="49">
        <v>1</v>
      </c>
      <c r="J85" s="49">
        <v>402.73</v>
      </c>
      <c r="K85" s="49">
        <v>402.73</v>
      </c>
      <c r="L85" s="49">
        <v>9.65</v>
      </c>
      <c r="M85" s="49">
        <v>3.0000000000000001E-3</v>
      </c>
      <c r="O85" s="46" t="s">
        <v>492</v>
      </c>
      <c r="P85" s="49">
        <v>1</v>
      </c>
      <c r="Q85" s="49">
        <v>181.01</v>
      </c>
      <c r="R85" s="49">
        <v>181.006</v>
      </c>
      <c r="S85" s="49">
        <v>7.89</v>
      </c>
      <c r="T85" s="49">
        <v>7.0000000000000001E-3</v>
      </c>
      <c r="V85" s="38" t="s">
        <v>157</v>
      </c>
      <c r="W85" s="38">
        <v>-17.513865711110782</v>
      </c>
      <c r="X85" s="38">
        <v>9.4587824412371955</v>
      </c>
      <c r="Y85" s="38">
        <v>-1.8515983235597069</v>
      </c>
      <c r="Z85" s="38">
        <v>7.0508660339396234E-2</v>
      </c>
      <c r="AA85" s="38">
        <v>-36.553407258213511</v>
      </c>
      <c r="AB85" s="38">
        <v>1.5256758359919509</v>
      </c>
      <c r="AC85" s="38">
        <v>-36.553407258213511</v>
      </c>
      <c r="AD85" s="38">
        <v>1.5256758359919509</v>
      </c>
    </row>
    <row r="86" spans="1:30" x14ac:dyDescent="0.3">
      <c r="A86" s="24" t="s">
        <v>74</v>
      </c>
      <c r="B86" s="24">
        <v>20</v>
      </c>
      <c r="C86" s="24">
        <v>12</v>
      </c>
      <c r="D86" s="24">
        <v>18</v>
      </c>
      <c r="E86" s="24">
        <v>29</v>
      </c>
      <c r="F86" s="24">
        <f t="shared" si="1"/>
        <v>50</v>
      </c>
      <c r="H86" s="46" t="s">
        <v>493</v>
      </c>
      <c r="I86" s="49">
        <v>1</v>
      </c>
      <c r="J86" s="49">
        <v>12.75</v>
      </c>
      <c r="K86" s="49">
        <v>12.75</v>
      </c>
      <c r="L86" s="49">
        <v>0.31</v>
      </c>
      <c r="M86" s="49">
        <v>0.58299999999999996</v>
      </c>
      <c r="O86" s="46" t="s">
        <v>493</v>
      </c>
      <c r="P86" s="49">
        <v>1</v>
      </c>
      <c r="Q86" s="49">
        <v>16.53</v>
      </c>
      <c r="R86" s="49">
        <v>16.530999999999999</v>
      </c>
      <c r="S86" s="49">
        <v>0.72</v>
      </c>
      <c r="T86" s="49">
        <v>0.4</v>
      </c>
      <c r="V86" s="38" t="s">
        <v>69</v>
      </c>
      <c r="W86" s="38">
        <v>-0.35070597564522399</v>
      </c>
      <c r="X86" s="38">
        <v>0.63438209427910408</v>
      </c>
      <c r="Y86" s="38">
        <v>-0.55283082358079083</v>
      </c>
      <c r="Z86" s="93">
        <v>0.58305598745963649</v>
      </c>
      <c r="AA86" s="38">
        <v>-1.6276509012529234</v>
      </c>
      <c r="AB86" s="38">
        <v>0.92623894996247547</v>
      </c>
      <c r="AC86" s="38">
        <v>-1.6276509012529234</v>
      </c>
      <c r="AD86" s="38">
        <v>0.92623894996247547</v>
      </c>
    </row>
    <row r="87" spans="1:30" x14ac:dyDescent="0.3">
      <c r="A87" s="24" t="s">
        <v>74</v>
      </c>
      <c r="B87" s="24">
        <v>23</v>
      </c>
      <c r="C87" s="24">
        <v>19</v>
      </c>
      <c r="D87" s="24">
        <v>20</v>
      </c>
      <c r="E87" s="24">
        <v>43</v>
      </c>
      <c r="F87" s="24">
        <f t="shared" si="1"/>
        <v>62</v>
      </c>
      <c r="H87" s="46" t="s">
        <v>234</v>
      </c>
      <c r="I87" s="49">
        <v>46</v>
      </c>
      <c r="J87" s="49">
        <v>1919.46</v>
      </c>
      <c r="K87" s="49">
        <v>41.73</v>
      </c>
      <c r="L87" s="50"/>
      <c r="M87" s="50"/>
      <c r="O87" s="46" t="s">
        <v>234</v>
      </c>
      <c r="P87" s="49">
        <v>46</v>
      </c>
      <c r="Q87" s="49">
        <v>1055.02</v>
      </c>
      <c r="R87" s="49">
        <v>22.934999999999999</v>
      </c>
      <c r="S87" s="50"/>
      <c r="T87" s="50"/>
      <c r="V87" s="38" t="s">
        <v>70</v>
      </c>
      <c r="W87" s="38">
        <v>1.2875280724936862</v>
      </c>
      <c r="X87" s="38">
        <v>0.41443810973318063</v>
      </c>
      <c r="Y87" s="38">
        <v>3.1066835849690793</v>
      </c>
      <c r="Z87" s="93">
        <v>3.2379364913737666E-3</v>
      </c>
      <c r="AA87" s="38">
        <v>0.45330742538727908</v>
      </c>
      <c r="AB87" s="38">
        <v>2.1217487196000935</v>
      </c>
      <c r="AC87" s="38">
        <v>0.45330742538727908</v>
      </c>
      <c r="AD87" s="38">
        <v>2.1217487196000935</v>
      </c>
    </row>
    <row r="88" spans="1:30" ht="15" thickBot="1" x14ac:dyDescent="0.35">
      <c r="A88" s="24" t="s">
        <v>74</v>
      </c>
      <c r="B88" s="24">
        <v>19</v>
      </c>
      <c r="C88" s="24">
        <v>21</v>
      </c>
      <c r="D88" s="24">
        <v>19</v>
      </c>
      <c r="E88" s="24">
        <v>31</v>
      </c>
      <c r="F88" s="24">
        <f t="shared" si="1"/>
        <v>59</v>
      </c>
      <c r="H88" s="46" t="s">
        <v>235</v>
      </c>
      <c r="I88" s="49">
        <v>40</v>
      </c>
      <c r="J88" s="49">
        <v>1785.12</v>
      </c>
      <c r="K88" s="49">
        <v>44.63</v>
      </c>
      <c r="L88" s="49">
        <v>1.99</v>
      </c>
      <c r="M88" s="49">
        <v>0.19700000000000001</v>
      </c>
      <c r="O88" s="46" t="s">
        <v>235</v>
      </c>
      <c r="P88" s="49">
        <v>42</v>
      </c>
      <c r="Q88" s="49">
        <v>1049.52</v>
      </c>
      <c r="R88" s="49">
        <v>24.988</v>
      </c>
      <c r="S88" s="49">
        <v>18.170000000000002</v>
      </c>
      <c r="T88" s="49">
        <v>6.0000000000000001E-3</v>
      </c>
      <c r="V88" s="39" t="s">
        <v>71</v>
      </c>
      <c r="W88" s="39">
        <v>2.2967703924178196</v>
      </c>
      <c r="X88" s="39">
        <v>0.64727056421863538</v>
      </c>
      <c r="Y88" s="39">
        <v>3.5483930822505552</v>
      </c>
      <c r="Z88" s="94">
        <v>9.0551751678164579E-4</v>
      </c>
      <c r="AA88" s="39">
        <v>0.99388232239203211</v>
      </c>
      <c r="AB88" s="39">
        <v>3.5996584624436068</v>
      </c>
      <c r="AC88" s="39">
        <v>0.99388232239203211</v>
      </c>
      <c r="AD88" s="39">
        <v>3.5996584624436068</v>
      </c>
    </row>
    <row r="89" spans="1:30" x14ac:dyDescent="0.3">
      <c r="A89" s="24" t="s">
        <v>74</v>
      </c>
      <c r="B89" s="24">
        <v>15</v>
      </c>
      <c r="C89" s="24">
        <v>13</v>
      </c>
      <c r="D89" s="24">
        <v>15</v>
      </c>
      <c r="E89" s="24">
        <v>26</v>
      </c>
      <c r="F89" s="24">
        <f t="shared" si="1"/>
        <v>43</v>
      </c>
      <c r="H89" s="46" t="s">
        <v>236</v>
      </c>
      <c r="I89" s="49">
        <v>6</v>
      </c>
      <c r="J89" s="49">
        <v>134.33000000000001</v>
      </c>
      <c r="K89" s="49">
        <v>22.39</v>
      </c>
      <c r="L89" s="50"/>
      <c r="M89" s="50"/>
      <c r="O89" s="46" t="s">
        <v>236</v>
      </c>
      <c r="P89" s="49">
        <v>4</v>
      </c>
      <c r="Q89" s="49">
        <v>5.5</v>
      </c>
      <c r="R89" s="49">
        <v>1.375</v>
      </c>
      <c r="S89" s="50"/>
      <c r="T89" s="50"/>
    </row>
    <row r="90" spans="1:30" x14ac:dyDescent="0.3">
      <c r="A90" s="24" t="s">
        <v>74</v>
      </c>
      <c r="B90" s="24">
        <v>20</v>
      </c>
      <c r="C90" s="24">
        <v>17</v>
      </c>
      <c r="D90" s="24">
        <v>22</v>
      </c>
      <c r="E90" s="24">
        <v>34</v>
      </c>
      <c r="F90" s="24">
        <f t="shared" si="1"/>
        <v>59</v>
      </c>
      <c r="H90" s="46" t="s">
        <v>156</v>
      </c>
      <c r="I90" s="49">
        <v>49</v>
      </c>
      <c r="J90" s="49">
        <v>4565.62</v>
      </c>
      <c r="K90" s="50"/>
      <c r="L90" s="50"/>
      <c r="M90" s="50"/>
      <c r="O90" s="46" t="s">
        <v>156</v>
      </c>
      <c r="P90" s="49">
        <v>49</v>
      </c>
      <c r="Q90" s="49">
        <v>2919.62</v>
      </c>
      <c r="R90" s="50"/>
      <c r="S90" s="50"/>
      <c r="T90" s="50"/>
    </row>
    <row r="91" spans="1:30" ht="18" x14ac:dyDescent="0.35">
      <c r="A91" s="24" t="s">
        <v>74</v>
      </c>
      <c r="B91" s="24">
        <v>21</v>
      </c>
      <c r="C91" s="24">
        <v>17</v>
      </c>
      <c r="D91" s="24">
        <v>18</v>
      </c>
      <c r="E91" s="24">
        <v>23</v>
      </c>
      <c r="F91" s="24">
        <f t="shared" si="1"/>
        <v>56</v>
      </c>
      <c r="H91" s="96" t="s">
        <v>237</v>
      </c>
      <c r="O91" s="96" t="s">
        <v>237</v>
      </c>
      <c r="V91" s="124" t="s">
        <v>500</v>
      </c>
    </row>
    <row r="92" spans="1:30" ht="15" thickBot="1" x14ac:dyDescent="0.35">
      <c r="A92" s="24" t="s">
        <v>74</v>
      </c>
      <c r="B92" s="24">
        <v>23</v>
      </c>
      <c r="C92" s="24">
        <v>20</v>
      </c>
      <c r="D92" s="24">
        <v>21</v>
      </c>
      <c r="E92" s="24">
        <v>41</v>
      </c>
      <c r="F92" s="24">
        <f t="shared" si="1"/>
        <v>64</v>
      </c>
      <c r="H92" s="98" t="s">
        <v>238</v>
      </c>
      <c r="I92" s="98" t="s">
        <v>72</v>
      </c>
      <c r="J92" s="98" t="s">
        <v>239</v>
      </c>
      <c r="K92" s="98" t="s">
        <v>240</v>
      </c>
      <c r="L92" s="98" t="s">
        <v>241</v>
      </c>
      <c r="M92" s="97"/>
      <c r="O92" s="98" t="s">
        <v>238</v>
      </c>
      <c r="P92" s="98" t="s">
        <v>72</v>
      </c>
      <c r="Q92" s="98" t="s">
        <v>239</v>
      </c>
      <c r="R92" s="98" t="s">
        <v>240</v>
      </c>
      <c r="S92" s="98" t="s">
        <v>241</v>
      </c>
      <c r="T92" s="97"/>
      <c r="U92" s="97"/>
    </row>
    <row r="93" spans="1:30" x14ac:dyDescent="0.3">
      <c r="A93" s="24" t="s">
        <v>74</v>
      </c>
      <c r="B93" s="24">
        <v>27</v>
      </c>
      <c r="C93" s="24">
        <v>16</v>
      </c>
      <c r="D93" s="24">
        <v>19</v>
      </c>
      <c r="E93" s="24">
        <v>32</v>
      </c>
      <c r="F93" s="24">
        <f t="shared" si="1"/>
        <v>62</v>
      </c>
      <c r="H93" s="49">
        <v>12</v>
      </c>
      <c r="I93" s="49">
        <v>39</v>
      </c>
      <c r="J93" s="49">
        <v>52.97</v>
      </c>
      <c r="K93" s="49">
        <v>-13.97</v>
      </c>
      <c r="L93" s="49">
        <v>-2.2999999999999998</v>
      </c>
      <c r="M93" s="46" t="s">
        <v>242</v>
      </c>
      <c r="O93" s="49">
        <v>2</v>
      </c>
      <c r="P93" s="49">
        <v>37</v>
      </c>
      <c r="Q93" s="49">
        <v>26.92</v>
      </c>
      <c r="R93" s="49">
        <v>10.08</v>
      </c>
      <c r="S93" s="49">
        <v>2.1800000000000002</v>
      </c>
      <c r="T93" s="46" t="s">
        <v>242</v>
      </c>
      <c r="U93" s="50"/>
      <c r="V93" t="s">
        <v>146</v>
      </c>
    </row>
    <row r="94" spans="1:30" ht="15" thickBot="1" x14ac:dyDescent="0.35">
      <c r="A94" s="24" t="s">
        <v>74</v>
      </c>
      <c r="B94" s="24">
        <v>17</v>
      </c>
      <c r="C94" s="24">
        <v>17</v>
      </c>
      <c r="D94" s="24">
        <v>16</v>
      </c>
      <c r="E94" s="24">
        <v>30</v>
      </c>
      <c r="F94" s="24">
        <f t="shared" si="1"/>
        <v>50</v>
      </c>
      <c r="H94" s="49">
        <v>23</v>
      </c>
      <c r="I94" s="49">
        <v>14</v>
      </c>
      <c r="J94" s="49">
        <v>27.25</v>
      </c>
      <c r="K94" s="49">
        <v>-13.25</v>
      </c>
      <c r="L94" s="49">
        <v>-2.33</v>
      </c>
      <c r="M94" s="46" t="s">
        <v>242</v>
      </c>
      <c r="O94" s="49">
        <v>27</v>
      </c>
      <c r="P94" s="49">
        <v>32</v>
      </c>
      <c r="Q94" s="49">
        <v>34.43</v>
      </c>
      <c r="R94" s="49">
        <v>-2.4300000000000002</v>
      </c>
      <c r="S94" s="49">
        <v>-0.59</v>
      </c>
      <c r="T94" s="50"/>
      <c r="U94" s="46" t="s">
        <v>390</v>
      </c>
    </row>
    <row r="95" spans="1:30" x14ac:dyDescent="0.3">
      <c r="A95" s="24" t="s">
        <v>74</v>
      </c>
      <c r="B95" s="24">
        <v>22</v>
      </c>
      <c r="C95" s="24">
        <v>11</v>
      </c>
      <c r="D95" s="24">
        <v>17</v>
      </c>
      <c r="E95" s="24">
        <v>28</v>
      </c>
      <c r="F95" s="24">
        <f t="shared" si="1"/>
        <v>50</v>
      </c>
      <c r="H95" s="49">
        <v>40</v>
      </c>
      <c r="I95" s="49">
        <v>63</v>
      </c>
      <c r="J95" s="49">
        <v>45.48</v>
      </c>
      <c r="K95" s="49">
        <v>17.52</v>
      </c>
      <c r="L95" s="49">
        <v>2.85</v>
      </c>
      <c r="M95" s="46" t="s">
        <v>242</v>
      </c>
      <c r="O95" s="49">
        <v>36</v>
      </c>
      <c r="P95" s="49">
        <v>55</v>
      </c>
      <c r="Q95" s="49">
        <v>44.5</v>
      </c>
      <c r="R95" s="49">
        <v>10.5</v>
      </c>
      <c r="S95" s="49">
        <v>2.37</v>
      </c>
      <c r="T95" s="46" t="s">
        <v>242</v>
      </c>
      <c r="U95" s="50"/>
      <c r="V95" s="41" t="s">
        <v>147</v>
      </c>
      <c r="W95" s="41"/>
    </row>
    <row r="96" spans="1:30" x14ac:dyDescent="0.3">
      <c r="A96" s="24" t="s">
        <v>74</v>
      </c>
      <c r="B96" s="24">
        <v>20</v>
      </c>
      <c r="C96" s="24">
        <v>16</v>
      </c>
      <c r="D96" s="24">
        <v>19</v>
      </c>
      <c r="E96" s="24">
        <v>33</v>
      </c>
      <c r="F96" s="24">
        <f t="shared" si="1"/>
        <v>55</v>
      </c>
      <c r="H96" t="s">
        <v>243</v>
      </c>
      <c r="O96" t="s">
        <v>243</v>
      </c>
      <c r="V96" s="38" t="s">
        <v>148</v>
      </c>
      <c r="W96" s="38">
        <v>0.79915332670519834</v>
      </c>
    </row>
    <row r="97" spans="1:30" x14ac:dyDescent="0.3">
      <c r="A97" s="24" t="s">
        <v>74</v>
      </c>
      <c r="B97" s="24">
        <v>20</v>
      </c>
      <c r="C97" s="24">
        <v>12</v>
      </c>
      <c r="D97" s="24">
        <v>16</v>
      </c>
      <c r="E97" s="24">
        <v>26</v>
      </c>
      <c r="F97" s="24">
        <f t="shared" si="1"/>
        <v>48</v>
      </c>
      <c r="O97" t="s">
        <v>391</v>
      </c>
      <c r="V97" s="38" t="s">
        <v>149</v>
      </c>
      <c r="W97" s="38">
        <v>0.63864603958398547</v>
      </c>
    </row>
    <row r="98" spans="1:30" x14ac:dyDescent="0.3">
      <c r="A98" s="24" t="s">
        <v>74</v>
      </c>
      <c r="B98" s="24">
        <v>25</v>
      </c>
      <c r="C98" s="24">
        <v>25</v>
      </c>
      <c r="D98" s="24">
        <v>24</v>
      </c>
      <c r="E98" s="24">
        <v>51</v>
      </c>
      <c r="F98" s="24">
        <f t="shared" si="1"/>
        <v>74</v>
      </c>
      <c r="V98" s="38" t="s">
        <v>150</v>
      </c>
      <c r="W98" s="38">
        <v>0.61507947694815845</v>
      </c>
    </row>
    <row r="99" spans="1:30" x14ac:dyDescent="0.3">
      <c r="A99" s="24" t="s">
        <v>74</v>
      </c>
      <c r="B99" s="24">
        <v>17</v>
      </c>
      <c r="C99" s="24">
        <v>17</v>
      </c>
      <c r="D99" s="24">
        <v>18</v>
      </c>
      <c r="E99" s="24">
        <v>26</v>
      </c>
      <c r="F99" s="24">
        <f t="shared" si="1"/>
        <v>52</v>
      </c>
      <c r="G99" t="s">
        <v>445</v>
      </c>
      <c r="H99" t="s">
        <v>501</v>
      </c>
      <c r="V99" s="38" t="s">
        <v>151</v>
      </c>
      <c r="W99" s="38">
        <v>4.7890641953939639</v>
      </c>
    </row>
    <row r="100" spans="1:30" ht="15" thickBot="1" x14ac:dyDescent="0.35">
      <c r="A100" s="24" t="s">
        <v>74</v>
      </c>
      <c r="B100" s="24">
        <v>25</v>
      </c>
      <c r="C100" s="24">
        <v>22</v>
      </c>
      <c r="D100" s="24">
        <v>23</v>
      </c>
      <c r="E100" s="24">
        <v>48</v>
      </c>
      <c r="F100" s="24">
        <f t="shared" si="1"/>
        <v>70</v>
      </c>
      <c r="V100" s="39" t="s">
        <v>152</v>
      </c>
      <c r="W100" s="39">
        <v>50</v>
      </c>
    </row>
    <row r="101" spans="1:30" ht="18" x14ac:dyDescent="0.35">
      <c r="A101" s="24" t="s">
        <v>74</v>
      </c>
      <c r="B101" s="24">
        <v>19</v>
      </c>
      <c r="C101" s="24">
        <v>18</v>
      </c>
      <c r="D101" s="24">
        <v>19</v>
      </c>
      <c r="E101" s="24">
        <v>39</v>
      </c>
      <c r="F101" s="24">
        <f t="shared" si="1"/>
        <v>56</v>
      </c>
      <c r="I101" s="124" t="s">
        <v>498</v>
      </c>
      <c r="J101" s="74"/>
      <c r="K101" s="74"/>
      <c r="L101" s="74"/>
      <c r="M101" s="74"/>
      <c r="N101" s="74"/>
      <c r="O101" s="74"/>
      <c r="P101" s="124" t="s">
        <v>500</v>
      </c>
      <c r="Q101" s="124"/>
    </row>
    <row r="102" spans="1:30" ht="15" thickBot="1" x14ac:dyDescent="0.35">
      <c r="A102" s="24" t="s">
        <v>74</v>
      </c>
      <c r="B102" s="24">
        <v>27</v>
      </c>
      <c r="C102" s="24">
        <v>20</v>
      </c>
      <c r="D102" s="24">
        <v>24</v>
      </c>
      <c r="E102" s="24">
        <v>55</v>
      </c>
      <c r="F102" s="24">
        <f t="shared" si="1"/>
        <v>71</v>
      </c>
      <c r="V102" t="s">
        <v>153</v>
      </c>
    </row>
    <row r="103" spans="1:30" ht="18" x14ac:dyDescent="0.3">
      <c r="A103" s="24" t="s">
        <v>74</v>
      </c>
      <c r="B103" s="24">
        <v>21</v>
      </c>
      <c r="C103" s="24">
        <v>11</v>
      </c>
      <c r="D103" s="24">
        <v>17</v>
      </c>
      <c r="E103" s="24">
        <v>24</v>
      </c>
      <c r="F103" s="24">
        <f t="shared" si="1"/>
        <v>49</v>
      </c>
      <c r="H103" s="44" t="s">
        <v>502</v>
      </c>
      <c r="O103" s="44" t="s">
        <v>502</v>
      </c>
      <c r="V103" s="40"/>
      <c r="W103" s="40" t="s">
        <v>158</v>
      </c>
      <c r="X103" s="40" t="s">
        <v>159</v>
      </c>
      <c r="Y103" s="40" t="s">
        <v>160</v>
      </c>
      <c r="Z103" s="40" t="s">
        <v>161</v>
      </c>
      <c r="AA103" s="40" t="s">
        <v>162</v>
      </c>
    </row>
    <row r="104" spans="1:30" ht="15" x14ac:dyDescent="0.3">
      <c r="A104" s="24" t="s">
        <v>74</v>
      </c>
      <c r="B104" s="24">
        <v>19</v>
      </c>
      <c r="C104" s="24">
        <v>18</v>
      </c>
      <c r="D104" s="24">
        <v>19</v>
      </c>
      <c r="E104" s="24">
        <v>38</v>
      </c>
      <c r="F104" s="24">
        <f t="shared" si="1"/>
        <v>56</v>
      </c>
      <c r="H104" s="96" t="s">
        <v>211</v>
      </c>
      <c r="O104" s="96" t="s">
        <v>211</v>
      </c>
      <c r="V104" s="38" t="s">
        <v>154</v>
      </c>
      <c r="W104" s="38">
        <v>3</v>
      </c>
      <c r="X104" s="38">
        <v>1864.603750090195</v>
      </c>
      <c r="Y104" s="38">
        <v>621.53458336339838</v>
      </c>
      <c r="Z104" s="38">
        <v>27.099668689615548</v>
      </c>
      <c r="AA104" s="38">
        <v>3.022858227300867E-10</v>
      </c>
    </row>
    <row r="105" spans="1:30" x14ac:dyDescent="0.3">
      <c r="A105" s="24" t="s">
        <v>74</v>
      </c>
      <c r="B105" s="24">
        <v>20</v>
      </c>
      <c r="C105" s="24">
        <v>21</v>
      </c>
      <c r="D105" s="24">
        <v>20</v>
      </c>
      <c r="E105" s="24">
        <v>31</v>
      </c>
      <c r="F105" s="24">
        <f t="shared" si="1"/>
        <v>61</v>
      </c>
      <c r="H105" s="46" t="s">
        <v>72</v>
      </c>
      <c r="I105" s="46" t="s">
        <v>212</v>
      </c>
      <c r="J105" s="46" t="s">
        <v>497</v>
      </c>
      <c r="O105" s="46" t="s">
        <v>72</v>
      </c>
      <c r="P105" s="46" t="s">
        <v>212</v>
      </c>
      <c r="Q105" s="46" t="s">
        <v>499</v>
      </c>
      <c r="V105" s="38" t="s">
        <v>155</v>
      </c>
      <c r="W105" s="38">
        <v>46</v>
      </c>
      <c r="X105" s="38">
        <v>1055.0162499098039</v>
      </c>
      <c r="Y105" s="38">
        <v>22.935135867604433</v>
      </c>
      <c r="Z105" s="38"/>
      <c r="AA105" s="38"/>
    </row>
    <row r="106" spans="1:30" ht="15.6" thickBot="1" x14ac:dyDescent="0.35">
      <c r="A106" s="24" t="s">
        <v>74</v>
      </c>
      <c r="B106" s="24">
        <v>23</v>
      </c>
      <c r="C106" s="24">
        <v>19</v>
      </c>
      <c r="D106" s="24">
        <v>21</v>
      </c>
      <c r="E106" s="24">
        <v>30</v>
      </c>
      <c r="F106" s="24">
        <f t="shared" si="1"/>
        <v>63</v>
      </c>
      <c r="H106" s="96" t="s">
        <v>407</v>
      </c>
      <c r="O106" s="96" t="s">
        <v>407</v>
      </c>
      <c r="V106" s="39" t="s">
        <v>156</v>
      </c>
      <c r="W106" s="39">
        <v>49</v>
      </c>
      <c r="X106" s="39">
        <v>2919.619999999999</v>
      </c>
      <c r="Y106" s="39"/>
      <c r="Z106" s="39"/>
      <c r="AA106" s="39"/>
    </row>
    <row r="107" spans="1:30" ht="15" thickBot="1" x14ac:dyDescent="0.35">
      <c r="A107" s="24" t="s">
        <v>74</v>
      </c>
      <c r="B107" s="24">
        <v>24</v>
      </c>
      <c r="C107" s="24">
        <v>27</v>
      </c>
      <c r="D107" s="24">
        <v>23</v>
      </c>
      <c r="E107" s="24">
        <v>51</v>
      </c>
      <c r="F107" s="24">
        <f t="shared" si="1"/>
        <v>74</v>
      </c>
      <c r="H107" s="97" t="s">
        <v>408</v>
      </c>
      <c r="I107" s="98" t="s">
        <v>409</v>
      </c>
      <c r="O107" s="97" t="s">
        <v>408</v>
      </c>
      <c r="P107" s="98" t="s">
        <v>409</v>
      </c>
    </row>
    <row r="108" spans="1:30" x14ac:dyDescent="0.3">
      <c r="A108" s="24" t="s">
        <v>74</v>
      </c>
      <c r="B108" s="24">
        <v>18</v>
      </c>
      <c r="C108" s="24">
        <v>18</v>
      </c>
      <c r="D108" s="24">
        <v>20</v>
      </c>
      <c r="E108" s="24">
        <v>30</v>
      </c>
      <c r="F108" s="24">
        <f t="shared" si="1"/>
        <v>56</v>
      </c>
      <c r="H108" s="46" t="s">
        <v>71</v>
      </c>
      <c r="I108" s="49">
        <v>20</v>
      </c>
      <c r="O108" s="46" t="s">
        <v>71</v>
      </c>
      <c r="P108" s="49">
        <v>20</v>
      </c>
      <c r="V108" s="40"/>
      <c r="W108" s="40" t="s">
        <v>163</v>
      </c>
      <c r="X108" s="40" t="s">
        <v>151</v>
      </c>
      <c r="Y108" s="40" t="s">
        <v>164</v>
      </c>
      <c r="Z108" s="40" t="s">
        <v>165</v>
      </c>
      <c r="AA108" s="40" t="s">
        <v>166</v>
      </c>
      <c r="AB108" s="40" t="s">
        <v>167</v>
      </c>
      <c r="AC108" s="40" t="s">
        <v>168</v>
      </c>
      <c r="AD108" s="40" t="s">
        <v>169</v>
      </c>
    </row>
    <row r="109" spans="1:30" ht="15" thickBot="1" x14ac:dyDescent="0.35">
      <c r="A109" s="24" t="s">
        <v>74</v>
      </c>
      <c r="B109" s="24">
        <v>15</v>
      </c>
      <c r="C109" s="24">
        <v>16</v>
      </c>
      <c r="D109" s="24">
        <v>14</v>
      </c>
      <c r="E109" s="24">
        <v>27</v>
      </c>
      <c r="F109" s="24">
        <f t="shared" si="1"/>
        <v>45</v>
      </c>
      <c r="H109" s="46" t="s">
        <v>70</v>
      </c>
      <c r="I109" s="49">
        <v>20</v>
      </c>
      <c r="O109" s="46" t="s">
        <v>70</v>
      </c>
      <c r="P109" s="49">
        <v>20</v>
      </c>
      <c r="V109" s="38" t="s">
        <v>157</v>
      </c>
      <c r="W109" s="38">
        <v>-13.002177366114456</v>
      </c>
      <c r="X109" s="38">
        <v>5.6687675159820543</v>
      </c>
      <c r="Y109" s="38">
        <v>-2.2936515440891152</v>
      </c>
      <c r="Z109" s="38">
        <v>2.6428197445994096E-2</v>
      </c>
      <c r="AA109" s="38">
        <v>-24.412814550332161</v>
      </c>
      <c r="AB109" s="38">
        <v>-1.5915401818967503</v>
      </c>
      <c r="AC109" s="38">
        <v>-24.412814550332161</v>
      </c>
      <c r="AD109" s="38">
        <v>-1.5915401818967503</v>
      </c>
    </row>
    <row r="110" spans="1:30" ht="15" thickBot="1" x14ac:dyDescent="0.35">
      <c r="A110" s="24" t="s">
        <v>74</v>
      </c>
      <c r="B110" s="24">
        <v>16</v>
      </c>
      <c r="C110" s="24">
        <v>20</v>
      </c>
      <c r="D110" s="24">
        <v>17</v>
      </c>
      <c r="E110" s="24">
        <v>38</v>
      </c>
      <c r="F110" s="24">
        <f t="shared" si="1"/>
        <v>53</v>
      </c>
      <c r="H110" s="46" t="s">
        <v>69</v>
      </c>
      <c r="I110" s="49">
        <v>20</v>
      </c>
      <c r="O110" s="46" t="s">
        <v>69</v>
      </c>
      <c r="P110" s="49">
        <v>20</v>
      </c>
      <c r="V110" s="23" t="s">
        <v>69</v>
      </c>
      <c r="W110" s="38">
        <v>0.31647941142744496</v>
      </c>
      <c r="X110" s="38">
        <v>0.37277257964679211</v>
      </c>
      <c r="Y110" s="38">
        <v>0.84898790497765197</v>
      </c>
      <c r="Z110" s="93">
        <v>0.40028475573164657</v>
      </c>
      <c r="AA110" s="38">
        <v>-0.43387287354142556</v>
      </c>
      <c r="AB110" s="38">
        <v>1.0668316963963154</v>
      </c>
      <c r="AC110" s="38">
        <v>-0.43387287354142556</v>
      </c>
      <c r="AD110" s="38">
        <v>1.0668316963963154</v>
      </c>
    </row>
    <row r="111" spans="1:30" ht="15.6" thickBot="1" x14ac:dyDescent="0.35">
      <c r="A111" s="24" t="s">
        <v>74</v>
      </c>
      <c r="B111" s="24">
        <v>18</v>
      </c>
      <c r="C111" s="24">
        <v>16</v>
      </c>
      <c r="D111" s="24">
        <v>17</v>
      </c>
      <c r="E111" s="24">
        <v>26</v>
      </c>
      <c r="F111" s="24">
        <f t="shared" si="1"/>
        <v>51</v>
      </c>
      <c r="H111" s="96" t="s">
        <v>410</v>
      </c>
      <c r="O111" s="96" t="s">
        <v>410</v>
      </c>
      <c r="V111" s="23" t="s">
        <v>70</v>
      </c>
      <c r="W111" s="38">
        <v>0.79288482616707401</v>
      </c>
      <c r="X111" s="38">
        <v>0.28223750553943927</v>
      </c>
      <c r="Y111" s="38">
        <v>2.8092822909968569</v>
      </c>
      <c r="Z111" s="93">
        <v>7.2658838287556369E-3</v>
      </c>
      <c r="AA111" s="38">
        <v>0.22477019341673843</v>
      </c>
      <c r="AB111" s="38">
        <v>1.3609994589174095</v>
      </c>
      <c r="AC111" s="38">
        <v>0.22477019341673843</v>
      </c>
      <c r="AD111" s="38">
        <v>1.3609994589174095</v>
      </c>
    </row>
    <row r="112" spans="1:30" ht="15" thickBot="1" x14ac:dyDescent="0.35">
      <c r="A112" s="24" t="s">
        <v>74</v>
      </c>
      <c r="B112" s="24">
        <v>20</v>
      </c>
      <c r="C112" s="24">
        <v>12</v>
      </c>
      <c r="D112" s="24">
        <v>18</v>
      </c>
      <c r="E112" s="24">
        <v>28</v>
      </c>
      <c r="F112" s="24">
        <f t="shared" si="1"/>
        <v>50</v>
      </c>
      <c r="H112" s="98" t="s">
        <v>239</v>
      </c>
      <c r="I112" s="98" t="s">
        <v>411</v>
      </c>
      <c r="J112" s="125" t="s">
        <v>349</v>
      </c>
      <c r="K112" s="125" t="s">
        <v>412</v>
      </c>
      <c r="O112" s="98" t="s">
        <v>239</v>
      </c>
      <c r="P112" s="98" t="s">
        <v>411</v>
      </c>
      <c r="Q112" s="125" t="s">
        <v>349</v>
      </c>
      <c r="R112" s="125" t="s">
        <v>412</v>
      </c>
      <c r="V112" s="23" t="s">
        <v>71</v>
      </c>
      <c r="W112" s="39">
        <v>1.3789496807672035</v>
      </c>
      <c r="X112" s="39">
        <v>0.57359373485331033</v>
      </c>
      <c r="Y112" s="39">
        <v>2.4040528983808604</v>
      </c>
      <c r="Z112" s="94">
        <v>2.0299645708533279E-2</v>
      </c>
      <c r="AA112" s="39">
        <v>0.22436537631321674</v>
      </c>
      <c r="AB112" s="39">
        <v>2.5335339852211902</v>
      </c>
      <c r="AC112" s="39">
        <v>0.22436537631321674</v>
      </c>
      <c r="AD112" s="39">
        <v>2.5335339852211902</v>
      </c>
    </row>
    <row r="113" spans="1:20" x14ac:dyDescent="0.3">
      <c r="A113" s="24" t="s">
        <v>74</v>
      </c>
      <c r="B113" s="24">
        <v>21</v>
      </c>
      <c r="C113" s="24">
        <v>24</v>
      </c>
      <c r="D113" s="24">
        <v>21</v>
      </c>
      <c r="E113" s="24">
        <v>33</v>
      </c>
      <c r="F113" s="24">
        <f t="shared" si="1"/>
        <v>66</v>
      </c>
      <c r="H113" s="49">
        <v>47.158000000000001</v>
      </c>
      <c r="I113" s="49">
        <v>1.49176</v>
      </c>
      <c r="J113" s="111" t="s">
        <v>505</v>
      </c>
      <c r="K113" s="111" t="s">
        <v>506</v>
      </c>
      <c r="O113" s="49">
        <v>36.764099999999999</v>
      </c>
      <c r="P113" s="49">
        <v>0.92322099999999996</v>
      </c>
      <c r="Q113" s="111" t="s">
        <v>503</v>
      </c>
      <c r="R113" s="111" t="s">
        <v>504</v>
      </c>
    </row>
    <row r="114" spans="1:20" x14ac:dyDescent="0.3">
      <c r="A114" s="24" t="s">
        <v>74</v>
      </c>
      <c r="B114" s="24">
        <v>21</v>
      </c>
      <c r="C114" s="24">
        <v>18</v>
      </c>
      <c r="D114" s="24">
        <v>19</v>
      </c>
      <c r="E114" s="24">
        <v>38</v>
      </c>
      <c r="F114" s="24">
        <f t="shared" si="1"/>
        <v>58</v>
      </c>
    </row>
    <row r="115" spans="1:20" x14ac:dyDescent="0.3">
      <c r="A115" s="24" t="s">
        <v>74</v>
      </c>
      <c r="B115" s="24">
        <v>23</v>
      </c>
      <c r="C115" s="24">
        <v>15</v>
      </c>
      <c r="D115" s="24">
        <v>20</v>
      </c>
      <c r="E115" s="24">
        <v>32</v>
      </c>
      <c r="F115" s="24">
        <f t="shared" si="1"/>
        <v>58</v>
      </c>
      <c r="G115" t="s">
        <v>611</v>
      </c>
      <c r="H115" t="s">
        <v>511</v>
      </c>
      <c r="O115" t="s">
        <v>146</v>
      </c>
    </row>
    <row r="116" spans="1:20" ht="15" thickBot="1" x14ac:dyDescent="0.35">
      <c r="A116" s="25" t="s">
        <v>74</v>
      </c>
      <c r="B116" s="25">
        <v>19</v>
      </c>
      <c r="C116" s="25">
        <v>14</v>
      </c>
      <c r="D116" s="25">
        <v>16</v>
      </c>
      <c r="E116" s="25">
        <v>25</v>
      </c>
      <c r="F116" s="24">
        <f t="shared" si="1"/>
        <v>49</v>
      </c>
    </row>
    <row r="117" spans="1:20" ht="18" x14ac:dyDescent="0.3">
      <c r="H117" s="44" t="s">
        <v>508</v>
      </c>
      <c r="O117" s="41" t="s">
        <v>147</v>
      </c>
      <c r="P117" s="41"/>
    </row>
    <row r="118" spans="1:20" ht="15" x14ac:dyDescent="0.3">
      <c r="H118" s="96" t="s">
        <v>211</v>
      </c>
      <c r="O118" s="38" t="s">
        <v>148</v>
      </c>
      <c r="P118" s="38">
        <v>0.65161118015903541</v>
      </c>
    </row>
    <row r="119" spans="1:20" x14ac:dyDescent="0.3">
      <c r="H119" s="46" t="s">
        <v>72</v>
      </c>
      <c r="I119" s="46" t="s">
        <v>212</v>
      </c>
      <c r="J119" s="46" t="s">
        <v>509</v>
      </c>
      <c r="O119" s="38" t="s">
        <v>149</v>
      </c>
      <c r="P119" s="38">
        <v>0.4245971301082509</v>
      </c>
    </row>
    <row r="120" spans="1:20" ht="15" x14ac:dyDescent="0.3">
      <c r="H120" s="96" t="s">
        <v>163</v>
      </c>
      <c r="O120" s="38" t="s">
        <v>150</v>
      </c>
      <c r="P120" s="38">
        <v>0.41872567225221263</v>
      </c>
    </row>
    <row r="121" spans="1:20" ht="15" thickBot="1" x14ac:dyDescent="0.35">
      <c r="H121" s="97" t="s">
        <v>214</v>
      </c>
      <c r="I121" s="98" t="s">
        <v>215</v>
      </c>
      <c r="J121" s="98" t="s">
        <v>216</v>
      </c>
      <c r="K121" s="98" t="s">
        <v>217</v>
      </c>
      <c r="L121" s="98" t="s">
        <v>218</v>
      </c>
      <c r="M121" s="98" t="s">
        <v>219</v>
      </c>
      <c r="O121" s="38" t="s">
        <v>151</v>
      </c>
      <c r="P121" s="38">
        <v>7.0166646829363488</v>
      </c>
    </row>
    <row r="122" spans="1:20" ht="15" thickBot="1" x14ac:dyDescent="0.35">
      <c r="H122" s="46" t="s">
        <v>220</v>
      </c>
      <c r="I122" s="49">
        <v>-13.66</v>
      </c>
      <c r="J122" s="49">
        <v>5.97</v>
      </c>
      <c r="K122" s="49">
        <v>-2.29</v>
      </c>
      <c r="L122" s="49">
        <v>2.4E-2</v>
      </c>
      <c r="M122" s="50"/>
      <c r="O122" s="39" t="s">
        <v>152</v>
      </c>
      <c r="P122" s="39">
        <v>100</v>
      </c>
    </row>
    <row r="123" spans="1:20" x14ac:dyDescent="0.3">
      <c r="H123" s="46" t="s">
        <v>507</v>
      </c>
      <c r="I123" s="49">
        <v>0.89300000000000002</v>
      </c>
      <c r="J123" s="49">
        <v>0.105</v>
      </c>
      <c r="K123" s="120">
        <v>8.5</v>
      </c>
      <c r="L123" s="120">
        <v>0</v>
      </c>
      <c r="M123" s="49">
        <v>1</v>
      </c>
    </row>
    <row r="124" spans="1:20" ht="15.6" thickBot="1" x14ac:dyDescent="0.35">
      <c r="H124" s="96" t="s">
        <v>221</v>
      </c>
      <c r="O124" t="s">
        <v>153</v>
      </c>
    </row>
    <row r="125" spans="1:20" ht="15" thickBot="1" x14ac:dyDescent="0.35">
      <c r="H125" s="98" t="s">
        <v>222</v>
      </c>
      <c r="I125" s="98" t="s">
        <v>223</v>
      </c>
      <c r="J125" s="98" t="s">
        <v>224</v>
      </c>
      <c r="K125" s="98" t="s">
        <v>225</v>
      </c>
      <c r="O125" s="40"/>
      <c r="P125" s="40" t="s">
        <v>158</v>
      </c>
      <c r="Q125" s="40" t="s">
        <v>159</v>
      </c>
      <c r="R125" s="40" t="s">
        <v>160</v>
      </c>
      <c r="S125" s="40" t="s">
        <v>161</v>
      </c>
      <c r="T125" s="40" t="s">
        <v>162</v>
      </c>
    </row>
    <row r="126" spans="1:20" x14ac:dyDescent="0.3">
      <c r="H126" s="49">
        <v>7.0166599999999999</v>
      </c>
      <c r="I126" s="51">
        <v>0.42459999999999998</v>
      </c>
      <c r="J126" s="51">
        <v>0.41870000000000002</v>
      </c>
      <c r="K126" s="51">
        <v>0.40510000000000002</v>
      </c>
      <c r="O126" s="38" t="s">
        <v>154</v>
      </c>
      <c r="P126" s="38">
        <v>1</v>
      </c>
      <c r="Q126" s="38">
        <v>3560.3488392689114</v>
      </c>
      <c r="R126" s="38">
        <v>3560.3488392689114</v>
      </c>
      <c r="S126" s="38">
        <v>72.31545222990772</v>
      </c>
      <c r="T126" s="38">
        <v>2.1093934607018341E-13</v>
      </c>
    </row>
    <row r="127" spans="1:20" ht="15" x14ac:dyDescent="0.3">
      <c r="H127" s="96" t="s">
        <v>226</v>
      </c>
      <c r="O127" s="38" t="s">
        <v>155</v>
      </c>
      <c r="P127" s="38">
        <v>98</v>
      </c>
      <c r="Q127" s="38">
        <v>4824.891160731092</v>
      </c>
      <c r="R127" s="38">
        <v>49.233583272766246</v>
      </c>
      <c r="S127" s="38"/>
      <c r="T127" s="38"/>
    </row>
    <row r="128" spans="1:20" ht="15" thickBot="1" x14ac:dyDescent="0.35">
      <c r="H128" s="97" t="s">
        <v>227</v>
      </c>
      <c r="I128" s="98" t="s">
        <v>228</v>
      </c>
      <c r="J128" s="98" t="s">
        <v>229</v>
      </c>
      <c r="K128" s="98" t="s">
        <v>230</v>
      </c>
      <c r="L128" s="98" t="s">
        <v>231</v>
      </c>
      <c r="M128" s="98" t="s">
        <v>218</v>
      </c>
      <c r="O128" s="39" t="s">
        <v>156</v>
      </c>
      <c r="P128" s="39">
        <v>99</v>
      </c>
      <c r="Q128" s="39">
        <v>8385.2400000000034</v>
      </c>
      <c r="R128" s="39"/>
      <c r="S128" s="39"/>
      <c r="T128" s="39"/>
    </row>
    <row r="129" spans="8:23" ht="15" thickBot="1" x14ac:dyDescent="0.35">
      <c r="H129" s="46" t="s">
        <v>154</v>
      </c>
      <c r="I129" s="49">
        <v>1</v>
      </c>
      <c r="J129" s="49">
        <v>3560.3</v>
      </c>
      <c r="K129" s="49">
        <v>3560.35</v>
      </c>
      <c r="L129" s="49">
        <v>72.319999999999993</v>
      </c>
      <c r="M129" s="49">
        <v>0</v>
      </c>
    </row>
    <row r="130" spans="8:23" x14ac:dyDescent="0.3">
      <c r="H130" s="46" t="s">
        <v>510</v>
      </c>
      <c r="I130" s="49">
        <v>1</v>
      </c>
      <c r="J130" s="49">
        <v>3560.3</v>
      </c>
      <c r="K130" s="49">
        <v>3560.35</v>
      </c>
      <c r="L130" s="49">
        <v>72.319999999999993</v>
      </c>
      <c r="M130" s="49">
        <v>0</v>
      </c>
      <c r="O130" s="40"/>
      <c r="P130" s="40" t="s">
        <v>163</v>
      </c>
      <c r="Q130" s="40" t="s">
        <v>151</v>
      </c>
      <c r="R130" s="40" t="s">
        <v>164</v>
      </c>
      <c r="S130" s="40" t="s">
        <v>165</v>
      </c>
      <c r="T130" s="40" t="s">
        <v>166</v>
      </c>
      <c r="U130" s="40" t="s">
        <v>167</v>
      </c>
      <c r="V130" s="40" t="s">
        <v>168</v>
      </c>
      <c r="W130" s="40" t="s">
        <v>169</v>
      </c>
    </row>
    <row r="131" spans="8:23" x14ac:dyDescent="0.3">
      <c r="H131" s="46" t="s">
        <v>234</v>
      </c>
      <c r="I131" s="49">
        <v>98</v>
      </c>
      <c r="J131" s="49">
        <v>4824.8999999999996</v>
      </c>
      <c r="K131" s="49">
        <v>49.23</v>
      </c>
      <c r="L131" s="50"/>
      <c r="M131" s="50"/>
      <c r="O131" s="38" t="s">
        <v>157</v>
      </c>
      <c r="P131" s="38">
        <v>-13.656114701637684</v>
      </c>
      <c r="Q131" s="38">
        <v>5.9676647883568092</v>
      </c>
      <c r="R131" s="38">
        <v>-2.2883515053126637</v>
      </c>
      <c r="S131" s="38">
        <v>2.4264995440310667E-2</v>
      </c>
      <c r="T131" s="38">
        <v>-25.498751253548001</v>
      </c>
      <c r="U131" s="38">
        <v>-1.8134781497273664</v>
      </c>
      <c r="V131" s="38">
        <v>-25.498751253548001</v>
      </c>
      <c r="W131" s="38">
        <v>-1.8134781497273664</v>
      </c>
    </row>
    <row r="132" spans="8:23" ht="15" thickBot="1" x14ac:dyDescent="0.35">
      <c r="H132" s="46" t="s">
        <v>235</v>
      </c>
      <c r="I132" s="49">
        <v>26</v>
      </c>
      <c r="J132" s="49">
        <v>680</v>
      </c>
      <c r="K132" s="49">
        <v>26.15</v>
      </c>
      <c r="L132" s="49">
        <v>0.45</v>
      </c>
      <c r="M132" s="49">
        <v>0.98699999999999999</v>
      </c>
      <c r="O132" s="39" t="s">
        <v>507</v>
      </c>
      <c r="P132" s="39">
        <v>0.8932313842899271</v>
      </c>
      <c r="Q132" s="39">
        <v>0.10503847810826668</v>
      </c>
      <c r="R132" s="119">
        <v>8.5038492595945989</v>
      </c>
      <c r="S132" s="119">
        <v>2.1093934607019099E-13</v>
      </c>
      <c r="T132" s="39">
        <v>0.68478594301297058</v>
      </c>
      <c r="U132" s="39">
        <v>1.1016768255668836</v>
      </c>
      <c r="V132" s="39">
        <v>0.68478594301297058</v>
      </c>
      <c r="W132" s="39">
        <v>1.1016768255668836</v>
      </c>
    </row>
    <row r="133" spans="8:23" x14ac:dyDescent="0.3">
      <c r="H133" s="46" t="s">
        <v>236</v>
      </c>
      <c r="I133" s="49">
        <v>72</v>
      </c>
      <c r="J133" s="49">
        <v>4144.8999999999996</v>
      </c>
      <c r="K133" s="49">
        <v>57.57</v>
      </c>
      <c r="L133" s="50"/>
      <c r="M133" s="50"/>
    </row>
    <row r="134" spans="8:23" x14ac:dyDescent="0.3">
      <c r="H134" s="46" t="s">
        <v>156</v>
      </c>
      <c r="I134" s="49">
        <v>99</v>
      </c>
      <c r="J134" s="49">
        <v>8385.2000000000007</v>
      </c>
      <c r="K134" s="50"/>
      <c r="L134" s="50"/>
      <c r="M134" s="50"/>
      <c r="O134" s="103" t="s">
        <v>612</v>
      </c>
      <c r="P134" s="103"/>
    </row>
    <row r="135" spans="8:23" ht="15" x14ac:dyDescent="0.3">
      <c r="H135" s="96" t="s">
        <v>237</v>
      </c>
      <c r="O135" s="103" t="s">
        <v>613</v>
      </c>
      <c r="P135" s="103"/>
    </row>
    <row r="136" spans="8:23" ht="15" thickBot="1" x14ac:dyDescent="0.35">
      <c r="H136" s="98" t="s">
        <v>238</v>
      </c>
      <c r="I136" s="98" t="s">
        <v>72</v>
      </c>
      <c r="J136" s="98" t="s">
        <v>239</v>
      </c>
      <c r="K136" s="98" t="s">
        <v>240</v>
      </c>
      <c r="L136" s="98" t="s">
        <v>241</v>
      </c>
      <c r="M136" s="97"/>
      <c r="N136" s="97"/>
    </row>
    <row r="137" spans="8:23" x14ac:dyDescent="0.3">
      <c r="H137" s="49">
        <v>4</v>
      </c>
      <c r="I137" s="49">
        <v>56</v>
      </c>
      <c r="J137" s="49">
        <v>41.72</v>
      </c>
      <c r="K137" s="49">
        <v>14.28</v>
      </c>
      <c r="L137" s="49">
        <v>2.0499999999999998</v>
      </c>
      <c r="M137" s="46" t="s">
        <v>242</v>
      </c>
      <c r="N137" s="50"/>
      <c r="P137" s="157" t="s">
        <v>615</v>
      </c>
      <c r="Q137" s="157"/>
      <c r="R137" s="157"/>
      <c r="S137" s="157"/>
      <c r="T137" s="157"/>
      <c r="U137" s="157"/>
      <c r="V137" s="157"/>
      <c r="W137" s="157"/>
    </row>
    <row r="138" spans="8:23" x14ac:dyDescent="0.3">
      <c r="H138" s="49">
        <v>19</v>
      </c>
      <c r="I138" s="49">
        <v>22</v>
      </c>
      <c r="J138" s="49">
        <v>22.97</v>
      </c>
      <c r="K138" s="49">
        <v>-0.97</v>
      </c>
      <c r="L138" s="49">
        <v>-0.14000000000000001</v>
      </c>
      <c r="M138" s="50"/>
      <c r="N138" s="46" t="s">
        <v>390</v>
      </c>
      <c r="P138" s="157"/>
      <c r="Q138" s="157"/>
      <c r="R138" s="157"/>
      <c r="S138" s="157"/>
      <c r="T138" s="157"/>
      <c r="U138" s="157"/>
      <c r="V138" s="157"/>
      <c r="W138" s="157"/>
    </row>
    <row r="139" spans="8:23" x14ac:dyDescent="0.3">
      <c r="H139" s="49">
        <v>23</v>
      </c>
      <c r="I139" s="49">
        <v>14</v>
      </c>
      <c r="J139" s="49">
        <v>31.9</v>
      </c>
      <c r="K139" s="49">
        <v>-17.899999999999999</v>
      </c>
      <c r="L139" s="49">
        <v>-2.57</v>
      </c>
      <c r="M139" s="46" t="s">
        <v>242</v>
      </c>
      <c r="N139" s="50"/>
      <c r="P139" s="157"/>
      <c r="Q139" s="157"/>
      <c r="R139" s="157"/>
      <c r="S139" s="157"/>
      <c r="T139" s="157"/>
      <c r="U139" s="157"/>
      <c r="V139" s="157"/>
      <c r="W139" s="157"/>
    </row>
    <row r="140" spans="8:23" x14ac:dyDescent="0.3">
      <c r="H140" s="49">
        <v>40</v>
      </c>
      <c r="I140" s="49">
        <v>63</v>
      </c>
      <c r="J140" s="49">
        <v>42.62</v>
      </c>
      <c r="K140" s="49">
        <v>20.38</v>
      </c>
      <c r="L140" s="49">
        <v>2.93</v>
      </c>
      <c r="M140" s="46" t="s">
        <v>242</v>
      </c>
      <c r="N140" s="50"/>
      <c r="P140" s="157"/>
      <c r="Q140" s="157"/>
      <c r="R140" s="157"/>
      <c r="S140" s="157"/>
      <c r="T140" s="157"/>
      <c r="U140" s="157"/>
      <c r="V140" s="157"/>
      <c r="W140" s="157"/>
    </row>
    <row r="141" spans="8:23" x14ac:dyDescent="0.3">
      <c r="H141" s="49">
        <v>43</v>
      </c>
      <c r="I141" s="49">
        <v>53</v>
      </c>
      <c r="J141" s="49">
        <v>38.15</v>
      </c>
      <c r="K141" s="49">
        <v>14.85</v>
      </c>
      <c r="L141" s="49">
        <v>2.13</v>
      </c>
      <c r="M141" s="46" t="s">
        <v>242</v>
      </c>
      <c r="N141" s="50"/>
      <c r="P141" s="157"/>
      <c r="Q141" s="157"/>
      <c r="R141" s="157"/>
      <c r="S141" s="157"/>
      <c r="T141" s="157"/>
      <c r="U141" s="157"/>
      <c r="V141" s="157"/>
      <c r="W141" s="157"/>
    </row>
    <row r="142" spans="8:23" x14ac:dyDescent="0.3">
      <c r="H142" s="49">
        <v>82</v>
      </c>
      <c r="I142" s="49">
        <v>51</v>
      </c>
      <c r="J142" s="49">
        <v>52.44</v>
      </c>
      <c r="K142" s="49">
        <v>-1.44</v>
      </c>
      <c r="L142" s="49">
        <v>-0.21</v>
      </c>
      <c r="M142" s="50"/>
      <c r="N142" s="46" t="s">
        <v>390</v>
      </c>
      <c r="P142" s="157"/>
      <c r="Q142" s="157"/>
      <c r="R142" s="157"/>
      <c r="S142" s="157"/>
      <c r="T142" s="157"/>
      <c r="U142" s="157"/>
      <c r="V142" s="157"/>
      <c r="W142" s="157"/>
    </row>
    <row r="143" spans="8:23" x14ac:dyDescent="0.3">
      <c r="H143" s="49">
        <v>91</v>
      </c>
      <c r="I143" s="49">
        <v>51</v>
      </c>
      <c r="J143" s="49">
        <v>52.44</v>
      </c>
      <c r="K143" s="49">
        <v>-1.44</v>
      </c>
      <c r="L143" s="49">
        <v>-0.21</v>
      </c>
      <c r="M143" s="50"/>
      <c r="N143" s="46" t="s">
        <v>390</v>
      </c>
      <c r="P143" s="157"/>
      <c r="Q143" s="157"/>
      <c r="R143" s="157"/>
      <c r="S143" s="157"/>
      <c r="T143" s="157"/>
      <c r="U143" s="157"/>
      <c r="V143" s="157"/>
      <c r="W143" s="157"/>
    </row>
    <row r="144" spans="8:23" x14ac:dyDescent="0.3">
      <c r="H144" t="s">
        <v>243</v>
      </c>
    </row>
    <row r="145" spans="8:8" x14ac:dyDescent="0.3">
      <c r="H145" t="s">
        <v>391</v>
      </c>
    </row>
    <row r="146" spans="8:8" ht="15" x14ac:dyDescent="0.3">
      <c r="H146" s="96"/>
    </row>
    <row r="147" spans="8:8" x14ac:dyDescent="0.3">
      <c r="H147" s="26"/>
    </row>
    <row r="148" spans="8:8" x14ac:dyDescent="0.3">
      <c r="H148" s="26"/>
    </row>
    <row r="149" spans="8:8" x14ac:dyDescent="0.3">
      <c r="H149" s="26"/>
    </row>
    <row r="150" spans="8:8" x14ac:dyDescent="0.3">
      <c r="H150" s="26"/>
    </row>
    <row r="151" spans="8:8" x14ac:dyDescent="0.3">
      <c r="H151" s="26"/>
    </row>
    <row r="152" spans="8:8" x14ac:dyDescent="0.3">
      <c r="H152" s="26"/>
    </row>
    <row r="153" spans="8:8" x14ac:dyDescent="0.3">
      <c r="H153" s="26"/>
    </row>
    <row r="154" spans="8:8" x14ac:dyDescent="0.3">
      <c r="H154" s="26"/>
    </row>
    <row r="155" spans="8:8" x14ac:dyDescent="0.3">
      <c r="H155" s="26"/>
    </row>
    <row r="156" spans="8:8" x14ac:dyDescent="0.3">
      <c r="H156" s="26"/>
    </row>
    <row r="157" spans="8:8" x14ac:dyDescent="0.3">
      <c r="H157" s="26"/>
    </row>
    <row r="158" spans="8:8" x14ac:dyDescent="0.3">
      <c r="H158" s="26"/>
    </row>
    <row r="159" spans="8:8" x14ac:dyDescent="0.3">
      <c r="H159" s="26"/>
    </row>
    <row r="160" spans="8:8" x14ac:dyDescent="0.3">
      <c r="H160" s="26"/>
    </row>
    <row r="161" spans="7:31" x14ac:dyDescent="0.3">
      <c r="H161" s="26"/>
    </row>
    <row r="162" spans="7:31" x14ac:dyDescent="0.3">
      <c r="H162" s="26"/>
    </row>
    <row r="163" spans="7:31" x14ac:dyDescent="0.3">
      <c r="H163" s="26"/>
    </row>
    <row r="164" spans="7:31" x14ac:dyDescent="0.3">
      <c r="H164" s="26"/>
    </row>
    <row r="167" spans="7:31" x14ac:dyDescent="0.3">
      <c r="G167" t="s">
        <v>401</v>
      </c>
      <c r="H167" t="s">
        <v>513</v>
      </c>
    </row>
    <row r="169" spans="7:31" ht="18" x14ac:dyDescent="0.35">
      <c r="J169" s="124" t="s">
        <v>498</v>
      </c>
      <c r="K169" s="74"/>
      <c r="L169" s="74"/>
      <c r="M169" s="74"/>
      <c r="N169" s="74"/>
      <c r="O169" s="74"/>
      <c r="P169" s="74"/>
      <c r="Q169" s="74"/>
      <c r="R169" s="124" t="s">
        <v>500</v>
      </c>
      <c r="S169" s="124"/>
      <c r="V169" s="124" t="s">
        <v>498</v>
      </c>
      <c r="W169" s="74"/>
      <c r="X169" s="74"/>
      <c r="Y169" s="74"/>
      <c r="Z169" s="74"/>
      <c r="AA169" s="74"/>
      <c r="AB169" s="74"/>
      <c r="AC169" s="74"/>
      <c r="AE169" s="124"/>
    </row>
    <row r="170" spans="7:31" x14ac:dyDescent="0.3">
      <c r="V170" t="s">
        <v>146</v>
      </c>
    </row>
    <row r="171" spans="7:31" ht="18.600000000000001" thickBot="1" x14ac:dyDescent="0.35">
      <c r="H171" s="44" t="s">
        <v>508</v>
      </c>
      <c r="O171" s="44" t="s">
        <v>508</v>
      </c>
    </row>
    <row r="172" spans="7:31" ht="15" x14ac:dyDescent="0.3">
      <c r="H172" s="96" t="s">
        <v>211</v>
      </c>
      <c r="O172" s="96" t="s">
        <v>211</v>
      </c>
      <c r="V172" s="41" t="s">
        <v>147</v>
      </c>
      <c r="W172" s="41"/>
    </row>
    <row r="173" spans="7:31" x14ac:dyDescent="0.3">
      <c r="H173" s="46" t="s">
        <v>72</v>
      </c>
      <c r="I173" s="46" t="s">
        <v>212</v>
      </c>
      <c r="J173" s="46" t="s">
        <v>514</v>
      </c>
      <c r="O173" s="46" t="s">
        <v>72</v>
      </c>
      <c r="P173" s="46" t="s">
        <v>212</v>
      </c>
      <c r="Q173" s="46" t="s">
        <v>515</v>
      </c>
      <c r="V173" s="38" t="s">
        <v>148</v>
      </c>
      <c r="W173" s="38">
        <v>0.72223570473117604</v>
      </c>
    </row>
    <row r="174" spans="7:31" ht="15" x14ac:dyDescent="0.3">
      <c r="H174" s="96" t="s">
        <v>163</v>
      </c>
      <c r="O174" s="96" t="s">
        <v>163</v>
      </c>
      <c r="V174" s="38" t="s">
        <v>149</v>
      </c>
      <c r="W174" s="38">
        <v>0.52162441318853858</v>
      </c>
    </row>
    <row r="175" spans="7:31" ht="15" thickBot="1" x14ac:dyDescent="0.35">
      <c r="H175" s="97" t="s">
        <v>214</v>
      </c>
      <c r="I175" s="98" t="s">
        <v>215</v>
      </c>
      <c r="J175" s="98" t="s">
        <v>216</v>
      </c>
      <c r="K175" s="98" t="s">
        <v>217</v>
      </c>
      <c r="L175" s="98" t="s">
        <v>218</v>
      </c>
      <c r="M175" s="98" t="s">
        <v>219</v>
      </c>
      <c r="O175" s="97" t="s">
        <v>214</v>
      </c>
      <c r="P175" s="98" t="s">
        <v>215</v>
      </c>
      <c r="Q175" s="98" t="s">
        <v>216</v>
      </c>
      <c r="R175" s="98" t="s">
        <v>217</v>
      </c>
      <c r="S175" s="98" t="s">
        <v>218</v>
      </c>
      <c r="T175" s="98" t="s">
        <v>219</v>
      </c>
      <c r="V175" s="38" t="s">
        <v>150</v>
      </c>
      <c r="W175" s="38">
        <v>0.51165825512996654</v>
      </c>
    </row>
    <row r="176" spans="7:31" x14ac:dyDescent="0.3">
      <c r="H176" s="46" t="s">
        <v>220</v>
      </c>
      <c r="I176" s="49">
        <v>-26.29</v>
      </c>
      <c r="J176" s="49">
        <v>9.18</v>
      </c>
      <c r="K176" s="86">
        <v>-2.86</v>
      </c>
      <c r="L176" s="86">
        <v>6.0000000000000001E-3</v>
      </c>
      <c r="M176" s="50"/>
      <c r="O176" s="46" t="s">
        <v>220</v>
      </c>
      <c r="P176" s="49">
        <v>-13.16</v>
      </c>
      <c r="Q176" s="49">
        <v>5.31</v>
      </c>
      <c r="R176" s="86">
        <v>-2.48</v>
      </c>
      <c r="S176" s="86">
        <v>1.7000000000000001E-2</v>
      </c>
      <c r="T176" s="50"/>
      <c r="V176" s="38" t="s">
        <v>151</v>
      </c>
      <c r="W176" s="38">
        <v>6.7454940927539173</v>
      </c>
    </row>
    <row r="177" spans="8:30" ht="15" thickBot="1" x14ac:dyDescent="0.35">
      <c r="H177" s="46" t="s">
        <v>507</v>
      </c>
      <c r="I177" s="49">
        <v>1.1870000000000001</v>
      </c>
      <c r="J177" s="49">
        <v>0.16400000000000001</v>
      </c>
      <c r="K177" s="86">
        <v>7.23</v>
      </c>
      <c r="L177" s="86">
        <v>0</v>
      </c>
      <c r="M177" s="49">
        <v>1</v>
      </c>
      <c r="O177" s="46" t="s">
        <v>507</v>
      </c>
      <c r="P177" s="49">
        <v>0.8196</v>
      </c>
      <c r="Q177" s="49">
        <v>9.1999999999999998E-2</v>
      </c>
      <c r="R177" s="86">
        <v>8.91</v>
      </c>
      <c r="S177" s="86">
        <v>0</v>
      </c>
      <c r="T177" s="49">
        <v>1</v>
      </c>
      <c r="V177" s="39" t="s">
        <v>152</v>
      </c>
      <c r="W177" s="39">
        <v>50</v>
      </c>
    </row>
    <row r="178" spans="8:30" ht="15" x14ac:dyDescent="0.3">
      <c r="H178" s="96" t="s">
        <v>221</v>
      </c>
      <c r="O178" s="96" t="s">
        <v>221</v>
      </c>
    </row>
    <row r="179" spans="8:30" ht="15" thickBot="1" x14ac:dyDescent="0.35">
      <c r="H179" s="98" t="s">
        <v>222</v>
      </c>
      <c r="I179" s="98" t="s">
        <v>223</v>
      </c>
      <c r="J179" s="98" t="s">
        <v>224</v>
      </c>
      <c r="K179" s="98" t="s">
        <v>225</v>
      </c>
      <c r="O179" s="98" t="s">
        <v>222</v>
      </c>
      <c r="P179" s="98" t="s">
        <v>223</v>
      </c>
      <c r="Q179" s="98" t="s">
        <v>224</v>
      </c>
      <c r="R179" s="98" t="s">
        <v>225</v>
      </c>
      <c r="V179" t="s">
        <v>153</v>
      </c>
    </row>
    <row r="180" spans="8:30" x14ac:dyDescent="0.3">
      <c r="H180" s="49">
        <v>6.7454900000000002</v>
      </c>
      <c r="I180" s="51">
        <v>0.52159999999999995</v>
      </c>
      <c r="J180" s="51">
        <v>0.51170000000000004</v>
      </c>
      <c r="K180" s="51">
        <v>0.48080000000000001</v>
      </c>
      <c r="O180" s="49">
        <v>4.7877799999999997</v>
      </c>
      <c r="P180" s="51">
        <v>0.62309999999999999</v>
      </c>
      <c r="Q180" s="51">
        <v>0.61529999999999996</v>
      </c>
      <c r="R180" s="51">
        <v>0.58950000000000002</v>
      </c>
      <c r="V180" s="40"/>
      <c r="W180" s="40" t="s">
        <v>158</v>
      </c>
      <c r="X180" s="40" t="s">
        <v>159</v>
      </c>
      <c r="Y180" s="40" t="s">
        <v>160</v>
      </c>
      <c r="Z180" s="40" t="s">
        <v>161</v>
      </c>
      <c r="AA180" s="40" t="s">
        <v>162</v>
      </c>
    </row>
    <row r="181" spans="8:30" ht="15" x14ac:dyDescent="0.3">
      <c r="H181" s="96" t="s">
        <v>226</v>
      </c>
      <c r="O181" s="96" t="s">
        <v>226</v>
      </c>
      <c r="V181" s="38" t="s">
        <v>154</v>
      </c>
      <c r="W181" s="38">
        <v>1</v>
      </c>
      <c r="X181" s="38">
        <v>2381.538853341855</v>
      </c>
      <c r="Y181" s="38">
        <v>2381.538853341855</v>
      </c>
      <c r="Z181" s="38">
        <v>52.339568580279327</v>
      </c>
      <c r="AA181" s="38">
        <v>3.215078423768383E-9</v>
      </c>
    </row>
    <row r="182" spans="8:30" ht="15" thickBot="1" x14ac:dyDescent="0.35">
      <c r="H182" s="97" t="s">
        <v>227</v>
      </c>
      <c r="I182" s="98" t="s">
        <v>228</v>
      </c>
      <c r="J182" s="98" t="s">
        <v>229</v>
      </c>
      <c r="K182" s="98" t="s">
        <v>230</v>
      </c>
      <c r="L182" s="98" t="s">
        <v>231</v>
      </c>
      <c r="M182" s="98" t="s">
        <v>218</v>
      </c>
      <c r="O182" s="97" t="s">
        <v>227</v>
      </c>
      <c r="P182" s="98" t="s">
        <v>228</v>
      </c>
      <c r="Q182" s="98" t="s">
        <v>229</v>
      </c>
      <c r="R182" s="98" t="s">
        <v>230</v>
      </c>
      <c r="S182" s="98" t="s">
        <v>231</v>
      </c>
      <c r="T182" s="98" t="s">
        <v>218</v>
      </c>
      <c r="V182" s="38" t="s">
        <v>155</v>
      </c>
      <c r="W182" s="38">
        <v>48</v>
      </c>
      <c r="X182" s="38">
        <v>2184.081146658144</v>
      </c>
      <c r="Y182" s="38">
        <v>45.501690555377998</v>
      </c>
      <c r="Z182" s="38"/>
      <c r="AA182" s="38"/>
    </row>
    <row r="183" spans="8:30" ht="15" thickBot="1" x14ac:dyDescent="0.35">
      <c r="H183" s="46" t="s">
        <v>154</v>
      </c>
      <c r="I183" s="49">
        <v>1</v>
      </c>
      <c r="J183" s="49">
        <v>2381.5</v>
      </c>
      <c r="K183" s="49">
        <v>2381.54</v>
      </c>
      <c r="L183" s="49">
        <v>52.34</v>
      </c>
      <c r="M183" s="49">
        <v>0</v>
      </c>
      <c r="O183" s="46" t="s">
        <v>154</v>
      </c>
      <c r="P183" s="49">
        <v>1</v>
      </c>
      <c r="Q183" s="49">
        <v>1819.3</v>
      </c>
      <c r="R183" s="49">
        <v>1819.32</v>
      </c>
      <c r="S183" s="49">
        <v>79.37</v>
      </c>
      <c r="T183" s="49">
        <v>0</v>
      </c>
      <c r="V183" s="39" t="s">
        <v>156</v>
      </c>
      <c r="W183" s="39">
        <v>49</v>
      </c>
      <c r="X183" s="39">
        <v>4565.619999999999</v>
      </c>
      <c r="Y183" s="39"/>
      <c r="Z183" s="39"/>
      <c r="AA183" s="39"/>
    </row>
    <row r="184" spans="8:30" ht="15" thickBot="1" x14ac:dyDescent="0.35">
      <c r="H184" s="46" t="s">
        <v>510</v>
      </c>
      <c r="I184" s="49">
        <v>1</v>
      </c>
      <c r="J184" s="49">
        <v>2381.5</v>
      </c>
      <c r="K184" s="49">
        <v>2381.54</v>
      </c>
      <c r="L184" s="49">
        <v>52.34</v>
      </c>
      <c r="M184" s="49">
        <v>0</v>
      </c>
      <c r="O184" s="46" t="s">
        <v>510</v>
      </c>
      <c r="P184" s="49">
        <v>1</v>
      </c>
      <c r="Q184" s="49">
        <v>1819.3</v>
      </c>
      <c r="R184" s="49">
        <v>1819.32</v>
      </c>
      <c r="S184" s="49">
        <v>79.37</v>
      </c>
      <c r="T184" s="49">
        <v>0</v>
      </c>
    </row>
    <row r="185" spans="8:30" x14ac:dyDescent="0.3">
      <c r="H185" s="46" t="s">
        <v>234</v>
      </c>
      <c r="I185" s="49">
        <v>48</v>
      </c>
      <c r="J185" s="49">
        <v>2184.1</v>
      </c>
      <c r="K185" s="49">
        <v>45.5</v>
      </c>
      <c r="L185" s="50"/>
      <c r="M185" s="50"/>
      <c r="O185" s="46" t="s">
        <v>234</v>
      </c>
      <c r="P185" s="49">
        <v>48</v>
      </c>
      <c r="Q185" s="49">
        <v>1100.3</v>
      </c>
      <c r="R185" s="49">
        <v>22.92</v>
      </c>
      <c r="S185" s="50"/>
      <c r="T185" s="50"/>
      <c r="V185" s="40"/>
      <c r="W185" s="40" t="s">
        <v>163</v>
      </c>
      <c r="X185" s="40" t="s">
        <v>151</v>
      </c>
      <c r="Y185" s="40" t="s">
        <v>164</v>
      </c>
      <c r="Z185" s="40" t="s">
        <v>165</v>
      </c>
      <c r="AA185" s="40" t="s">
        <v>166</v>
      </c>
      <c r="AB185" s="40" t="s">
        <v>167</v>
      </c>
      <c r="AC185" s="40" t="s">
        <v>168</v>
      </c>
      <c r="AD185" s="40" t="s">
        <v>169</v>
      </c>
    </row>
    <row r="186" spans="8:30" x14ac:dyDescent="0.3">
      <c r="H186" s="46" t="s">
        <v>235</v>
      </c>
      <c r="I186" s="49">
        <v>19</v>
      </c>
      <c r="J186" s="49">
        <v>1510</v>
      </c>
      <c r="K186" s="49">
        <v>79.48</v>
      </c>
      <c r="L186" s="49">
        <v>3.42</v>
      </c>
      <c r="M186" s="49">
        <v>1E-3</v>
      </c>
      <c r="O186" s="46" t="s">
        <v>235</v>
      </c>
      <c r="P186" s="49">
        <v>24</v>
      </c>
      <c r="Q186" s="49">
        <v>673.5</v>
      </c>
      <c r="R186" s="49">
        <v>28.06</v>
      </c>
      <c r="S186" s="49">
        <v>1.58</v>
      </c>
      <c r="T186" s="49">
        <v>0.13500000000000001</v>
      </c>
      <c r="V186" s="38" t="s">
        <v>157</v>
      </c>
      <c r="W186" s="38">
        <v>-26.290523026666172</v>
      </c>
      <c r="X186" s="38">
        <v>9.1767523300064067</v>
      </c>
      <c r="Y186" s="118">
        <v>-2.8649049338185439</v>
      </c>
      <c r="Z186" s="118">
        <v>6.1718121843091778E-3</v>
      </c>
      <c r="AA186" s="38">
        <v>-44.741620223486208</v>
      </c>
      <c r="AB186" s="38">
        <v>-7.8394258298461388</v>
      </c>
      <c r="AC186" s="38">
        <v>-44.741620223486208</v>
      </c>
      <c r="AD186" s="38">
        <v>-7.8394258298461388</v>
      </c>
    </row>
    <row r="187" spans="8:30" ht="15" thickBot="1" x14ac:dyDescent="0.35">
      <c r="H187" s="46" t="s">
        <v>236</v>
      </c>
      <c r="I187" s="49">
        <v>29</v>
      </c>
      <c r="J187" s="49">
        <v>674</v>
      </c>
      <c r="K187" s="49">
        <v>23.24</v>
      </c>
      <c r="L187" s="50"/>
      <c r="M187" s="50"/>
      <c r="O187" s="46" t="s">
        <v>236</v>
      </c>
      <c r="P187" s="49">
        <v>24</v>
      </c>
      <c r="Q187" s="49">
        <v>426.8</v>
      </c>
      <c r="R187" s="49">
        <v>17.78</v>
      </c>
      <c r="S187" s="50"/>
      <c r="T187" s="50"/>
      <c r="V187" s="39" t="s">
        <v>507</v>
      </c>
      <c r="W187" s="39">
        <v>1.1871722946182341</v>
      </c>
      <c r="X187" s="39">
        <v>0.16409626021785959</v>
      </c>
      <c r="Y187" s="119">
        <v>7.234609082754873</v>
      </c>
      <c r="Z187" s="119">
        <v>3.2150784237684066E-9</v>
      </c>
      <c r="AA187" s="39">
        <v>0.85723465022805523</v>
      </c>
      <c r="AB187" s="39">
        <v>1.5171099390084131</v>
      </c>
      <c r="AC187" s="39">
        <v>0.85723465022805523</v>
      </c>
      <c r="AD187" s="39">
        <v>1.5171099390084131</v>
      </c>
    </row>
    <row r="188" spans="8:30" x14ac:dyDescent="0.3">
      <c r="H188" s="46" t="s">
        <v>156</v>
      </c>
      <c r="I188" s="49">
        <v>49</v>
      </c>
      <c r="J188" s="49">
        <v>4565.6000000000004</v>
      </c>
      <c r="K188" s="50"/>
      <c r="L188" s="50"/>
      <c r="M188" s="50"/>
      <c r="O188" s="46" t="s">
        <v>156</v>
      </c>
      <c r="P188" s="49">
        <v>49</v>
      </c>
      <c r="Q188" s="49">
        <v>2919.6</v>
      </c>
      <c r="R188" s="50"/>
      <c r="S188" s="50"/>
      <c r="T188" s="50"/>
    </row>
    <row r="189" spans="8:30" ht="18" x14ac:dyDescent="0.35">
      <c r="H189" s="96" t="s">
        <v>237</v>
      </c>
      <c r="O189" s="96" t="s">
        <v>237</v>
      </c>
      <c r="V189" s="124" t="s">
        <v>500</v>
      </c>
    </row>
    <row r="190" spans="8:30" ht="15" thickBot="1" x14ac:dyDescent="0.35">
      <c r="H190" s="98" t="s">
        <v>238</v>
      </c>
      <c r="I190" s="98" t="s">
        <v>72</v>
      </c>
      <c r="J190" s="98" t="s">
        <v>239</v>
      </c>
      <c r="K190" s="98" t="s">
        <v>240</v>
      </c>
      <c r="L190" s="98" t="s">
        <v>241</v>
      </c>
      <c r="M190" s="97"/>
      <c r="N190" s="97"/>
      <c r="O190" s="98" t="s">
        <v>238</v>
      </c>
      <c r="P190" s="98" t="s">
        <v>72</v>
      </c>
      <c r="Q190" s="98" t="s">
        <v>239</v>
      </c>
      <c r="R190" s="98" t="s">
        <v>240</v>
      </c>
      <c r="S190" s="98" t="s">
        <v>241</v>
      </c>
      <c r="T190" s="97"/>
      <c r="U190" s="97"/>
    </row>
    <row r="191" spans="8:30" x14ac:dyDescent="0.3">
      <c r="H191" s="49">
        <v>19</v>
      </c>
      <c r="I191" s="49">
        <v>22</v>
      </c>
      <c r="J191" s="49">
        <v>22.38</v>
      </c>
      <c r="K191" s="49">
        <v>-0.38</v>
      </c>
      <c r="L191" s="49">
        <v>-0.06</v>
      </c>
      <c r="M191" s="50"/>
      <c r="N191" s="46" t="s">
        <v>390</v>
      </c>
      <c r="O191" s="49">
        <v>2</v>
      </c>
      <c r="P191" s="49">
        <v>37</v>
      </c>
      <c r="Q191" s="49">
        <v>26.18</v>
      </c>
      <c r="R191" s="49">
        <v>10.82</v>
      </c>
      <c r="S191" s="49">
        <v>2.3199999999999998</v>
      </c>
      <c r="T191" s="46" t="s">
        <v>242</v>
      </c>
      <c r="U191" s="50"/>
      <c r="V191" t="s">
        <v>146</v>
      </c>
    </row>
    <row r="192" spans="8:30" ht="15" thickBot="1" x14ac:dyDescent="0.35">
      <c r="H192" s="49">
        <v>23</v>
      </c>
      <c r="I192" s="49">
        <v>14</v>
      </c>
      <c r="J192" s="49">
        <v>34.26</v>
      </c>
      <c r="K192" s="49">
        <v>-20.260000000000002</v>
      </c>
      <c r="L192" s="49">
        <v>-3.05</v>
      </c>
      <c r="M192" s="46" t="s">
        <v>242</v>
      </c>
      <c r="N192" s="50"/>
      <c r="O192" s="49">
        <v>12</v>
      </c>
      <c r="P192" s="49">
        <v>27</v>
      </c>
      <c r="Q192" s="49">
        <v>36.840000000000003</v>
      </c>
      <c r="R192" s="49">
        <v>-9.84</v>
      </c>
      <c r="S192" s="49">
        <v>-2.08</v>
      </c>
      <c r="T192" s="46" t="s">
        <v>242</v>
      </c>
      <c r="U192" s="50"/>
    </row>
    <row r="193" spans="7:30" x14ac:dyDescent="0.3">
      <c r="H193" s="49">
        <v>40</v>
      </c>
      <c r="I193" s="49">
        <v>63</v>
      </c>
      <c r="J193" s="49">
        <v>48.5</v>
      </c>
      <c r="K193" s="49">
        <v>14.5</v>
      </c>
      <c r="L193" s="49">
        <v>2.21</v>
      </c>
      <c r="M193" s="46" t="s">
        <v>242</v>
      </c>
      <c r="N193" s="50"/>
      <c r="O193" s="49">
        <v>25</v>
      </c>
      <c r="P193" s="49">
        <v>23</v>
      </c>
      <c r="Q193" s="49">
        <v>32.74</v>
      </c>
      <c r="R193" s="49">
        <v>-9.74</v>
      </c>
      <c r="S193" s="49">
        <v>-2.06</v>
      </c>
      <c r="T193" s="46" t="s">
        <v>242</v>
      </c>
      <c r="U193" s="50"/>
      <c r="V193" s="41" t="s">
        <v>147</v>
      </c>
      <c r="W193" s="41"/>
    </row>
    <row r="194" spans="7:30" x14ac:dyDescent="0.3">
      <c r="H194" t="s">
        <v>243</v>
      </c>
      <c r="O194" s="49">
        <v>32</v>
      </c>
      <c r="P194" s="49">
        <v>51</v>
      </c>
      <c r="Q194" s="49">
        <v>47.49</v>
      </c>
      <c r="R194" s="49">
        <v>3.51</v>
      </c>
      <c r="S194" s="49">
        <v>0.78</v>
      </c>
      <c r="T194" s="50"/>
      <c r="U194" s="46" t="s">
        <v>390</v>
      </c>
      <c r="V194" s="38" t="s">
        <v>148</v>
      </c>
      <c r="W194" s="38">
        <v>0.78938993917021416</v>
      </c>
    </row>
    <row r="195" spans="7:30" x14ac:dyDescent="0.3">
      <c r="H195" t="s">
        <v>391</v>
      </c>
      <c r="O195" s="49">
        <v>36</v>
      </c>
      <c r="P195" s="49">
        <v>55</v>
      </c>
      <c r="Q195" s="49">
        <v>45.03</v>
      </c>
      <c r="R195" s="49">
        <v>9.9700000000000006</v>
      </c>
      <c r="S195" s="49">
        <v>2.1800000000000002</v>
      </c>
      <c r="T195" s="46" t="s">
        <v>242</v>
      </c>
      <c r="U195" s="50"/>
      <c r="V195" s="38" t="s">
        <v>149</v>
      </c>
      <c r="W195" s="38">
        <v>0.62313647606315448</v>
      </c>
    </row>
    <row r="196" spans="7:30" x14ac:dyDescent="0.3">
      <c r="O196" s="49">
        <v>41</v>
      </c>
      <c r="P196" s="49">
        <v>51</v>
      </c>
      <c r="Q196" s="49">
        <v>47.49</v>
      </c>
      <c r="R196" s="49">
        <v>3.51</v>
      </c>
      <c r="S196" s="49">
        <v>0.78</v>
      </c>
      <c r="T196" s="50"/>
      <c r="U196" s="46" t="s">
        <v>390</v>
      </c>
      <c r="V196" s="38" t="s">
        <v>150</v>
      </c>
      <c r="W196" s="38">
        <v>0.61528515264780348</v>
      </c>
    </row>
    <row r="197" spans="7:30" x14ac:dyDescent="0.3">
      <c r="O197" t="s">
        <v>243</v>
      </c>
      <c r="V197" s="38" t="s">
        <v>151</v>
      </c>
      <c r="W197" s="38">
        <v>4.7877845471498537</v>
      </c>
    </row>
    <row r="198" spans="7:30" ht="15" thickBot="1" x14ac:dyDescent="0.35">
      <c r="O198" t="s">
        <v>391</v>
      </c>
      <c r="V198" s="39" t="s">
        <v>152</v>
      </c>
      <c r="W198" s="39">
        <v>50</v>
      </c>
    </row>
    <row r="199" spans="7:30" x14ac:dyDescent="0.3">
      <c r="G199" t="s">
        <v>516</v>
      </c>
      <c r="H199" t="s">
        <v>517</v>
      </c>
    </row>
    <row r="200" spans="7:30" ht="15" thickBot="1" x14ac:dyDescent="0.35">
      <c r="V200" t="s">
        <v>153</v>
      </c>
    </row>
    <row r="201" spans="7:30" ht="18" x14ac:dyDescent="0.35">
      <c r="I201" s="124" t="s">
        <v>498</v>
      </c>
      <c r="J201" s="74"/>
      <c r="K201" s="74"/>
      <c r="L201" s="74"/>
      <c r="M201" s="74"/>
      <c r="N201" s="74"/>
      <c r="O201" s="74"/>
      <c r="P201" s="74"/>
      <c r="Q201" s="124" t="s">
        <v>500</v>
      </c>
      <c r="R201" s="124"/>
      <c r="V201" s="40"/>
      <c r="W201" s="40" t="s">
        <v>158</v>
      </c>
      <c r="X201" s="40" t="s">
        <v>159</v>
      </c>
      <c r="Y201" s="40" t="s">
        <v>160</v>
      </c>
      <c r="Z201" s="40" t="s">
        <v>161</v>
      </c>
      <c r="AA201" s="40" t="s">
        <v>162</v>
      </c>
    </row>
    <row r="202" spans="7:30" ht="18" x14ac:dyDescent="0.3">
      <c r="H202" s="44" t="s">
        <v>502</v>
      </c>
      <c r="O202" s="44" t="s">
        <v>502</v>
      </c>
      <c r="V202" s="38" t="s">
        <v>154</v>
      </c>
      <c r="W202" s="38">
        <v>1</v>
      </c>
      <c r="X202" s="38">
        <v>1819.3217182435064</v>
      </c>
      <c r="Y202" s="38">
        <v>1819.3217182435064</v>
      </c>
      <c r="Z202" s="38">
        <v>79.367062480803526</v>
      </c>
      <c r="AA202" s="38">
        <v>9.6621836076543198E-12</v>
      </c>
    </row>
    <row r="203" spans="7:30" ht="15" x14ac:dyDescent="0.3">
      <c r="H203" s="96" t="s">
        <v>211</v>
      </c>
      <c r="O203" s="96" t="s">
        <v>211</v>
      </c>
      <c r="V203" s="38" t="s">
        <v>155</v>
      </c>
      <c r="W203" s="38">
        <v>48</v>
      </c>
      <c r="X203" s="38">
        <v>1100.2982817564925</v>
      </c>
      <c r="Y203" s="38">
        <v>22.922880869926928</v>
      </c>
      <c r="Z203" s="38"/>
      <c r="AA203" s="38"/>
    </row>
    <row r="204" spans="7:30" ht="15" thickBot="1" x14ac:dyDescent="0.35">
      <c r="H204" s="46" t="s">
        <v>72</v>
      </c>
      <c r="I204" s="46" t="s">
        <v>212</v>
      </c>
      <c r="J204" s="46" t="s">
        <v>514</v>
      </c>
      <c r="O204" s="46" t="s">
        <v>72</v>
      </c>
      <c r="P204" s="46" t="s">
        <v>212</v>
      </c>
      <c r="Q204" s="46" t="s">
        <v>515</v>
      </c>
      <c r="V204" s="39" t="s">
        <v>156</v>
      </c>
      <c r="W204" s="39">
        <v>49</v>
      </c>
      <c r="X204" s="39">
        <v>2919.619999999999</v>
      </c>
      <c r="Y204" s="39"/>
      <c r="Z204" s="39"/>
      <c r="AA204" s="39"/>
    </row>
    <row r="205" spans="7:30" ht="15.6" thickBot="1" x14ac:dyDescent="0.35">
      <c r="H205" s="96" t="s">
        <v>407</v>
      </c>
      <c r="O205" s="96" t="s">
        <v>407</v>
      </c>
    </row>
    <row r="206" spans="7:30" ht="15" thickBot="1" x14ac:dyDescent="0.35">
      <c r="H206" s="97" t="s">
        <v>408</v>
      </c>
      <c r="I206" s="98" t="s">
        <v>409</v>
      </c>
      <c r="O206" s="97" t="s">
        <v>408</v>
      </c>
      <c r="P206" s="98" t="s">
        <v>409</v>
      </c>
      <c r="V206" s="40"/>
      <c r="W206" s="40" t="s">
        <v>163</v>
      </c>
      <c r="X206" s="40" t="s">
        <v>151</v>
      </c>
      <c r="Y206" s="40" t="s">
        <v>164</v>
      </c>
      <c r="Z206" s="40" t="s">
        <v>165</v>
      </c>
      <c r="AA206" s="40" t="s">
        <v>166</v>
      </c>
      <c r="AB206" s="40" t="s">
        <v>167</v>
      </c>
      <c r="AC206" s="40" t="s">
        <v>168</v>
      </c>
      <c r="AD206" s="40" t="s">
        <v>169</v>
      </c>
    </row>
    <row r="207" spans="7:30" x14ac:dyDescent="0.3">
      <c r="H207" s="46" t="s">
        <v>507</v>
      </c>
      <c r="I207" s="49">
        <v>50</v>
      </c>
      <c r="O207" s="46" t="s">
        <v>507</v>
      </c>
      <c r="P207" s="49">
        <v>50</v>
      </c>
      <c r="V207" s="38" t="s">
        <v>157</v>
      </c>
      <c r="W207" s="38">
        <v>-13.155564908549863</v>
      </c>
      <c r="X207" s="38">
        <v>5.3073166236452582</v>
      </c>
      <c r="Y207" s="118">
        <v>-2.4787601421665593</v>
      </c>
      <c r="Z207" s="118">
        <v>1.6750446248225692E-2</v>
      </c>
      <c r="AA207" s="38">
        <v>-23.8266401817679</v>
      </c>
      <c r="AB207" s="38">
        <v>-2.4844896353318244</v>
      </c>
      <c r="AC207" s="38">
        <v>-23.8266401817679</v>
      </c>
      <c r="AD207" s="38">
        <v>-2.4844896353318244</v>
      </c>
    </row>
    <row r="208" spans="7:30" ht="15.6" thickBot="1" x14ac:dyDescent="0.35">
      <c r="H208" s="96" t="s">
        <v>410</v>
      </c>
      <c r="O208" s="96" t="s">
        <v>410</v>
      </c>
      <c r="V208" s="39" t="s">
        <v>610</v>
      </c>
      <c r="W208" s="39">
        <v>0.81956597183764179</v>
      </c>
      <c r="X208" s="39">
        <v>9.1994902831234363E-2</v>
      </c>
      <c r="Y208" s="119">
        <v>8.9088193651461793</v>
      </c>
      <c r="Z208" s="119">
        <v>9.6621836076542827E-12</v>
      </c>
      <c r="AA208" s="39">
        <v>0.63459782268089815</v>
      </c>
      <c r="AB208" s="39">
        <v>1.0045341209943854</v>
      </c>
      <c r="AC208" s="39">
        <v>0.63459782268089815</v>
      </c>
      <c r="AD208" s="39">
        <v>1.0045341209943854</v>
      </c>
    </row>
    <row r="209" spans="8:18" ht="15" thickBot="1" x14ac:dyDescent="0.35">
      <c r="H209" s="98" t="s">
        <v>239</v>
      </c>
      <c r="I209" s="98" t="s">
        <v>411</v>
      </c>
      <c r="J209" s="125" t="s">
        <v>349</v>
      </c>
      <c r="K209" s="125" t="s">
        <v>412</v>
      </c>
      <c r="O209" s="98" t="s">
        <v>239</v>
      </c>
      <c r="P209" s="98" t="s">
        <v>411</v>
      </c>
      <c r="Q209" s="125" t="s">
        <v>349</v>
      </c>
      <c r="R209" s="125" t="s">
        <v>412</v>
      </c>
    </row>
    <row r="210" spans="8:18" x14ac:dyDescent="0.3">
      <c r="H210" s="49">
        <v>33.068100000000001</v>
      </c>
      <c r="I210" s="49">
        <v>1.3268500000000001</v>
      </c>
      <c r="J210" s="111" t="s">
        <v>520</v>
      </c>
      <c r="K210" s="111" t="s">
        <v>521</v>
      </c>
      <c r="O210" s="49">
        <v>27.822700000000001</v>
      </c>
      <c r="P210" s="49">
        <v>0.94848500000000002</v>
      </c>
      <c r="Q210" s="111" t="s">
        <v>518</v>
      </c>
      <c r="R210" s="111" t="s">
        <v>519</v>
      </c>
    </row>
  </sheetData>
  <mergeCells count="2">
    <mergeCell ref="O38:V44"/>
    <mergeCell ref="P137:W14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7B057-D7B7-4013-9D1D-02FEA343C677}">
  <dimension ref="A10:W117"/>
  <sheetViews>
    <sheetView topLeftCell="A97" workbookViewId="0">
      <selection activeCell="D67" sqref="D67"/>
    </sheetView>
  </sheetViews>
  <sheetFormatPr defaultRowHeight="14.4" x14ac:dyDescent="0.3"/>
  <cols>
    <col min="6" max="6" width="12" bestFit="1" customWidth="1"/>
    <col min="11" max="11" width="15.88671875" bestFit="1" customWidth="1"/>
    <col min="12" max="12" width="8" customWidth="1"/>
    <col min="13" max="13" width="9.44140625" bestFit="1" customWidth="1"/>
    <col min="14" max="14" width="5" bestFit="1" customWidth="1"/>
  </cols>
  <sheetData>
    <row r="10" spans="18:18" x14ac:dyDescent="0.3">
      <c r="R10" s="101"/>
    </row>
    <row r="18" spans="1:20" x14ac:dyDescent="0.3">
      <c r="A18" s="28" t="s">
        <v>82</v>
      </c>
      <c r="B18" s="15" t="s">
        <v>83</v>
      </c>
      <c r="C18" s="15" t="s">
        <v>84</v>
      </c>
      <c r="D18" s="15" t="s">
        <v>85</v>
      </c>
      <c r="E18" s="15" t="s">
        <v>320</v>
      </c>
      <c r="F18" s="102" t="s">
        <v>525</v>
      </c>
      <c r="G18" s="43"/>
      <c r="H18" s="43"/>
      <c r="I18" s="43"/>
      <c r="J18" s="43"/>
      <c r="K18" s="43"/>
      <c r="L18" s="43"/>
      <c r="N18" t="s">
        <v>531</v>
      </c>
      <c r="O18" t="s">
        <v>258</v>
      </c>
    </row>
    <row r="19" spans="1:20" ht="18" x14ac:dyDescent="0.3">
      <c r="A19" s="24" t="s">
        <v>86</v>
      </c>
      <c r="B19" s="17">
        <v>14.1</v>
      </c>
      <c r="C19" s="17">
        <v>0.86</v>
      </c>
      <c r="D19" s="17">
        <v>13.6</v>
      </c>
      <c r="F19" s="44" t="s">
        <v>522</v>
      </c>
      <c r="O19" t="s">
        <v>146</v>
      </c>
    </row>
    <row r="20" spans="1:20" ht="15.6" thickBot="1" x14ac:dyDescent="0.35">
      <c r="A20" s="24" t="s">
        <v>87</v>
      </c>
      <c r="B20" s="17">
        <v>16</v>
      </c>
      <c r="C20" s="17">
        <v>1.06</v>
      </c>
      <c r="D20" s="17">
        <v>16.600000000000001</v>
      </c>
      <c r="F20" s="96" t="s">
        <v>211</v>
      </c>
    </row>
    <row r="21" spans="1:20" x14ac:dyDescent="0.3">
      <c r="A21" s="24" t="s">
        <v>88</v>
      </c>
      <c r="B21" s="17">
        <v>29.8</v>
      </c>
      <c r="C21" s="17">
        <v>2.0299999999999998</v>
      </c>
      <c r="D21" s="17">
        <v>23.5</v>
      </c>
      <c r="F21" s="46" t="s">
        <v>84</v>
      </c>
      <c r="G21" s="46" t="s">
        <v>212</v>
      </c>
      <c r="H21" s="46" t="s">
        <v>523</v>
      </c>
      <c r="O21" s="41" t="s">
        <v>147</v>
      </c>
      <c r="P21" s="41"/>
    </row>
    <row r="22" spans="1:20" ht="15" x14ac:dyDescent="0.3">
      <c r="A22" s="24" t="s">
        <v>89</v>
      </c>
      <c r="B22" s="17">
        <v>8</v>
      </c>
      <c r="C22" s="17">
        <v>0.67</v>
      </c>
      <c r="D22" s="17">
        <v>10.199999999999999</v>
      </c>
      <c r="F22" s="96" t="s">
        <v>163</v>
      </c>
      <c r="O22" s="38" t="s">
        <v>148</v>
      </c>
      <c r="P22" s="38">
        <v>0.97660763446947507</v>
      </c>
    </row>
    <row r="23" spans="1:20" ht="15" thickBot="1" x14ac:dyDescent="0.35">
      <c r="A23" s="24" t="s">
        <v>90</v>
      </c>
      <c r="B23" s="17">
        <v>4.0999999999999996</v>
      </c>
      <c r="C23" s="17">
        <v>0.4</v>
      </c>
      <c r="D23" s="17">
        <v>5.4</v>
      </c>
      <c r="F23" s="97" t="s">
        <v>214</v>
      </c>
      <c r="G23" s="98" t="s">
        <v>215</v>
      </c>
      <c r="H23" s="98" t="s">
        <v>216</v>
      </c>
      <c r="I23" s="98" t="s">
        <v>217</v>
      </c>
      <c r="J23" s="98" t="s">
        <v>218</v>
      </c>
      <c r="K23" s="98" t="s">
        <v>219</v>
      </c>
      <c r="O23" s="38" t="s">
        <v>149</v>
      </c>
      <c r="P23" s="38">
        <v>0.95376247170406381</v>
      </c>
    </row>
    <row r="24" spans="1:20" x14ac:dyDescent="0.3">
      <c r="A24" s="24" t="s">
        <v>91</v>
      </c>
      <c r="B24" s="17">
        <v>15</v>
      </c>
      <c r="C24" s="17">
        <v>1.04</v>
      </c>
      <c r="D24" s="17">
        <v>15</v>
      </c>
      <c r="F24" s="46" t="s">
        <v>220</v>
      </c>
      <c r="G24" s="49">
        <v>0.13089999999999999</v>
      </c>
      <c r="H24" s="49">
        <v>3.7600000000000001E-2</v>
      </c>
      <c r="I24" s="49">
        <v>3.48</v>
      </c>
      <c r="J24" s="49">
        <v>2E-3</v>
      </c>
      <c r="K24" s="50"/>
      <c r="O24" s="38" t="s">
        <v>150</v>
      </c>
      <c r="P24" s="38">
        <v>0.9517521443868493</v>
      </c>
    </row>
    <row r="25" spans="1:20" x14ac:dyDescent="0.3">
      <c r="A25" s="24" t="s">
        <v>92</v>
      </c>
      <c r="B25" s="17">
        <v>8.8000000000000007</v>
      </c>
      <c r="C25" s="17">
        <v>0.76</v>
      </c>
      <c r="D25" s="17">
        <v>9</v>
      </c>
      <c r="F25" s="46" t="s">
        <v>83</v>
      </c>
      <c r="G25" s="49">
        <v>6.1030000000000001E-2</v>
      </c>
      <c r="H25" s="49">
        <v>2.8E-3</v>
      </c>
      <c r="I25" s="49">
        <v>21.78</v>
      </c>
      <c r="J25" s="49">
        <v>0</v>
      </c>
      <c r="K25" s="49">
        <v>1</v>
      </c>
      <c r="O25" s="38" t="s">
        <v>151</v>
      </c>
      <c r="P25" s="38">
        <v>7.7770319008708483E-2</v>
      </c>
    </row>
    <row r="26" spans="1:20" ht="15.6" thickBot="1" x14ac:dyDescent="0.35">
      <c r="A26" s="24" t="s">
        <v>93</v>
      </c>
      <c r="B26" s="17">
        <v>12.4</v>
      </c>
      <c r="C26" s="17">
        <v>0.95</v>
      </c>
      <c r="D26" s="17">
        <v>12.3</v>
      </c>
      <c r="F26" s="96" t="s">
        <v>221</v>
      </c>
      <c r="O26" s="39" t="s">
        <v>152</v>
      </c>
      <c r="P26" s="39">
        <v>25</v>
      </c>
    </row>
    <row r="27" spans="1:20" ht="15" thickBot="1" x14ac:dyDescent="0.35">
      <c r="A27" s="24" t="s">
        <v>94</v>
      </c>
      <c r="B27" s="17">
        <v>16.600000000000001</v>
      </c>
      <c r="C27" s="17">
        <v>1.1200000000000001</v>
      </c>
      <c r="D27" s="17">
        <v>16.3</v>
      </c>
      <c r="F27" s="98" t="s">
        <v>222</v>
      </c>
      <c r="G27" s="98" t="s">
        <v>223</v>
      </c>
      <c r="H27" s="98" t="s">
        <v>224</v>
      </c>
      <c r="I27" s="98" t="s">
        <v>225</v>
      </c>
    </row>
    <row r="28" spans="1:20" ht="15" thickBot="1" x14ac:dyDescent="0.35">
      <c r="A28" s="24" t="s">
        <v>95</v>
      </c>
      <c r="B28" s="17">
        <v>14.9</v>
      </c>
      <c r="C28" s="17">
        <v>1.02</v>
      </c>
      <c r="D28" s="17">
        <v>15.4</v>
      </c>
      <c r="F28" s="49">
        <v>7.7770300000000001E-2</v>
      </c>
      <c r="G28" s="51">
        <v>0.95379999999999998</v>
      </c>
      <c r="H28" s="51">
        <v>0.95179999999999998</v>
      </c>
      <c r="I28" s="51">
        <v>0.94359999999999999</v>
      </c>
      <c r="O28" t="s">
        <v>153</v>
      </c>
    </row>
    <row r="29" spans="1:20" ht="15" x14ac:dyDescent="0.3">
      <c r="A29" s="24" t="s">
        <v>96</v>
      </c>
      <c r="B29" s="17">
        <v>13.7</v>
      </c>
      <c r="C29" s="17">
        <v>1.01</v>
      </c>
      <c r="D29" s="17">
        <v>13</v>
      </c>
      <c r="F29" s="96" t="s">
        <v>226</v>
      </c>
      <c r="O29" s="40"/>
      <c r="P29" s="40" t="s">
        <v>158</v>
      </c>
      <c r="Q29" s="40" t="s">
        <v>159</v>
      </c>
      <c r="R29" s="40" t="s">
        <v>160</v>
      </c>
      <c r="S29" s="40" t="s">
        <v>161</v>
      </c>
      <c r="T29" s="40" t="s">
        <v>162</v>
      </c>
    </row>
    <row r="30" spans="1:20" ht="15" thickBot="1" x14ac:dyDescent="0.35">
      <c r="A30" s="24" t="s">
        <v>97</v>
      </c>
      <c r="B30" s="17">
        <v>15.1</v>
      </c>
      <c r="C30" s="17">
        <v>0.9</v>
      </c>
      <c r="D30" s="17">
        <v>14.4</v>
      </c>
      <c r="F30" s="97" t="s">
        <v>227</v>
      </c>
      <c r="G30" s="98" t="s">
        <v>228</v>
      </c>
      <c r="H30" s="98" t="s">
        <v>229</v>
      </c>
      <c r="I30" s="98" t="s">
        <v>230</v>
      </c>
      <c r="J30" s="98" t="s">
        <v>231</v>
      </c>
      <c r="K30" s="98" t="s">
        <v>218</v>
      </c>
      <c r="O30" s="38" t="s">
        <v>154</v>
      </c>
      <c r="P30" s="38">
        <v>1</v>
      </c>
      <c r="Q30" s="38">
        <v>2.8694668820695255</v>
      </c>
      <c r="R30" s="38">
        <v>2.8694668820695255</v>
      </c>
      <c r="S30" s="38">
        <v>474.43143389482321</v>
      </c>
      <c r="T30" s="38">
        <v>7.4685528479295222E-17</v>
      </c>
    </row>
    <row r="31" spans="1:20" x14ac:dyDescent="0.3">
      <c r="A31" s="24" t="s">
        <v>98</v>
      </c>
      <c r="B31" s="17">
        <v>7.8</v>
      </c>
      <c r="C31" s="17">
        <v>0.56999999999999995</v>
      </c>
      <c r="D31" s="17">
        <v>10</v>
      </c>
      <c r="F31" s="46" t="s">
        <v>154</v>
      </c>
      <c r="G31" s="49">
        <v>1</v>
      </c>
      <c r="H31" s="49">
        <v>2.8694999999999999</v>
      </c>
      <c r="I31" s="49">
        <v>2.8694700000000002</v>
      </c>
      <c r="J31" s="49">
        <v>474.43</v>
      </c>
      <c r="K31" s="49">
        <v>0</v>
      </c>
      <c r="O31" s="38" t="s">
        <v>155</v>
      </c>
      <c r="P31" s="38">
        <v>23</v>
      </c>
      <c r="Q31" s="38">
        <v>0.13910911793047451</v>
      </c>
      <c r="R31" s="38">
        <v>6.0482225187162833E-3</v>
      </c>
      <c r="S31" s="38"/>
      <c r="T31" s="38"/>
    </row>
    <row r="32" spans="1:20" ht="15" thickBot="1" x14ac:dyDescent="0.35">
      <c r="A32" s="24" t="s">
        <v>99</v>
      </c>
      <c r="B32" s="17">
        <v>11.4</v>
      </c>
      <c r="C32" s="17">
        <v>0.78</v>
      </c>
      <c r="D32" s="17">
        <v>10.199999999999999</v>
      </c>
      <c r="F32" s="106" t="s">
        <v>524</v>
      </c>
      <c r="G32" s="107">
        <v>1</v>
      </c>
      <c r="H32" s="107">
        <v>2.8694999999999999</v>
      </c>
      <c r="I32" s="107">
        <v>2.8694700000000002</v>
      </c>
      <c r="J32" s="107">
        <v>474.43</v>
      </c>
      <c r="K32" s="107">
        <v>0</v>
      </c>
      <c r="O32" s="39" t="s">
        <v>156</v>
      </c>
      <c r="P32" s="39">
        <v>24</v>
      </c>
      <c r="Q32" s="39">
        <v>3.0085760000000001</v>
      </c>
      <c r="R32" s="39"/>
      <c r="S32" s="39"/>
      <c r="T32" s="39"/>
    </row>
    <row r="33" spans="1:23" ht="15" thickBot="1" x14ac:dyDescent="0.35">
      <c r="A33" s="24" t="s">
        <v>100</v>
      </c>
      <c r="B33" s="17">
        <v>9</v>
      </c>
      <c r="C33" s="17">
        <v>0.74</v>
      </c>
      <c r="D33" s="17">
        <v>9.5</v>
      </c>
      <c r="F33" s="46" t="s">
        <v>234</v>
      </c>
      <c r="G33" s="49">
        <v>23</v>
      </c>
      <c r="H33" s="49">
        <v>0.1391</v>
      </c>
      <c r="I33" s="49">
        <v>6.0499999999999998E-3</v>
      </c>
      <c r="J33" s="50"/>
      <c r="K33" s="50"/>
    </row>
    <row r="34" spans="1:23" x14ac:dyDescent="0.3">
      <c r="A34" s="24" t="s">
        <v>101</v>
      </c>
      <c r="B34" s="17">
        <v>1</v>
      </c>
      <c r="C34" s="17">
        <v>0.13</v>
      </c>
      <c r="D34" s="17">
        <v>1.5</v>
      </c>
      <c r="F34" s="46" t="s">
        <v>156</v>
      </c>
      <c r="G34" s="49">
        <v>24</v>
      </c>
      <c r="H34" s="49">
        <v>3.0085999999999999</v>
      </c>
      <c r="I34" s="50"/>
      <c r="J34" s="50"/>
      <c r="K34" s="50"/>
      <c r="O34" s="40"/>
      <c r="P34" s="40" t="s">
        <v>163</v>
      </c>
      <c r="Q34" s="40" t="s">
        <v>151</v>
      </c>
      <c r="R34" s="40" t="s">
        <v>164</v>
      </c>
      <c r="S34" s="40" t="s">
        <v>165</v>
      </c>
      <c r="T34" s="40" t="s">
        <v>166</v>
      </c>
      <c r="U34" s="40" t="s">
        <v>167</v>
      </c>
      <c r="V34" s="40" t="s">
        <v>168</v>
      </c>
      <c r="W34" s="40" t="s">
        <v>169</v>
      </c>
    </row>
    <row r="35" spans="1:23" ht="15" x14ac:dyDescent="0.3">
      <c r="A35" s="24" t="s">
        <v>102</v>
      </c>
      <c r="B35" s="17">
        <v>17</v>
      </c>
      <c r="C35" s="17">
        <v>1.26</v>
      </c>
      <c r="D35" s="17">
        <v>18.5</v>
      </c>
      <c r="F35" s="96" t="s">
        <v>237</v>
      </c>
      <c r="O35" s="38" t="s">
        <v>157</v>
      </c>
      <c r="P35" s="38">
        <v>0.13087532007949843</v>
      </c>
      <c r="Q35" s="38">
        <v>3.7595894628895621E-2</v>
      </c>
      <c r="R35" s="38">
        <v>3.4811066838906841</v>
      </c>
      <c r="S35" s="38">
        <v>2.0188763562202366E-3</v>
      </c>
      <c r="T35" s="38">
        <v>5.3102286534920842E-2</v>
      </c>
      <c r="U35" s="38">
        <v>0.20864835362407602</v>
      </c>
      <c r="V35" s="38">
        <v>5.3102286534920842E-2</v>
      </c>
      <c r="W35" s="38">
        <v>0.20864835362407602</v>
      </c>
    </row>
    <row r="36" spans="1:23" ht="15" thickBot="1" x14ac:dyDescent="0.35">
      <c r="A36" s="24" t="s">
        <v>103</v>
      </c>
      <c r="B36" s="17">
        <v>12.8</v>
      </c>
      <c r="C36" s="17">
        <v>1.08</v>
      </c>
      <c r="D36" s="17">
        <v>12.6</v>
      </c>
      <c r="F36" s="98" t="s">
        <v>238</v>
      </c>
      <c r="G36" s="98" t="s">
        <v>84</v>
      </c>
      <c r="H36" s="98" t="s">
        <v>239</v>
      </c>
      <c r="I36" s="98" t="s">
        <v>240</v>
      </c>
      <c r="J36" s="98" t="s">
        <v>241</v>
      </c>
      <c r="K36" s="97"/>
      <c r="L36" s="97"/>
      <c r="O36" s="94" t="s">
        <v>83</v>
      </c>
      <c r="P36" s="94">
        <v>6.1028542888056786E-2</v>
      </c>
      <c r="Q36" s="94">
        <v>2.8018589792091933E-3</v>
      </c>
      <c r="R36" s="94">
        <v>21.781447011041827</v>
      </c>
      <c r="S36" s="94">
        <v>7.4685528479295222E-17</v>
      </c>
      <c r="T36" s="39">
        <v>5.5232455987394742E-2</v>
      </c>
      <c r="U36" s="39">
        <v>6.6824629788718837E-2</v>
      </c>
      <c r="V36" s="39">
        <v>5.5232455987394742E-2</v>
      </c>
      <c r="W36" s="39">
        <v>6.6824629788718837E-2</v>
      </c>
    </row>
    <row r="37" spans="1:23" x14ac:dyDescent="0.3">
      <c r="A37" s="24" t="s">
        <v>26</v>
      </c>
      <c r="B37" s="17">
        <v>15.8</v>
      </c>
      <c r="C37" s="17">
        <v>0.96</v>
      </c>
      <c r="D37" s="17">
        <v>17.5</v>
      </c>
      <c r="F37" s="49">
        <v>3</v>
      </c>
      <c r="G37" s="49">
        <v>2.0299999999999998</v>
      </c>
      <c r="H37" s="49">
        <v>1.9495</v>
      </c>
      <c r="I37" s="49">
        <v>8.0500000000000002E-2</v>
      </c>
      <c r="J37" s="49">
        <v>1.38</v>
      </c>
      <c r="K37" s="50"/>
      <c r="L37" s="46" t="s">
        <v>390</v>
      </c>
    </row>
    <row r="38" spans="1:23" x14ac:dyDescent="0.3">
      <c r="A38" s="24" t="s">
        <v>104</v>
      </c>
      <c r="B38" s="17">
        <v>4.5</v>
      </c>
      <c r="C38" s="17">
        <v>0.42</v>
      </c>
      <c r="D38" s="17">
        <v>4.9000000000000004</v>
      </c>
      <c r="F38" s="49">
        <v>12</v>
      </c>
      <c r="G38" s="49">
        <v>0.9</v>
      </c>
      <c r="H38" s="49">
        <v>1.0524</v>
      </c>
      <c r="I38" s="49">
        <v>-0.15240000000000001</v>
      </c>
      <c r="J38" s="49">
        <v>-2.0099999999999998</v>
      </c>
      <c r="K38" s="46" t="s">
        <v>242</v>
      </c>
      <c r="L38" s="50"/>
    </row>
    <row r="39" spans="1:23" x14ac:dyDescent="0.3">
      <c r="A39" s="24" t="s">
        <v>105</v>
      </c>
      <c r="B39" s="17">
        <v>14.5</v>
      </c>
      <c r="C39" s="17">
        <v>1.01</v>
      </c>
      <c r="D39" s="17">
        <v>15.9</v>
      </c>
      <c r="F39" s="49">
        <v>18</v>
      </c>
      <c r="G39" s="49">
        <v>1.08</v>
      </c>
      <c r="H39" s="49">
        <v>0.91200000000000003</v>
      </c>
      <c r="I39" s="49">
        <v>0.16800000000000001</v>
      </c>
      <c r="J39" s="49">
        <v>2.2000000000000002</v>
      </c>
      <c r="K39" s="46" t="s">
        <v>242</v>
      </c>
      <c r="L39" s="50"/>
    </row>
    <row r="40" spans="1:23" x14ac:dyDescent="0.3">
      <c r="A40" s="24" t="s">
        <v>106</v>
      </c>
      <c r="B40" s="17">
        <v>7.3</v>
      </c>
      <c r="C40" s="17">
        <v>0.61</v>
      </c>
      <c r="D40" s="17">
        <v>8.5</v>
      </c>
      <c r="F40" t="s">
        <v>243</v>
      </c>
    </row>
    <row r="41" spans="1:23" x14ac:dyDescent="0.3">
      <c r="A41" s="24" t="s">
        <v>107</v>
      </c>
      <c r="B41" s="17">
        <v>8.6</v>
      </c>
      <c r="C41" s="17">
        <v>0.69</v>
      </c>
      <c r="D41" s="17">
        <v>10.6</v>
      </c>
      <c r="F41" t="s">
        <v>391</v>
      </c>
    </row>
    <row r="42" spans="1:23" ht="15" x14ac:dyDescent="0.3">
      <c r="A42" s="24" t="s">
        <v>108</v>
      </c>
      <c r="B42" s="17">
        <v>15.2</v>
      </c>
      <c r="C42" s="17">
        <v>1.02</v>
      </c>
      <c r="D42" s="17">
        <v>13.9</v>
      </c>
      <c r="F42" s="96"/>
    </row>
    <row r="43" spans="1:23" x14ac:dyDescent="0.3">
      <c r="A43" s="24" t="s">
        <v>109</v>
      </c>
      <c r="B43" s="17">
        <v>12</v>
      </c>
      <c r="C43" s="17">
        <v>0.82</v>
      </c>
      <c r="D43" s="17">
        <v>14.9</v>
      </c>
      <c r="F43" s="26"/>
    </row>
    <row r="44" spans="1:23" x14ac:dyDescent="0.3">
      <c r="F44" s="26"/>
    </row>
    <row r="45" spans="1:23" x14ac:dyDescent="0.3">
      <c r="F45" s="26"/>
    </row>
    <row r="46" spans="1:23" x14ac:dyDescent="0.3">
      <c r="F46" s="26"/>
    </row>
    <row r="47" spans="1:23" x14ac:dyDescent="0.3">
      <c r="F47" s="26"/>
    </row>
    <row r="48" spans="1:23" x14ac:dyDescent="0.3">
      <c r="F48" s="26"/>
    </row>
    <row r="49" spans="5:15" x14ac:dyDescent="0.3">
      <c r="F49" s="26"/>
    </row>
    <row r="50" spans="5:15" x14ac:dyDescent="0.3">
      <c r="F50" s="26"/>
    </row>
    <row r="51" spans="5:15" x14ac:dyDescent="0.3">
      <c r="F51" s="26"/>
    </row>
    <row r="52" spans="5:15" x14ac:dyDescent="0.3">
      <c r="F52" s="26"/>
    </row>
    <row r="53" spans="5:15" x14ac:dyDescent="0.3">
      <c r="F53" s="26"/>
    </row>
    <row r="54" spans="5:15" x14ac:dyDescent="0.3">
      <c r="F54" s="26"/>
    </row>
    <row r="55" spans="5:15" x14ac:dyDescent="0.3">
      <c r="F55" s="26"/>
    </row>
    <row r="56" spans="5:15" x14ac:dyDescent="0.3">
      <c r="F56" s="26"/>
    </row>
    <row r="57" spans="5:15" x14ac:dyDescent="0.3">
      <c r="F57" s="26"/>
    </row>
    <row r="58" spans="5:15" x14ac:dyDescent="0.3">
      <c r="E58" s="74"/>
      <c r="F58" s="74" t="s">
        <v>176</v>
      </c>
      <c r="G58" s="74" t="s">
        <v>177</v>
      </c>
      <c r="H58" s="74" t="s">
        <v>178</v>
      </c>
      <c r="I58" s="74" t="s">
        <v>533</v>
      </c>
      <c r="J58" s="74"/>
      <c r="K58" s="74"/>
      <c r="L58" s="74"/>
      <c r="M58" s="74"/>
      <c r="N58" s="74"/>
      <c r="O58" s="74"/>
    </row>
    <row r="59" spans="5:15" x14ac:dyDescent="0.3">
      <c r="E59" s="74"/>
      <c r="F59" s="74" t="s">
        <v>179</v>
      </c>
      <c r="G59" s="74" t="s">
        <v>180</v>
      </c>
      <c r="H59" s="74" t="s">
        <v>181</v>
      </c>
      <c r="I59" s="74" t="s">
        <v>534</v>
      </c>
      <c r="J59" s="74"/>
      <c r="K59" s="74"/>
      <c r="L59" s="74"/>
      <c r="M59" s="74"/>
      <c r="N59" s="74"/>
      <c r="O59" s="74"/>
    </row>
    <row r="60" spans="5:15" x14ac:dyDescent="0.3">
      <c r="E60" s="74"/>
      <c r="F60" s="74" t="s">
        <v>182</v>
      </c>
      <c r="G60" s="74"/>
      <c r="H60" s="74"/>
      <c r="I60" s="74"/>
      <c r="J60" s="74"/>
      <c r="K60" s="74"/>
      <c r="L60" s="74"/>
      <c r="M60" s="74" t="s">
        <v>183</v>
      </c>
      <c r="N60" s="74"/>
      <c r="O60" s="74"/>
    </row>
    <row r="61" spans="5:15" x14ac:dyDescent="0.3">
      <c r="E61" s="74"/>
      <c r="F61" s="74"/>
      <c r="G61" s="74"/>
      <c r="H61" s="74"/>
      <c r="I61" s="74"/>
      <c r="J61" s="74"/>
      <c r="K61" s="74"/>
      <c r="L61" s="74"/>
      <c r="M61" s="74" t="s">
        <v>184</v>
      </c>
      <c r="N61" s="74"/>
      <c r="O61" s="74"/>
    </row>
    <row r="62" spans="5:15" x14ac:dyDescent="0.3">
      <c r="E62" s="103" t="s">
        <v>185</v>
      </c>
      <c r="F62" s="103">
        <f>P36/Q36</f>
        <v>21.781447011041827</v>
      </c>
      <c r="G62" s="74"/>
      <c r="H62" s="74"/>
      <c r="I62" s="74"/>
      <c r="J62" s="74"/>
      <c r="K62" s="74"/>
      <c r="L62" s="74"/>
      <c r="M62" s="74" t="s">
        <v>186</v>
      </c>
      <c r="N62" s="74"/>
      <c r="O62" s="74"/>
    </row>
    <row r="63" spans="5:15" x14ac:dyDescent="0.3">
      <c r="E63" s="103" t="s">
        <v>187</v>
      </c>
      <c r="F63" s="103">
        <f>_xlfn.T.DIST.2T(F62,23)</f>
        <v>7.4685528479295222E-17</v>
      </c>
      <c r="G63" s="74"/>
      <c r="H63" s="74"/>
      <c r="I63" s="74"/>
      <c r="J63" s="74"/>
      <c r="K63" s="74"/>
      <c r="L63" s="74"/>
      <c r="M63" s="74" t="s">
        <v>188</v>
      </c>
      <c r="N63" s="74"/>
      <c r="O63" s="74"/>
    </row>
    <row r="64" spans="5:15" x14ac:dyDescent="0.3">
      <c r="E64" s="74"/>
      <c r="F64" s="43" t="s">
        <v>193</v>
      </c>
      <c r="G64" s="43"/>
      <c r="H64" s="43"/>
      <c r="I64" s="43"/>
      <c r="J64" s="43"/>
      <c r="K64" s="43"/>
      <c r="L64" s="74"/>
      <c r="M64" s="74" t="s">
        <v>190</v>
      </c>
      <c r="N64" s="74"/>
      <c r="O64" s="74"/>
    </row>
    <row r="65" spans="4:20" x14ac:dyDescent="0.3">
      <c r="E65" s="74"/>
      <c r="F65" s="43" t="s">
        <v>526</v>
      </c>
      <c r="G65" s="43"/>
      <c r="H65" s="43"/>
      <c r="I65" s="43"/>
      <c r="J65" s="43"/>
      <c r="K65" s="43"/>
      <c r="L65" s="74"/>
      <c r="M65" s="74"/>
      <c r="N65" s="74"/>
      <c r="O65" s="74"/>
    </row>
    <row r="67" spans="4:20" x14ac:dyDescent="0.3">
      <c r="D67" t="s">
        <v>196</v>
      </c>
      <c r="F67" s="103" t="s">
        <v>530</v>
      </c>
      <c r="G67" s="43"/>
      <c r="H67" s="43"/>
      <c r="I67" s="43"/>
      <c r="J67" s="43"/>
      <c r="K67" s="43"/>
      <c r="L67" s="43"/>
      <c r="O67" t="s">
        <v>537</v>
      </c>
    </row>
    <row r="68" spans="4:20" ht="18" x14ac:dyDescent="0.3">
      <c r="F68" s="44" t="s">
        <v>527</v>
      </c>
      <c r="O68" t="s">
        <v>146</v>
      </c>
    </row>
    <row r="69" spans="4:20" ht="15.6" thickBot="1" x14ac:dyDescent="0.35">
      <c r="F69" s="96" t="s">
        <v>211</v>
      </c>
    </row>
    <row r="70" spans="4:20" x14ac:dyDescent="0.3">
      <c r="F70" s="46" t="s">
        <v>84</v>
      </c>
      <c r="G70" s="46" t="s">
        <v>212</v>
      </c>
      <c r="H70" s="46" t="s">
        <v>528</v>
      </c>
      <c r="O70" s="41" t="s">
        <v>147</v>
      </c>
      <c r="P70" s="41"/>
    </row>
    <row r="71" spans="4:20" ht="15" x14ac:dyDescent="0.3">
      <c r="F71" s="96" t="s">
        <v>163</v>
      </c>
      <c r="O71" s="38" t="s">
        <v>148</v>
      </c>
      <c r="P71" s="38">
        <v>0.92594730515963053</v>
      </c>
    </row>
    <row r="72" spans="4:20" ht="15" thickBot="1" x14ac:dyDescent="0.35">
      <c r="F72" s="97" t="s">
        <v>214</v>
      </c>
      <c r="G72" s="98" t="s">
        <v>215</v>
      </c>
      <c r="H72" s="98" t="s">
        <v>216</v>
      </c>
      <c r="I72" s="98" t="s">
        <v>217</v>
      </c>
      <c r="J72" s="98" t="s">
        <v>218</v>
      </c>
      <c r="K72" s="98" t="s">
        <v>219</v>
      </c>
      <c r="O72" s="38" t="s">
        <v>149</v>
      </c>
      <c r="P72" s="38">
        <v>0.85737841193238185</v>
      </c>
    </row>
    <row r="73" spans="4:20" x14ac:dyDescent="0.3">
      <c r="F73" s="46" t="s">
        <v>220</v>
      </c>
      <c r="G73" s="49">
        <v>9.9000000000000008E-3</v>
      </c>
      <c r="H73" s="49">
        <v>7.8600000000000003E-2</v>
      </c>
      <c r="I73" s="49">
        <v>0.13</v>
      </c>
      <c r="J73" s="49">
        <v>0.90100000000000002</v>
      </c>
      <c r="K73" s="50"/>
      <c r="O73" s="38" t="s">
        <v>150</v>
      </c>
      <c r="P73" s="38">
        <v>0.85117747332074634</v>
      </c>
    </row>
    <row r="74" spans="4:20" x14ac:dyDescent="0.3">
      <c r="F74" s="46" t="s">
        <v>85</v>
      </c>
      <c r="G74" s="49">
        <v>6.9169999999999995E-2</v>
      </c>
      <c r="H74" s="49">
        <v>5.8799999999999998E-3</v>
      </c>
      <c r="I74" s="49">
        <v>11.76</v>
      </c>
      <c r="J74" s="49">
        <v>0</v>
      </c>
      <c r="K74" s="49">
        <v>1</v>
      </c>
      <c r="O74" s="38" t="s">
        <v>151</v>
      </c>
      <c r="P74" s="38">
        <v>0.1365869506374606</v>
      </c>
    </row>
    <row r="75" spans="4:20" ht="15.6" thickBot="1" x14ac:dyDescent="0.35">
      <c r="F75" s="96" t="s">
        <v>221</v>
      </c>
      <c r="O75" s="39" t="s">
        <v>152</v>
      </c>
      <c r="P75" s="39">
        <v>25</v>
      </c>
    </row>
    <row r="76" spans="4:20" ht="15" thickBot="1" x14ac:dyDescent="0.35">
      <c r="F76" s="98" t="s">
        <v>222</v>
      </c>
      <c r="G76" s="98" t="s">
        <v>223</v>
      </c>
      <c r="H76" s="98" t="s">
        <v>224</v>
      </c>
      <c r="I76" s="98" t="s">
        <v>225</v>
      </c>
    </row>
    <row r="77" spans="4:20" ht="15" thickBot="1" x14ac:dyDescent="0.35">
      <c r="F77" s="49">
        <v>0.13658699999999999</v>
      </c>
      <c r="G77" s="51">
        <v>0.85740000000000005</v>
      </c>
      <c r="H77" s="51">
        <v>0.85119999999999996</v>
      </c>
      <c r="I77" s="51">
        <v>0.8014</v>
      </c>
      <c r="O77" t="s">
        <v>153</v>
      </c>
    </row>
    <row r="78" spans="4:20" ht="15" x14ac:dyDescent="0.3">
      <c r="F78" s="96" t="s">
        <v>226</v>
      </c>
      <c r="O78" s="40"/>
      <c r="P78" s="40" t="s">
        <v>158</v>
      </c>
      <c r="Q78" s="40" t="s">
        <v>159</v>
      </c>
      <c r="R78" s="40" t="s">
        <v>160</v>
      </c>
      <c r="S78" s="40" t="s">
        <v>161</v>
      </c>
      <c r="T78" s="40" t="s">
        <v>162</v>
      </c>
    </row>
    <row r="79" spans="4:20" ht="15" thickBot="1" x14ac:dyDescent="0.35">
      <c r="F79" s="97" t="s">
        <v>227</v>
      </c>
      <c r="G79" s="98" t="s">
        <v>228</v>
      </c>
      <c r="H79" s="98" t="s">
        <v>229</v>
      </c>
      <c r="I79" s="98" t="s">
        <v>230</v>
      </c>
      <c r="J79" s="98" t="s">
        <v>231</v>
      </c>
      <c r="K79" s="98" t="s">
        <v>218</v>
      </c>
      <c r="O79" s="38" t="s">
        <v>154</v>
      </c>
      <c r="P79" s="38">
        <v>1</v>
      </c>
      <c r="Q79" s="38">
        <v>2.5794881130578777</v>
      </c>
      <c r="R79" s="38">
        <v>2.5794881130578777</v>
      </c>
      <c r="S79" s="38">
        <v>138.26590870026985</v>
      </c>
      <c r="T79" s="38">
        <v>3.311724780417359E-11</v>
      </c>
    </row>
    <row r="80" spans="4:20" x14ac:dyDescent="0.3">
      <c r="F80" s="46" t="s">
        <v>154</v>
      </c>
      <c r="G80" s="49">
        <v>1</v>
      </c>
      <c r="H80" s="49">
        <v>2.5794899999999998</v>
      </c>
      <c r="I80" s="49">
        <v>2.5794899999999998</v>
      </c>
      <c r="J80" s="49">
        <v>138.27000000000001</v>
      </c>
      <c r="K80" s="49">
        <v>0</v>
      </c>
      <c r="O80" s="38" t="s">
        <v>155</v>
      </c>
      <c r="P80" s="38">
        <v>23</v>
      </c>
      <c r="Q80" s="38">
        <v>0.4290878869421223</v>
      </c>
      <c r="R80" s="38">
        <v>1.8655995084440099E-2</v>
      </c>
      <c r="S80" s="38"/>
      <c r="T80" s="38"/>
    </row>
    <row r="81" spans="6:23" ht="15" thickBot="1" x14ac:dyDescent="0.35">
      <c r="F81" s="85" t="s">
        <v>529</v>
      </c>
      <c r="G81" s="86">
        <v>1</v>
      </c>
      <c r="H81" s="86">
        <v>2.5794899999999998</v>
      </c>
      <c r="I81" s="86">
        <v>2.5794899999999998</v>
      </c>
      <c r="J81" s="86">
        <v>138.27000000000001</v>
      </c>
      <c r="K81" s="86">
        <v>0</v>
      </c>
      <c r="O81" s="39" t="s">
        <v>156</v>
      </c>
      <c r="P81" s="39">
        <v>24</v>
      </c>
      <c r="Q81" s="39">
        <v>3.0085760000000001</v>
      </c>
      <c r="R81" s="39"/>
      <c r="S81" s="39"/>
      <c r="T81" s="39"/>
    </row>
    <row r="82" spans="6:23" ht="15" thickBot="1" x14ac:dyDescent="0.35">
      <c r="F82" s="46" t="s">
        <v>234</v>
      </c>
      <c r="G82" s="49">
        <v>23</v>
      </c>
      <c r="H82" s="49">
        <v>0.42909000000000003</v>
      </c>
      <c r="I82" s="49">
        <v>1.866E-2</v>
      </c>
      <c r="J82" s="50"/>
      <c r="K82" s="50"/>
    </row>
    <row r="83" spans="6:23" x14ac:dyDescent="0.3">
      <c r="F83" s="46" t="s">
        <v>235</v>
      </c>
      <c r="G83" s="49">
        <v>22</v>
      </c>
      <c r="H83" s="49">
        <v>0.42304000000000003</v>
      </c>
      <c r="I83" s="49">
        <v>1.9230000000000001E-2</v>
      </c>
      <c r="J83" s="49">
        <v>3.18</v>
      </c>
      <c r="K83" s="49">
        <v>0.41899999999999998</v>
      </c>
      <c r="O83" s="40"/>
      <c r="P83" s="40" t="s">
        <v>163</v>
      </c>
      <c r="Q83" s="40" t="s">
        <v>151</v>
      </c>
      <c r="R83" s="40" t="s">
        <v>164</v>
      </c>
      <c r="S83" s="40" t="s">
        <v>165</v>
      </c>
      <c r="T83" s="40" t="s">
        <v>166</v>
      </c>
      <c r="U83" s="40" t="s">
        <v>167</v>
      </c>
      <c r="V83" s="40" t="s">
        <v>168</v>
      </c>
      <c r="W83" s="40" t="s">
        <v>169</v>
      </c>
    </row>
    <row r="84" spans="6:23" x14ac:dyDescent="0.3">
      <c r="F84" s="46" t="s">
        <v>236</v>
      </c>
      <c r="G84" s="49">
        <v>1</v>
      </c>
      <c r="H84" s="49">
        <v>6.0499999999999998E-3</v>
      </c>
      <c r="I84" s="49">
        <v>6.0499999999999998E-3</v>
      </c>
      <c r="J84" s="50"/>
      <c r="K84" s="50"/>
      <c r="O84" s="38" t="s">
        <v>157</v>
      </c>
      <c r="P84" s="38">
        <v>9.85016425843388E-3</v>
      </c>
      <c r="Q84" s="38">
        <v>7.8594795830388919E-2</v>
      </c>
      <c r="R84" s="38">
        <v>0.12532845405809023</v>
      </c>
      <c r="S84" s="38">
        <v>0.90135256087731519</v>
      </c>
      <c r="T84" s="38">
        <v>-0.1527355582754315</v>
      </c>
      <c r="U84" s="38">
        <v>0.17243588679229926</v>
      </c>
      <c r="V84" s="38">
        <v>-0.1527355582754315</v>
      </c>
      <c r="W84" s="38">
        <v>0.17243588679229926</v>
      </c>
    </row>
    <row r="85" spans="6:23" ht="15" thickBot="1" x14ac:dyDescent="0.35">
      <c r="F85" s="46" t="s">
        <v>156</v>
      </c>
      <c r="G85" s="49">
        <v>24</v>
      </c>
      <c r="H85" s="49">
        <v>3.0085799999999998</v>
      </c>
      <c r="I85" s="50"/>
      <c r="J85" s="50"/>
      <c r="K85" s="50"/>
      <c r="O85" s="94" t="s">
        <v>85</v>
      </c>
      <c r="P85" s="94">
        <v>6.9169048191376634E-2</v>
      </c>
      <c r="Q85" s="94">
        <v>5.8823958077030697E-3</v>
      </c>
      <c r="R85" s="94">
        <v>11.758652503593675</v>
      </c>
      <c r="S85" s="94">
        <v>3.3117247804173823E-11</v>
      </c>
      <c r="T85" s="39">
        <v>5.7000385336274571E-2</v>
      </c>
      <c r="U85" s="39">
        <v>8.1337711046478703E-2</v>
      </c>
      <c r="V85" s="39">
        <v>5.7000385336274571E-2</v>
      </c>
      <c r="W85" s="39">
        <v>8.1337711046478703E-2</v>
      </c>
    </row>
    <row r="86" spans="6:23" ht="15" x14ac:dyDescent="0.3">
      <c r="F86" s="96" t="s">
        <v>237</v>
      </c>
    </row>
    <row r="87" spans="6:23" ht="15" thickBot="1" x14ac:dyDescent="0.35">
      <c r="F87" s="98" t="s">
        <v>238</v>
      </c>
      <c r="G87" s="98" t="s">
        <v>84</v>
      </c>
      <c r="H87" s="98" t="s">
        <v>239</v>
      </c>
      <c r="I87" s="98" t="s">
        <v>240</v>
      </c>
      <c r="J87" s="98" t="s">
        <v>241</v>
      </c>
      <c r="K87" s="97"/>
      <c r="L87" s="97"/>
    </row>
    <row r="88" spans="6:23" x14ac:dyDescent="0.3">
      <c r="F88" s="49">
        <v>3</v>
      </c>
      <c r="G88" s="49">
        <v>2.0299999999999998</v>
      </c>
      <c r="H88" s="49">
        <v>1.6353</v>
      </c>
      <c r="I88" s="49">
        <v>0.3947</v>
      </c>
      <c r="J88" s="49">
        <v>3.37</v>
      </c>
      <c r="K88" s="46" t="s">
        <v>242</v>
      </c>
      <c r="L88" s="46" t="s">
        <v>390</v>
      </c>
    </row>
    <row r="89" spans="6:23" x14ac:dyDescent="0.3">
      <c r="F89" s="49">
        <v>16</v>
      </c>
      <c r="G89" s="49">
        <v>0.13</v>
      </c>
      <c r="H89" s="49">
        <v>0.11360000000000001</v>
      </c>
      <c r="I89" s="49">
        <v>1.6400000000000001E-2</v>
      </c>
      <c r="J89" s="49">
        <v>0.14000000000000001</v>
      </c>
      <c r="K89" s="50"/>
      <c r="L89" s="46" t="s">
        <v>390</v>
      </c>
    </row>
    <row r="90" spans="6:23" x14ac:dyDescent="0.3">
      <c r="F90" t="s">
        <v>243</v>
      </c>
    </row>
    <row r="91" spans="6:23" x14ac:dyDescent="0.3">
      <c r="F91" t="s">
        <v>391</v>
      </c>
    </row>
    <row r="92" spans="6:23" ht="15" x14ac:dyDescent="0.3">
      <c r="F92" s="96"/>
    </row>
    <row r="93" spans="6:23" x14ac:dyDescent="0.3">
      <c r="F93" s="26"/>
    </row>
    <row r="94" spans="6:23" x14ac:dyDescent="0.3">
      <c r="F94" s="26"/>
    </row>
    <row r="95" spans="6:23" x14ac:dyDescent="0.3">
      <c r="F95" s="26"/>
    </row>
    <row r="96" spans="6:23" x14ac:dyDescent="0.3">
      <c r="F96" s="26"/>
    </row>
    <row r="97" spans="6:14" x14ac:dyDescent="0.3">
      <c r="F97" s="26"/>
    </row>
    <row r="98" spans="6:14" x14ac:dyDescent="0.3">
      <c r="F98" s="26"/>
    </row>
    <row r="99" spans="6:14" x14ac:dyDescent="0.3">
      <c r="F99" s="26"/>
    </row>
    <row r="100" spans="6:14" x14ac:dyDescent="0.3">
      <c r="F100" s="26"/>
    </row>
    <row r="101" spans="6:14" x14ac:dyDescent="0.3">
      <c r="F101" s="26"/>
    </row>
    <row r="102" spans="6:14" x14ac:dyDescent="0.3">
      <c r="F102" s="26"/>
    </row>
    <row r="103" spans="6:14" x14ac:dyDescent="0.3">
      <c r="F103" s="26"/>
    </row>
    <row r="104" spans="6:14" x14ac:dyDescent="0.3">
      <c r="F104" s="26"/>
    </row>
    <row r="105" spans="6:14" x14ac:dyDescent="0.3">
      <c r="F105" s="26"/>
    </row>
    <row r="106" spans="6:14" x14ac:dyDescent="0.3">
      <c r="F106" s="26"/>
    </row>
    <row r="107" spans="6:14" x14ac:dyDescent="0.3">
      <c r="F107" s="26"/>
    </row>
    <row r="108" spans="6:14" x14ac:dyDescent="0.3">
      <c r="F108" s="26"/>
    </row>
    <row r="109" spans="6:14" x14ac:dyDescent="0.3">
      <c r="F109" s="26"/>
    </row>
    <row r="110" spans="6:14" x14ac:dyDescent="0.3">
      <c r="F110" s="74" t="s">
        <v>176</v>
      </c>
      <c r="G110" s="74" t="s">
        <v>177</v>
      </c>
      <c r="H110" s="74" t="s">
        <v>178</v>
      </c>
      <c r="I110" s="74" t="s">
        <v>535</v>
      </c>
      <c r="J110" s="74"/>
      <c r="K110" s="74"/>
      <c r="L110" s="74"/>
      <c r="M110" s="74"/>
      <c r="N110" s="74"/>
    </row>
    <row r="111" spans="6:14" x14ac:dyDescent="0.3">
      <c r="F111" s="74" t="s">
        <v>179</v>
      </c>
      <c r="G111" s="74" t="s">
        <v>180</v>
      </c>
      <c r="H111" s="74" t="s">
        <v>181</v>
      </c>
      <c r="I111" s="74" t="s">
        <v>536</v>
      </c>
      <c r="J111" s="74"/>
      <c r="K111" s="74"/>
      <c r="L111" s="74"/>
      <c r="M111" s="74"/>
      <c r="N111" s="74"/>
    </row>
    <row r="112" spans="6:14" x14ac:dyDescent="0.3">
      <c r="F112" s="74" t="s">
        <v>182</v>
      </c>
      <c r="G112" s="74"/>
      <c r="H112" s="74"/>
      <c r="I112" s="74"/>
      <c r="J112" s="74"/>
      <c r="K112" s="74"/>
      <c r="L112" s="74"/>
      <c r="M112" s="74" t="s">
        <v>183</v>
      </c>
      <c r="N112" s="74"/>
    </row>
    <row r="113" spans="5:14" x14ac:dyDescent="0.3">
      <c r="F113" s="74"/>
      <c r="G113" s="74"/>
      <c r="H113" s="74"/>
      <c r="I113" s="74"/>
      <c r="J113" s="74"/>
      <c r="K113" s="74"/>
      <c r="L113" s="74"/>
      <c r="M113" s="74" t="s">
        <v>184</v>
      </c>
      <c r="N113" s="74"/>
    </row>
    <row r="114" spans="5:14" x14ac:dyDescent="0.3">
      <c r="E114" s="103" t="s">
        <v>185</v>
      </c>
      <c r="F114" s="103">
        <f>P85/Q85</f>
        <v>11.758652503593675</v>
      </c>
      <c r="G114" s="74"/>
      <c r="H114" s="74"/>
      <c r="I114" s="74"/>
      <c r="J114" s="74"/>
      <c r="K114" s="74"/>
      <c r="L114" s="74"/>
      <c r="M114" s="74" t="s">
        <v>186</v>
      </c>
      <c r="N114" s="74"/>
    </row>
    <row r="115" spans="5:14" x14ac:dyDescent="0.3">
      <c r="E115" s="103" t="s">
        <v>187</v>
      </c>
      <c r="F115" s="103">
        <f>_xlfn.T.DIST.2T(F114,23)</f>
        <v>3.3117247804173823E-11</v>
      </c>
      <c r="G115" s="74"/>
      <c r="H115" s="74"/>
      <c r="I115" s="74"/>
      <c r="J115" s="74"/>
      <c r="K115" s="74"/>
      <c r="L115" s="74"/>
      <c r="M115" s="74" t="s">
        <v>188</v>
      </c>
      <c r="N115" s="74"/>
    </row>
    <row r="116" spans="5:14" x14ac:dyDescent="0.3">
      <c r="F116" s="43" t="s">
        <v>193</v>
      </c>
      <c r="G116" s="43"/>
      <c r="H116" s="43"/>
      <c r="I116" s="43"/>
      <c r="J116" s="43"/>
      <c r="K116" s="43"/>
      <c r="L116" s="74"/>
      <c r="M116" s="74" t="s">
        <v>190</v>
      </c>
      <c r="N116" s="74"/>
    </row>
    <row r="117" spans="5:14" x14ac:dyDescent="0.3">
      <c r="F117" s="43" t="s">
        <v>532</v>
      </c>
      <c r="G117" s="43"/>
      <c r="H117" s="43"/>
      <c r="I117" s="43"/>
      <c r="J117" s="43"/>
      <c r="K117" s="43"/>
      <c r="L117" s="74"/>
      <c r="M117" s="74"/>
      <c r="N117" s="7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Problem 1</vt:lpstr>
      <vt:lpstr>Problem 2 </vt:lpstr>
      <vt:lpstr>Problem 3 </vt:lpstr>
      <vt:lpstr>Problem 4 </vt:lpstr>
      <vt:lpstr>Problem 5</vt:lpstr>
      <vt:lpstr>Problem 6</vt:lpstr>
      <vt:lpstr>Problem 7 </vt:lpstr>
      <vt:lpstr>Problem 8 </vt:lpstr>
      <vt:lpstr>Problem 9</vt:lpstr>
      <vt:lpstr>Problem 10</vt:lpstr>
      <vt:lpstr>Problem 11</vt:lpstr>
      <vt:lpstr>Problem 12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Satyamurthy, Kailasam</dc:creator>
  <cp:lastModifiedBy>rudraksh mishra</cp:lastModifiedBy>
  <dcterms:created xsi:type="dcterms:W3CDTF">2021-10-04T20:08:52Z</dcterms:created>
  <dcterms:modified xsi:type="dcterms:W3CDTF">2021-10-11T00:41:50Z</dcterms:modified>
</cp:coreProperties>
</file>