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\Music\"/>
    </mc:Choice>
  </mc:AlternateContent>
  <xr:revisionPtr revIDLastSave="0" documentId="13_ncr:1_{A55C70BC-A3A2-4006-812F-11A95F314A20}" xr6:coauthVersionLast="45" xr6:coauthVersionMax="45" xr10:uidLastSave="{00000000-0000-0000-0000-000000000000}"/>
  <bookViews>
    <workbookView xWindow="-108" yWindow="-108" windowWidth="23256" windowHeight="14016" tabRatio="820" firstSheet="10" activeTab="12" xr2:uid="{027F228D-C27C-4EC7-A771-9C7A9C935589}"/>
  </bookViews>
  <sheets>
    <sheet name="Problem 5-4" sheetId="1" r:id="rId1"/>
    <sheet name="Problem 5-6" sheetId="2" r:id="rId2"/>
    <sheet name="Problem 6-5" sheetId="3" r:id="rId3"/>
    <sheet name="Problem 6-13,14&amp;15" sheetId="4" r:id="rId4"/>
    <sheet name="Problem 6-21&amp;22" sheetId="5" r:id="rId5"/>
    <sheet name="Problem 6-28,29&amp;30" sheetId="6" r:id="rId6"/>
    <sheet name="Problem 6-36" sheetId="9" r:id="rId7"/>
    <sheet name="Problem6-47" sheetId="10" r:id="rId8"/>
    <sheet name="Problem 6-79" sheetId="7" r:id="rId9"/>
    <sheet name="Problem6-91" sheetId="11" r:id="rId10"/>
    <sheet name="Problem 7-10" sheetId="12" r:id="rId11"/>
    <sheet name="Problem 7-20" sheetId="13" r:id="rId12"/>
    <sheet name="Problem 7-40&amp;41" sheetId="14" r:id="rId13"/>
    <sheet name="Problem7-49&amp;50" sheetId="15" r:id="rId14"/>
    <sheet name="Problem 7-81" sheetId="16" r:id="rId15"/>
    <sheet name="Problem 7-81-A" sheetId="22" r:id="rId16"/>
    <sheet name="Problem 7-100&amp;101" sheetId="17" r:id="rId17"/>
    <sheet name="Problem7-118" sheetId="18" r:id="rId18"/>
    <sheet name="Problem 7-132" sheetId="8" r:id="rId19"/>
    <sheet name="Problem 8-38" sheetId="19" r:id="rId20"/>
    <sheet name="Problem8-52" sheetId="20" r:id="rId21"/>
    <sheet name="Problem 8-65" sheetId="21" r:id="rId22"/>
  </sheets>
  <definedNames>
    <definedName name="solver_adj" localSheetId="15" hidden="1">'Problem 7-81-A'!$G$16:$J$16</definedName>
    <definedName name="solver_cvg" localSheetId="15" hidden="1">0.0001</definedName>
    <definedName name="solver_drv" localSheetId="15" hidden="1">2</definedName>
    <definedName name="solver_eng" localSheetId="15" hidden="1">1</definedName>
    <definedName name="solver_est" localSheetId="15" hidden="1">1</definedName>
    <definedName name="solver_itr" localSheetId="15" hidden="1">2147483647</definedName>
    <definedName name="solver_lhs1" localSheetId="15" hidden="1">'Problem 7-81-A'!$G$16:$J$16</definedName>
    <definedName name="solver_lhs2" localSheetId="15" hidden="1">'Problem 7-81-A'!$H$19</definedName>
    <definedName name="solver_lhs3" localSheetId="15" hidden="1">'Problem 7-81-A'!$K$16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15" hidden="1">1</definedName>
    <definedName name="solver_nod" localSheetId="15" hidden="1">2147483647</definedName>
    <definedName name="solver_num" localSheetId="15" hidden="1">3</definedName>
    <definedName name="solver_nwt" localSheetId="15" hidden="1">1</definedName>
    <definedName name="solver_opt" localSheetId="15" hidden="1">'Problem 7-81-A'!$H$20</definedName>
    <definedName name="solver_pre" localSheetId="15" hidden="1">0.000001</definedName>
    <definedName name="solver_rbv" localSheetId="15" hidden="1">2</definedName>
    <definedName name="solver_rel1" localSheetId="15" hidden="1">1</definedName>
    <definedName name="solver_rel2" localSheetId="15" hidden="1">3</definedName>
    <definedName name="solver_rel3" localSheetId="15" hidden="1">2</definedName>
    <definedName name="solver_rhs1" localSheetId="15" hidden="1">1</definedName>
    <definedName name="solver_rhs2" localSheetId="15" hidden="1">0.01</definedName>
    <definedName name="solver_rhs3" localSheetId="15" hidden="1">1</definedName>
    <definedName name="solver_rlx" localSheetId="15" hidden="1">2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2147483647</definedName>
    <definedName name="solver_tol" localSheetId="15" hidden="1">0.01</definedName>
    <definedName name="solver_typ" localSheetId="15" hidden="1">2</definedName>
    <definedName name="solver_val" localSheetId="15" hidden="1">0</definedName>
    <definedName name="solver_ver" localSheetId="1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21" l="1"/>
  <c r="C18" i="21"/>
  <c r="C17" i="21"/>
  <c r="K3" i="19"/>
  <c r="B13" i="19"/>
  <c r="J14" i="22"/>
  <c r="I13" i="22"/>
  <c r="H12" i="22"/>
  <c r="C16" i="21"/>
  <c r="B18" i="20"/>
  <c r="B19" i="20"/>
  <c r="B14" i="19"/>
  <c r="K32" i="19"/>
  <c r="K33" i="19"/>
  <c r="K34" i="19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22"/>
  <c r="K24" i="22"/>
  <c r="K16" i="22"/>
  <c r="J13" i="22"/>
  <c r="J12" i="22"/>
  <c r="J11" i="22"/>
  <c r="I14" i="22"/>
  <c r="I12" i="22"/>
  <c r="I11" i="22"/>
  <c r="H14" i="22"/>
  <c r="H13" i="22"/>
  <c r="M33" i="22" l="1" a="1"/>
  <c r="M33" i="22" s="1"/>
  <c r="H36" i="22" s="1" a="1"/>
  <c r="H36" i="22" s="1"/>
  <c r="H37" i="22" s="1"/>
  <c r="M25" i="22" a="1"/>
  <c r="M25" i="22" s="1"/>
  <c r="H28" i="22" s="1" a="1"/>
  <c r="H28" i="22" s="1"/>
  <c r="H29" i="22" s="1"/>
  <c r="H11" i="22" l="1"/>
  <c r="G13" i="22"/>
  <c r="G14" i="22"/>
  <c r="G12" i="22"/>
  <c r="G11" i="22"/>
  <c r="M16" i="22" l="1" a="1"/>
  <c r="M16" i="22" s="1"/>
  <c r="H20" i="22" s="1" a="1"/>
  <c r="H20" i="22" s="1"/>
  <c r="H21" i="22" s="1"/>
  <c r="N10" i="14" l="1"/>
  <c r="N6" i="14"/>
  <c r="N7" i="14"/>
  <c r="N8" i="14"/>
  <c r="N9" i="14"/>
  <c r="N5" i="14"/>
  <c r="B40" i="8"/>
  <c r="C23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L12" i="6"/>
  <c r="L11" i="6"/>
  <c r="H8" i="22"/>
  <c r="I8" i="22"/>
  <c r="J8" i="22"/>
  <c r="G8" i="22"/>
  <c r="E12" i="17"/>
  <c r="L13" i="11"/>
  <c r="L9" i="11"/>
  <c r="L6" i="11"/>
  <c r="L5" i="11"/>
  <c r="L4" i="11"/>
  <c r="B13" i="8"/>
  <c r="M14" i="8"/>
  <c r="M15" i="8"/>
  <c r="M16" i="8"/>
  <c r="M17" i="8"/>
  <c r="M18" i="8"/>
  <c r="L14" i="8"/>
  <c r="L15" i="8"/>
  <c r="L16" i="8"/>
  <c r="L17" i="8"/>
  <c r="L18" i="8"/>
  <c r="M4" i="8"/>
  <c r="M5" i="8"/>
  <c r="M6" i="8"/>
  <c r="M7" i="8"/>
  <c r="M8" i="8"/>
  <c r="M9" i="8"/>
  <c r="M10" i="8"/>
  <c r="M11" i="8"/>
  <c r="M12" i="8"/>
  <c r="M13" i="8"/>
  <c r="M3" i="8"/>
  <c r="L4" i="8"/>
  <c r="L5" i="8"/>
  <c r="L6" i="8"/>
  <c r="L7" i="8"/>
  <c r="L8" i="8"/>
  <c r="L9" i="8"/>
  <c r="L10" i="8"/>
  <c r="L11" i="8"/>
  <c r="L12" i="8"/>
  <c r="L13" i="8"/>
  <c r="L3" i="8"/>
  <c r="B24" i="18"/>
  <c r="B23" i="18"/>
  <c r="B22" i="18"/>
  <c r="M5" i="18"/>
  <c r="M6" i="18"/>
  <c r="M7" i="18"/>
  <c r="M8" i="18"/>
  <c r="M9" i="18"/>
  <c r="M10" i="18"/>
  <c r="M11" i="18"/>
  <c r="M12" i="18"/>
  <c r="M13" i="18"/>
  <c r="M14" i="18"/>
  <c r="M4" i="18"/>
  <c r="L4" i="18"/>
  <c r="L5" i="18"/>
  <c r="L6" i="18"/>
  <c r="L7" i="18"/>
  <c r="L8" i="18"/>
  <c r="L9" i="18"/>
  <c r="L10" i="18"/>
  <c r="L11" i="18"/>
  <c r="L12" i="18"/>
  <c r="L13" i="18"/>
  <c r="L14" i="18"/>
  <c r="F13" i="17"/>
  <c r="F14" i="17"/>
  <c r="F15" i="17"/>
  <c r="F16" i="17"/>
  <c r="F17" i="17"/>
  <c r="F18" i="17"/>
  <c r="F19" i="17"/>
  <c r="F20" i="17"/>
  <c r="F21" i="17"/>
  <c r="F22" i="17"/>
  <c r="F12" i="17"/>
  <c r="E13" i="17"/>
  <c r="E14" i="17"/>
  <c r="E15" i="17"/>
  <c r="E16" i="17"/>
  <c r="E17" i="17"/>
  <c r="E18" i="17"/>
  <c r="E19" i="17"/>
  <c r="E20" i="17"/>
  <c r="E21" i="17"/>
  <c r="E22" i="17"/>
  <c r="B12" i="17"/>
  <c r="B11" i="17"/>
  <c r="B10" i="17"/>
  <c r="K31" i="15"/>
  <c r="K30" i="15"/>
  <c r="O26" i="15"/>
  <c r="O27" i="15"/>
  <c r="O28" i="15"/>
  <c r="O25" i="15"/>
  <c r="N26" i="15"/>
  <c r="N27" i="15"/>
  <c r="N28" i="15"/>
  <c r="N25" i="15"/>
  <c r="M26" i="15"/>
  <c r="M27" i="15"/>
  <c r="M28" i="15"/>
  <c r="M25" i="15"/>
  <c r="Q12" i="15"/>
  <c r="O22" i="15"/>
  <c r="N16" i="15"/>
  <c r="M16" i="15"/>
  <c r="M15" i="15"/>
  <c r="N15" i="15" s="1"/>
  <c r="L9" i="15"/>
  <c r="N12" i="13"/>
  <c r="O5" i="13"/>
  <c r="O6" i="13"/>
  <c r="O7" i="13"/>
  <c r="O4" i="13"/>
  <c r="L16" i="15"/>
  <c r="L15" i="15"/>
  <c r="L8" i="15"/>
  <c r="N4" i="15"/>
  <c r="N3" i="15"/>
  <c r="M5" i="15"/>
  <c r="L5" i="15"/>
  <c r="N5" i="13"/>
  <c r="N6" i="13"/>
  <c r="N7" i="13"/>
  <c r="N4" i="13"/>
  <c r="N11" i="13"/>
  <c r="M5" i="13"/>
  <c r="M6" i="13"/>
  <c r="M7" i="13"/>
  <c r="M4" i="13"/>
  <c r="M9" i="13"/>
  <c r="M11" i="12"/>
  <c r="M10" i="12"/>
  <c r="M9" i="12"/>
  <c r="M8" i="12"/>
  <c r="H35" i="22" l="1"/>
  <c r="H19" i="22"/>
  <c r="H27" i="22"/>
  <c r="Q10" i="15"/>
  <c r="O20" i="15"/>
  <c r="N5" i="15"/>
  <c r="C16" i="7"/>
  <c r="K8" i="10"/>
  <c r="K7" i="10"/>
  <c r="L4" i="10"/>
  <c r="M4" i="10"/>
  <c r="K4" i="10"/>
  <c r="M3" i="10"/>
  <c r="M2" i="10"/>
  <c r="L7" i="9"/>
  <c r="L8" i="9"/>
  <c r="N5" i="9"/>
  <c r="N4" i="9"/>
  <c r="M5" i="9"/>
  <c r="L5" i="9"/>
  <c r="N3" i="9"/>
  <c r="L10" i="6"/>
  <c r="L9" i="6"/>
  <c r="L8" i="6"/>
  <c r="L7" i="6"/>
  <c r="O3" i="6"/>
  <c r="O4" i="6"/>
  <c r="O2" i="6"/>
  <c r="M4" i="6"/>
  <c r="N4" i="6"/>
  <c r="L4" i="6"/>
  <c r="L8" i="5"/>
  <c r="L7" i="5"/>
  <c r="L6" i="5"/>
  <c r="O21" i="15" l="1"/>
  <c r="M9" i="15"/>
  <c r="N9" i="15" s="1"/>
  <c r="M8" i="15"/>
  <c r="N8" i="15" s="1"/>
  <c r="Q11" i="1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<sst xmlns="http://schemas.openxmlformats.org/spreadsheetml/2006/main" count="211" uniqueCount="144">
  <si>
    <t>CVX</t>
  </si>
  <si>
    <t>PG</t>
  </si>
  <si>
    <t>TRV</t>
  </si>
  <si>
    <t>DD</t>
  </si>
  <si>
    <t xml:space="preserve"> </t>
  </si>
  <si>
    <t>1) Telephone Interview :</t>
  </si>
  <si>
    <t>1) Self Administered Survey :</t>
  </si>
  <si>
    <t>advantage: telephone surveys allows wide geographic access as a small business owner can reach out to different states via phone calls</t>
  </si>
  <si>
    <t>Disadvantage: Since it is not face to face interview, many people tend to hang up the calls, so response rate is really low.</t>
  </si>
  <si>
    <t>advantage: This survey method is not expensive and the respondents can answer to the survey at their own convience as there is no need to schedule an interview.</t>
  </si>
  <si>
    <t>Disadvantage: This survery method also faces the problem of low response rate as the recivers tend to throw most of the promotional/survey mails they receive on a daily basis.</t>
  </si>
  <si>
    <t>1) Personal Interview :</t>
  </si>
  <si>
    <t>advantage: The response rate is high as not many people say no to surverys when asked in person, also the survey is answered without any misunderstanding as the interview is in-person</t>
  </si>
  <si>
    <t>Disadvantage: Personal interviews can get expensive as a person has to travel from one place to another to collect survery from an unbiased population</t>
  </si>
  <si>
    <t>a) The surveyor is standing in front of a particular shop instead of collecting surverys of people all over the mall. Hence the sampled</t>
  </si>
  <si>
    <t>population cannot represent the entire population</t>
  </si>
  <si>
    <t>b) The sampling process is not random, instead the librarian should select books randomly from different locations of different shelves</t>
  </si>
  <si>
    <t>As the sampled population is manually selected from a fixed location, it may represent target population innacurately.</t>
  </si>
  <si>
    <t>c) As the surveys were taken a particular time, it can be possible that most of the sampled population represented voters who were</t>
  </si>
  <si>
    <t>working from home or unemployed and hence they can not represent the entire population views.</t>
  </si>
  <si>
    <t>a) p(a)=3/6=1/2</t>
  </si>
  <si>
    <t>b) p(b) = 4/6= 2/3</t>
  </si>
  <si>
    <t>c) p© = 2/6=1/3</t>
  </si>
  <si>
    <t>a) p(s)=15/100</t>
  </si>
  <si>
    <t>p(m)=50/100</t>
  </si>
  <si>
    <t>p(d)=25/100</t>
  </si>
  <si>
    <t>p(w)=10/100</t>
  </si>
  <si>
    <t>b)</t>
  </si>
  <si>
    <t>b) 75/100</t>
  </si>
  <si>
    <t>c) 35/100</t>
  </si>
  <si>
    <t>a)</t>
  </si>
  <si>
    <t>A1</t>
  </si>
  <si>
    <t>A2</t>
  </si>
  <si>
    <t>B1</t>
  </si>
  <si>
    <t>B2</t>
  </si>
  <si>
    <t xml:space="preserve">c) Yes the answer summed to one but it was not a coincidence as </t>
  </si>
  <si>
    <t>the sum of two complements is always equal to one according to the</t>
  </si>
  <si>
    <t>law of probability</t>
  </si>
  <si>
    <t>A3</t>
  </si>
  <si>
    <t xml:space="preserve">a) </t>
  </si>
  <si>
    <t>b</t>
  </si>
  <si>
    <t>c</t>
  </si>
  <si>
    <t>Maths</t>
  </si>
  <si>
    <t>Others</t>
  </si>
  <si>
    <t xml:space="preserve">Manual </t>
  </si>
  <si>
    <t>Computer</t>
  </si>
  <si>
    <t>a) p(a1/b1)</t>
  </si>
  <si>
    <t>b) p(a2)</t>
  </si>
  <si>
    <t>c) Since p(a1/b1) is not equal to p(a1), educational background of instructor and way of course delivery is dependent</t>
  </si>
  <si>
    <t>fully repaid</t>
  </si>
  <si>
    <t>defaulted</t>
  </si>
  <si>
    <t>under 400</t>
  </si>
  <si>
    <t>400+</t>
  </si>
  <si>
    <t>a) 83% of the loans are fully repaid</t>
  </si>
  <si>
    <t>b) p(b1/a1)</t>
  </si>
  <si>
    <t>c) p(b1/a2)</t>
  </si>
  <si>
    <t>d) Since p(b1/a1) is not equal to p(b1), scores and the loan being full repaid are dependent</t>
  </si>
  <si>
    <t>p(n/d)=0.77</t>
  </si>
  <si>
    <t>p(d)=0.6</t>
  </si>
  <si>
    <t>There is a probability of 46.2%</t>
  </si>
  <si>
    <t>p(n intersect d)=p(n/d)*p(d)=</t>
  </si>
  <si>
    <t>x</t>
  </si>
  <si>
    <t>p(x)</t>
  </si>
  <si>
    <t>a) p(x&gt;0)</t>
  </si>
  <si>
    <t>b) p(x&gt;=1)</t>
  </si>
  <si>
    <t>c)p(x&gt;=2)</t>
  </si>
  <si>
    <t>d)p(2&lt;=X&lt;=5)</t>
  </si>
  <si>
    <t>A)P(X&gt;=2)</t>
  </si>
  <si>
    <t>x*P(x)</t>
  </si>
  <si>
    <t>(x-mean)^2</t>
  </si>
  <si>
    <t>mean</t>
  </si>
  <si>
    <t>variance</t>
  </si>
  <si>
    <t>p(y)</t>
  </si>
  <si>
    <t>y</t>
  </si>
  <si>
    <t>x*p(x)</t>
  </si>
  <si>
    <t>y*p(y)</t>
  </si>
  <si>
    <t>(y-mean)^2</t>
  </si>
  <si>
    <t>((x-mean)^2) *p(x)</t>
  </si>
  <si>
    <t>(x-mean)</t>
  </si>
  <si>
    <t>(y-mean)</t>
  </si>
  <si>
    <t>(x-mean)*(y-mean)*p(x,y)</t>
  </si>
  <si>
    <t>SD</t>
  </si>
  <si>
    <t>X</t>
  </si>
  <si>
    <t>Y</t>
  </si>
  <si>
    <t>((y-mean)^2) *p(y)</t>
  </si>
  <si>
    <t>p(x,y)</t>
  </si>
  <si>
    <t>covariance</t>
  </si>
  <si>
    <t>coefficient of correlation</t>
  </si>
  <si>
    <t>cvx</t>
  </si>
  <si>
    <t>dd</t>
  </si>
  <si>
    <t>pg</t>
  </si>
  <si>
    <t>trv</t>
  </si>
  <si>
    <t>b) p(x=5)=</t>
  </si>
  <si>
    <t>c) p(x=8)</t>
  </si>
  <si>
    <t>a)p(x=3)=</t>
  </si>
  <si>
    <t>p(X)</t>
  </si>
  <si>
    <t>p(X)cumulative</t>
  </si>
  <si>
    <t>n=10</t>
  </si>
  <si>
    <t>p(X)cumilative</t>
  </si>
  <si>
    <t>a) p(X&lt;=3)</t>
  </si>
  <si>
    <t>b)p(x=0)</t>
  </si>
  <si>
    <t>c) mean</t>
  </si>
  <si>
    <t>mean=2</t>
  </si>
  <si>
    <t>Prob'</t>
  </si>
  <si>
    <t>cumulative prob</t>
  </si>
  <si>
    <t>a) p(x=0)=</t>
  </si>
  <si>
    <t>p(a)=</t>
  </si>
  <si>
    <t>Lets assume the probability of being involved in acrash with one fatality is p(a)</t>
  </si>
  <si>
    <t>p(bac1/a)</t>
  </si>
  <si>
    <t>p(bac2/a)</t>
  </si>
  <si>
    <t>p(bac3/a)</t>
  </si>
  <si>
    <t>p(a/bac3)</t>
  </si>
  <si>
    <t>p(bac3)</t>
  </si>
  <si>
    <t>p(a&amp;bac3)</t>
  </si>
  <si>
    <t>d)</t>
  </si>
  <si>
    <t>p=0.29</t>
  </si>
  <si>
    <t>b) Since the probability is asked for the entire week the mean will change from 2 per day to 14 per week</t>
  </si>
  <si>
    <t>ANS</t>
  </si>
  <si>
    <t>Proportion Wt</t>
  </si>
  <si>
    <t>Expected Return</t>
  </si>
  <si>
    <t>Portfolio Variance</t>
  </si>
  <si>
    <t>Standard Dev</t>
  </si>
  <si>
    <t>C)</t>
  </si>
  <si>
    <t>B)</t>
  </si>
  <si>
    <t>A)</t>
  </si>
  <si>
    <t xml:space="preserve"> portifolio C is the obvious choise as it has lowest Standard Deviation with highest expected return. Hence among the three it has the highest returns and lowest risk associated with it.</t>
  </si>
  <si>
    <t>sd</t>
  </si>
  <si>
    <t>within top 5%</t>
  </si>
  <si>
    <t>within bottom 5%</t>
  </si>
  <si>
    <t>If the 2-year old childs height is below 29.53inches or above 34.467inches then they lie in top/bottom 5% and might have a problem</t>
  </si>
  <si>
    <t>A</t>
  </si>
  <si>
    <t>Grades</t>
  </si>
  <si>
    <t>Cut-off</t>
  </si>
  <si>
    <t>B</t>
  </si>
  <si>
    <t>C</t>
  </si>
  <si>
    <t>D</t>
  </si>
  <si>
    <t>b) This type of approach is known as relative frequency approach</t>
  </si>
  <si>
    <t>expected=</t>
  </si>
  <si>
    <t>SOLVED ON NEXT SHEET</t>
  </si>
  <si>
    <t>profit=0.2*sales</t>
  </si>
  <si>
    <t>E(P)=E[O.2*S]</t>
  </si>
  <si>
    <t>E[P]=0.2*E[S]</t>
  </si>
  <si>
    <t>E[P]=0.2*20</t>
  </si>
  <si>
    <t>E[P]=4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</si>
</sst>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ont="1"/>
    <xf numFmtId="164" fontId="1" fillId="0" borderId="1" xfId="0" applyNumberFormat="1" applyFont="1" applyBorder="1"/>
    <xf numFmtId="10" fontId="0" fillId="0" borderId="1" xfId="1" applyNumberFormat="1" applyFont="1" applyBorder="1"/>
    <xf numFmtId="10" fontId="0" fillId="0" borderId="0" xfId="0" applyNumberFormat="1"/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e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em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67E5D1-3C26-47A7-A081-2AF1E1D79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1501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279400</xdr:colOff>
      <xdr:row>25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AF84FB-931C-4111-8DB9-993F5B67C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94600" cy="459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14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B79B4C-0036-4187-BDDB-60E2D1991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262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27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6784E0-CE6D-4E26-BE86-7F2ACA3F5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503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19</xdr:row>
      <xdr:rowOff>92808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F7A844-78C0-479E-9D5E-252926892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393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26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2117D1-DB0A-4CD8-873B-D016C063B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483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53009</xdr:colOff>
      <xdr:row>0</xdr:row>
      <xdr:rowOff>0</xdr:rowOff>
    </xdr:from>
    <xdr:to>
      <xdr:col>9</xdr:col>
      <xdr:colOff>510209</xdr:colOff>
      <xdr:row>39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21B48-9643-43A5-8948-12BDAA4C4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09" y="0"/>
          <a:ext cx="5943600" cy="7369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137222</xdr:colOff>
      <xdr:row>28</xdr:row>
      <xdr:rowOff>91966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860064-91B9-4E90-B3C9-72EAEFD79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35446" cy="5425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556846</xdr:colOff>
      <xdr:row>12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4F3DAB-84C2-4DD1-9620-EF84F4E67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231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28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46EED-441C-4A35-9036-DF3DC6EC3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45720</xdr:rowOff>
    </xdr:from>
    <xdr:to>
      <xdr:col>9</xdr:col>
      <xdr:colOff>472440</xdr:colOff>
      <xdr:row>21</xdr:row>
      <xdr:rowOff>109220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DF0E8D-BEF1-45BC-8189-9654C1038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45720"/>
          <a:ext cx="5943600" cy="3903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15</xdr:row>
      <xdr:rowOff>157480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162B91-B486-463C-B3DC-1ADD89876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362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35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689B81-858B-4C5F-96DE-752048ADC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654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9</xdr:col>
      <xdr:colOff>142875</xdr:colOff>
      <xdr:row>24</xdr:row>
      <xdr:rowOff>26670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DB8D7F-BF83-456B-BB7A-93E06BC6B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5505450" cy="4408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13</xdr:row>
      <xdr:rowOff>53975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586231-A42E-4B6D-91EC-8A2721FB6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332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508635</xdr:colOff>
      <xdr:row>8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BBFDF3-AEB9-4272-B625-4B4A5B4CD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151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0</xdr:rowOff>
    </xdr:from>
    <xdr:to>
      <xdr:col>9</xdr:col>
      <xdr:colOff>447675</xdr:colOff>
      <xdr:row>17</xdr:row>
      <xdr:rowOff>48260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4748A8-FC68-4025-92D9-5AE9DA35B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0"/>
          <a:ext cx="5943600" cy="364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8</xdr:col>
      <xdr:colOff>455295</xdr:colOff>
      <xdr:row>10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E76D04-A714-46E1-BA60-3BE90EB12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594360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125730</xdr:colOff>
      <xdr:row>0</xdr:row>
      <xdr:rowOff>0</xdr:rowOff>
    </xdr:from>
    <xdr:to>
      <xdr:col>8</xdr:col>
      <xdr:colOff>508635</xdr:colOff>
      <xdr:row>7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E43A6C-59D2-488B-86FC-8F8F3F4E7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" y="0"/>
          <a:ext cx="5991225" cy="1400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0</xdr:rowOff>
    </xdr:from>
    <xdr:to>
      <xdr:col>9</xdr:col>
      <xdr:colOff>68580</xdr:colOff>
      <xdr:row>13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704597-2A9D-40B3-B4C4-5526BD418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0"/>
          <a:ext cx="5943600" cy="2606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457200</xdr:colOff>
      <xdr:row>10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B076C0-CB36-43B3-BBB3-38E053D22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43600" cy="201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A497-3774-4985-A6DF-07326A2A68C4}">
  <dimension ref="A1:V23"/>
  <sheetViews>
    <sheetView workbookViewId="0">
      <selection activeCell="K24" sqref="K24"/>
    </sheetView>
  </sheetViews>
  <sheetFormatPr defaultRowHeight="15.6" x14ac:dyDescent="0.3"/>
  <cols>
    <col min="1" max="16384" width="8.88671875" style="9"/>
  </cols>
  <sheetData>
    <row r="1" spans="1:22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22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22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22" x14ac:dyDescent="0.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22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22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22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22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10" spans="1:22" x14ac:dyDescent="0.3">
      <c r="A10" s="17" t="s">
        <v>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x14ac:dyDescent="0.3">
      <c r="A11" s="16" t="s">
        <v>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x14ac:dyDescent="0.3">
      <c r="A12" s="16" t="s">
        <v>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x14ac:dyDescent="0.3">
      <c r="A14" s="17" t="s">
        <v>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x14ac:dyDescent="0.3">
      <c r="A15" s="16" t="s">
        <v>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x14ac:dyDescent="0.3">
      <c r="A16" s="16" t="s">
        <v>10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x14ac:dyDescent="0.3">
      <c r="A18" s="17" t="s">
        <v>11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1:22" x14ac:dyDescent="0.3">
      <c r="A19" s="16" t="s">
        <v>12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x14ac:dyDescent="0.3">
      <c r="A20" s="16" t="s">
        <v>13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</sheetData>
  <mergeCells count="15">
    <mergeCell ref="A1:K8"/>
    <mergeCell ref="A10:V10"/>
    <mergeCell ref="A11:V11"/>
    <mergeCell ref="A12:V12"/>
    <mergeCell ref="A23:N23"/>
    <mergeCell ref="A13:V13"/>
    <mergeCell ref="A14:V14"/>
    <mergeCell ref="A15:V15"/>
    <mergeCell ref="A21:V21"/>
    <mergeCell ref="A22:V22"/>
    <mergeCell ref="A16:V16"/>
    <mergeCell ref="A17:V17"/>
    <mergeCell ref="A18:V18"/>
    <mergeCell ref="A19:V19"/>
    <mergeCell ref="A20:V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EDDE-BC02-4695-A1F0-5E69B6B3EB12}">
  <dimension ref="A1:S38"/>
  <sheetViews>
    <sheetView topLeftCell="A7" workbookViewId="0">
      <selection activeCell="E40" sqref="E40"/>
    </sheetView>
  </sheetViews>
  <sheetFormatPr defaultRowHeight="14.4" x14ac:dyDescent="0.3"/>
  <sheetData>
    <row r="1" spans="1:14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4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x14ac:dyDescent="0.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 x14ac:dyDescent="0.3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4" x14ac:dyDescent="0.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4" x14ac:dyDescent="0.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4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4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9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9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9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1:19" x14ac:dyDescent="0.3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1:19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1:19" x14ac:dyDescent="0.3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1:19" x14ac:dyDescent="0.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9" x14ac:dyDescent="0.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1:19" x14ac:dyDescent="0.3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spans="1:19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8" spans="1:19" ht="15.6" customHeight="1" x14ac:dyDescent="0.3">
      <c r="A28" s="16" t="s">
        <v>14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ht="15.6" customHeight="1" x14ac:dyDescent="0.3">
      <c r="A29" s="16" t="s">
        <v>15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ht="15.6" customHeight="1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ht="15.6" customHeight="1" x14ac:dyDescent="0.3">
      <c r="A31" s="16" t="s">
        <v>17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 ht="15.6" customHeight="1" x14ac:dyDescent="0.3">
      <c r="A32" s="16" t="s">
        <v>18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1:19" ht="15.6" customHeight="1" x14ac:dyDescent="0.3">
      <c r="A33" s="16" t="s">
        <v>19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 spans="1:19" ht="15.6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1:19" ht="15.6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1:19" ht="15.6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1:19" ht="15.6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1:19" ht="15.6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</sheetData>
  <mergeCells count="12">
    <mergeCell ref="A38:N38"/>
    <mergeCell ref="A1:N26"/>
    <mergeCell ref="A28:S28"/>
    <mergeCell ref="A29:S29"/>
    <mergeCell ref="A30:S30"/>
    <mergeCell ref="A31:S31"/>
    <mergeCell ref="A32:S32"/>
    <mergeCell ref="A33:S33"/>
    <mergeCell ref="A34:S34"/>
    <mergeCell ref="A35:S35"/>
    <mergeCell ref="A36:S36"/>
    <mergeCell ref="A37:S3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7E5F-7172-4430-BE32-2C7CA518AAC7}">
  <dimension ref="A11:K18"/>
  <sheetViews>
    <sheetView workbookViewId="0">
      <selection activeCell="G34" sqref="G34"/>
    </sheetView>
  </sheetViews>
  <sheetFormatPr defaultRowHeight="14.4" x14ac:dyDescent="0.3"/>
  <sheetData>
    <row r="11" spans="1:11" x14ac:dyDescent="0.3">
      <c r="K11" s="1"/>
    </row>
    <row r="13" spans="1:11" x14ac:dyDescent="0.3">
      <c r="K13" s="1"/>
    </row>
    <row r="16" spans="1:1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AD1C-C9FD-4E67-8554-137292C84806}">
  <dimension ref="M3:R12"/>
  <sheetViews>
    <sheetView workbookViewId="0">
      <selection activeCell="P17" sqref="P17"/>
    </sheetView>
  </sheetViews>
  <sheetFormatPr defaultRowHeight="14.4" x14ac:dyDescent="0.3"/>
  <sheetData>
    <row r="3" spans="13:18" x14ac:dyDescent="0.3">
      <c r="M3" s="20" t="s">
        <v>23</v>
      </c>
      <c r="N3" s="20"/>
      <c r="O3" s="20"/>
      <c r="P3" s="20"/>
      <c r="Q3" s="20"/>
      <c r="R3" s="20"/>
    </row>
    <row r="4" spans="13:18" x14ac:dyDescent="0.3">
      <c r="M4" s="20" t="s">
        <v>24</v>
      </c>
      <c r="N4" s="20"/>
      <c r="O4" s="20"/>
      <c r="P4" s="20"/>
      <c r="Q4" s="20"/>
      <c r="R4" s="20"/>
    </row>
    <row r="5" spans="13:18" x14ac:dyDescent="0.3">
      <c r="M5" s="20" t="s">
        <v>25</v>
      </c>
      <c r="N5" s="20"/>
      <c r="O5" s="20"/>
      <c r="P5" s="20"/>
      <c r="Q5" s="20"/>
      <c r="R5" s="20"/>
    </row>
    <row r="6" spans="13:18" x14ac:dyDescent="0.3">
      <c r="M6" s="20" t="s">
        <v>26</v>
      </c>
      <c r="N6" s="20"/>
      <c r="O6" s="20"/>
      <c r="P6" s="20"/>
      <c r="Q6" s="20"/>
      <c r="R6" s="20"/>
    </row>
    <row r="7" spans="13:18" x14ac:dyDescent="0.3">
      <c r="M7" s="20"/>
      <c r="N7" s="20"/>
      <c r="O7" s="20"/>
      <c r="P7" s="20"/>
      <c r="Q7" s="20"/>
      <c r="R7" s="20"/>
    </row>
    <row r="8" spans="13:18" x14ac:dyDescent="0.3">
      <c r="M8" s="20" t="s">
        <v>136</v>
      </c>
      <c r="N8" s="20"/>
      <c r="O8" s="20"/>
      <c r="P8" s="20"/>
      <c r="Q8" s="20"/>
      <c r="R8" s="20"/>
    </row>
    <row r="9" spans="13:18" x14ac:dyDescent="0.3">
      <c r="M9" s="20"/>
      <c r="N9" s="20"/>
      <c r="O9" s="20"/>
      <c r="P9" s="20"/>
      <c r="Q9" s="20"/>
      <c r="R9" s="20"/>
    </row>
    <row r="10" spans="13:18" x14ac:dyDescent="0.3">
      <c r="M10" s="20" t="s">
        <v>23</v>
      </c>
      <c r="N10" s="20"/>
      <c r="O10" s="20"/>
      <c r="P10" s="20"/>
      <c r="Q10" s="20"/>
      <c r="R10" s="20"/>
    </row>
    <row r="11" spans="13:18" x14ac:dyDescent="0.3">
      <c r="M11" s="20" t="s">
        <v>28</v>
      </c>
      <c r="N11" s="20"/>
      <c r="O11" s="20"/>
      <c r="P11" s="20"/>
      <c r="Q11" s="20"/>
      <c r="R11" s="20"/>
    </row>
    <row r="12" spans="13:18" x14ac:dyDescent="0.3">
      <c r="M12" s="20" t="s">
        <v>29</v>
      </c>
      <c r="N12" s="20"/>
      <c r="O12" s="20"/>
      <c r="P12" s="20"/>
      <c r="Q12" s="20"/>
      <c r="R12" s="20"/>
    </row>
  </sheetData>
  <mergeCells count="10">
    <mergeCell ref="M9:R9"/>
    <mergeCell ref="M10:R10"/>
    <mergeCell ref="M11:R11"/>
    <mergeCell ref="M12:R12"/>
    <mergeCell ref="M3:R3"/>
    <mergeCell ref="M4:R4"/>
    <mergeCell ref="M5:R5"/>
    <mergeCell ref="M6:R6"/>
    <mergeCell ref="M7:R7"/>
    <mergeCell ref="M8:R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333E-92FD-4540-AE09-70B2BCAD7378}">
  <dimension ref="K1:N11"/>
  <sheetViews>
    <sheetView zoomScale="130" zoomScaleNormal="130" workbookViewId="0">
      <selection activeCell="I22" sqref="I22"/>
    </sheetView>
  </sheetViews>
  <sheetFormatPr defaultRowHeight="15.6" x14ac:dyDescent="0.3"/>
  <cols>
    <col min="1" max="16384" width="8.88671875" style="9"/>
  </cols>
  <sheetData>
    <row r="1" spans="11:14" x14ac:dyDescent="0.3">
      <c r="L1" s="9" t="s">
        <v>31</v>
      </c>
      <c r="M1" s="9" t="s">
        <v>32</v>
      </c>
    </row>
    <row r="2" spans="11:14" x14ac:dyDescent="0.3">
      <c r="K2" s="9" t="s">
        <v>33</v>
      </c>
      <c r="L2" s="9">
        <v>0.4</v>
      </c>
      <c r="M2" s="9">
        <v>0.3</v>
      </c>
      <c r="N2" s="9">
        <v>0.7</v>
      </c>
    </row>
    <row r="3" spans="11:14" x14ac:dyDescent="0.3">
      <c r="K3" s="9" t="s">
        <v>34</v>
      </c>
      <c r="L3" s="9">
        <v>0.2</v>
      </c>
      <c r="M3" s="9">
        <v>0.1</v>
      </c>
      <c r="N3" s="9">
        <v>0.3</v>
      </c>
    </row>
    <row r="4" spans="11:14" x14ac:dyDescent="0.3">
      <c r="L4" s="9">
        <v>0.6</v>
      </c>
      <c r="M4" s="9">
        <v>0.4</v>
      </c>
    </row>
    <row r="6" spans="11:14" x14ac:dyDescent="0.3">
      <c r="K6" s="9" t="s">
        <v>30</v>
      </c>
      <c r="L6" s="9">
        <f>L2/N2</f>
        <v>0.57142857142857151</v>
      </c>
    </row>
    <row r="7" spans="11:14" x14ac:dyDescent="0.3">
      <c r="K7" s="9" t="s">
        <v>27</v>
      </c>
      <c r="L7" s="9">
        <f>M2/N2</f>
        <v>0.4285714285714286</v>
      </c>
    </row>
    <row r="8" spans="11:14" x14ac:dyDescent="0.3">
      <c r="L8" s="9">
        <f>L6+L7</f>
        <v>1</v>
      </c>
    </row>
    <row r="9" spans="11:14" x14ac:dyDescent="0.3">
      <c r="K9" s="9" t="s">
        <v>35</v>
      </c>
    </row>
    <row r="10" spans="11:14" x14ac:dyDescent="0.3">
      <c r="K10" s="9" t="s">
        <v>36</v>
      </c>
    </row>
    <row r="11" spans="11:14" x14ac:dyDescent="0.3">
      <c r="K11" s="9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047B-CD38-4B44-BFA0-4DA0337875B0}">
  <dimension ref="K1:O12"/>
  <sheetViews>
    <sheetView zoomScale="115" zoomScaleNormal="115" workbookViewId="0">
      <selection activeCell="L11" sqref="L11"/>
    </sheetView>
  </sheetViews>
  <sheetFormatPr defaultRowHeight="14.4" x14ac:dyDescent="0.3"/>
  <sheetData>
    <row r="1" spans="11:15" x14ac:dyDescent="0.3">
      <c r="L1" t="s">
        <v>31</v>
      </c>
      <c r="M1" t="s">
        <v>32</v>
      </c>
      <c r="N1" t="s">
        <v>38</v>
      </c>
    </row>
    <row r="2" spans="11:15" x14ac:dyDescent="0.3">
      <c r="K2" t="s">
        <v>33</v>
      </c>
      <c r="L2">
        <v>0.15</v>
      </c>
      <c r="M2">
        <v>0.2</v>
      </c>
      <c r="N2">
        <v>0.1</v>
      </c>
      <c r="O2">
        <f>L2+M2+N2</f>
        <v>0.44999999999999996</v>
      </c>
    </row>
    <row r="3" spans="11:15" x14ac:dyDescent="0.3">
      <c r="K3" t="s">
        <v>34</v>
      </c>
      <c r="L3">
        <v>0.25</v>
      </c>
      <c r="M3">
        <v>0.25</v>
      </c>
      <c r="N3">
        <v>0.05</v>
      </c>
      <c r="O3">
        <f>L3+M3+N3</f>
        <v>0.55000000000000004</v>
      </c>
    </row>
    <row r="4" spans="11:15" x14ac:dyDescent="0.3">
      <c r="L4">
        <f>L2+L3</f>
        <v>0.4</v>
      </c>
      <c r="M4">
        <f>M2+M3</f>
        <v>0.45</v>
      </c>
      <c r="N4">
        <f>N2+N3</f>
        <v>0.15000000000000002</v>
      </c>
      <c r="O4">
        <f>L4+M4+N4</f>
        <v>1</v>
      </c>
    </row>
    <row r="7" spans="11:15" x14ac:dyDescent="0.3">
      <c r="K7" t="s">
        <v>39</v>
      </c>
      <c r="L7">
        <f>M3/O3</f>
        <v>0.45454545454545453</v>
      </c>
    </row>
    <row r="8" spans="11:15" x14ac:dyDescent="0.3">
      <c r="K8" t="s">
        <v>40</v>
      </c>
      <c r="L8">
        <f>M3/M4</f>
        <v>0.55555555555555558</v>
      </c>
    </row>
    <row r="9" spans="11:15" x14ac:dyDescent="0.3">
      <c r="K9" t="s">
        <v>41</v>
      </c>
      <c r="L9">
        <f>M2/M4</f>
        <v>0.44444444444444448</v>
      </c>
    </row>
    <row r="10" spans="11:15" x14ac:dyDescent="0.3">
      <c r="K10" t="s">
        <v>39</v>
      </c>
      <c r="L10">
        <f>L4+M4</f>
        <v>0.85000000000000009</v>
      </c>
    </row>
    <row r="11" spans="11:15" x14ac:dyDescent="0.3">
      <c r="K11" t="s">
        <v>40</v>
      </c>
      <c r="L11">
        <f>M4+O3-M3</f>
        <v>0.75</v>
      </c>
    </row>
    <row r="12" spans="11:15" x14ac:dyDescent="0.3">
      <c r="K12" t="s">
        <v>41</v>
      </c>
      <c r="L12">
        <f>N4+O2-N2</f>
        <v>0.5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EA4F-88E3-4DE9-9F27-50BE89F74F08}">
  <dimension ref="K2:R11"/>
  <sheetViews>
    <sheetView topLeftCell="A4" zoomScale="115" zoomScaleNormal="115" workbookViewId="0">
      <selection activeCell="K16" sqref="K16"/>
    </sheetView>
  </sheetViews>
  <sheetFormatPr defaultRowHeight="14.4" x14ac:dyDescent="0.3"/>
  <cols>
    <col min="11" max="11" width="12" customWidth="1"/>
  </cols>
  <sheetData>
    <row r="2" spans="11:18" x14ac:dyDescent="0.3">
      <c r="L2" t="s">
        <v>44</v>
      </c>
      <c r="M2" t="s">
        <v>45</v>
      </c>
    </row>
    <row r="3" spans="11:18" x14ac:dyDescent="0.3">
      <c r="K3" t="s">
        <v>42</v>
      </c>
      <c r="L3">
        <v>0.23</v>
      </c>
      <c r="M3">
        <v>0.36</v>
      </c>
      <c r="N3">
        <f>L3+M3</f>
        <v>0.59</v>
      </c>
    </row>
    <row r="4" spans="11:18" x14ac:dyDescent="0.3">
      <c r="K4" t="s">
        <v>43</v>
      </c>
      <c r="L4">
        <v>0.11</v>
      </c>
      <c r="M4">
        <v>0.3</v>
      </c>
      <c r="N4">
        <f>L4+M4</f>
        <v>0.41</v>
      </c>
    </row>
    <row r="5" spans="11:18" x14ac:dyDescent="0.3">
      <c r="L5">
        <f>L3+L4</f>
        <v>0.34</v>
      </c>
      <c r="M5">
        <f>M3+M4</f>
        <v>0.65999999999999992</v>
      </c>
      <c r="N5">
        <f>L5+M5</f>
        <v>1</v>
      </c>
    </row>
    <row r="7" spans="11:18" x14ac:dyDescent="0.3">
      <c r="K7" t="s">
        <v>46</v>
      </c>
      <c r="L7">
        <f>L3/N3</f>
        <v>0.38983050847457629</v>
      </c>
    </row>
    <row r="8" spans="11:18" x14ac:dyDescent="0.3">
      <c r="K8" t="s">
        <v>47</v>
      </c>
      <c r="L8">
        <f>M5</f>
        <v>0.65999999999999992</v>
      </c>
    </row>
    <row r="9" spans="11:18" x14ac:dyDescent="0.3">
      <c r="K9" s="21" t="s">
        <v>48</v>
      </c>
      <c r="L9" s="21"/>
      <c r="M9" s="21"/>
      <c r="N9" s="21"/>
      <c r="O9" s="21"/>
      <c r="P9" s="21"/>
      <c r="Q9" s="21"/>
      <c r="R9" s="21"/>
    </row>
    <row r="10" spans="11:18" x14ac:dyDescent="0.3">
      <c r="K10" s="21"/>
      <c r="L10" s="21"/>
      <c r="M10" s="21"/>
      <c r="N10" s="21"/>
      <c r="O10" s="21"/>
      <c r="P10" s="21"/>
      <c r="Q10" s="21"/>
      <c r="R10" s="21"/>
    </row>
    <row r="11" spans="11:18" x14ac:dyDescent="0.3">
      <c r="K11" s="21"/>
      <c r="L11" s="21"/>
      <c r="M11" s="21"/>
      <c r="N11" s="21"/>
      <c r="O11" s="21"/>
      <c r="P11" s="21"/>
      <c r="Q11" s="21"/>
      <c r="R11" s="21"/>
    </row>
  </sheetData>
  <mergeCells count="1">
    <mergeCell ref="K9:R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ADE4-31E1-4F32-854F-AB8BE9291DB4}">
  <dimension ref="J1:O10"/>
  <sheetViews>
    <sheetView topLeftCell="A10" zoomScale="145" zoomScaleNormal="145" workbookViewId="0">
      <selection activeCell="J20" sqref="J20"/>
    </sheetView>
  </sheetViews>
  <sheetFormatPr defaultRowHeight="14.4" x14ac:dyDescent="0.3"/>
  <cols>
    <col min="10" max="10" width="10.77734375" customWidth="1"/>
  </cols>
  <sheetData>
    <row r="1" spans="10:15" x14ac:dyDescent="0.3">
      <c r="K1" t="s">
        <v>51</v>
      </c>
      <c r="L1" t="s">
        <v>52</v>
      </c>
    </row>
    <row r="2" spans="10:15" x14ac:dyDescent="0.3">
      <c r="J2" t="s">
        <v>49</v>
      </c>
      <c r="K2">
        <v>0.19</v>
      </c>
      <c r="L2">
        <v>0.64</v>
      </c>
      <c r="M2">
        <f>K2+L2</f>
        <v>0.83000000000000007</v>
      </c>
    </row>
    <row r="3" spans="10:15" x14ac:dyDescent="0.3">
      <c r="J3" t="s">
        <v>50</v>
      </c>
      <c r="K3">
        <v>0.13</v>
      </c>
      <c r="L3">
        <v>0.04</v>
      </c>
      <c r="M3">
        <f>K3+L3</f>
        <v>0.17</v>
      </c>
    </row>
    <row r="4" spans="10:15" x14ac:dyDescent="0.3">
      <c r="K4">
        <f>K2+K3</f>
        <v>0.32</v>
      </c>
      <c r="L4">
        <f>L2+L3</f>
        <v>0.68</v>
      </c>
      <c r="M4">
        <f>M2+M3</f>
        <v>1</v>
      </c>
    </row>
    <row r="6" spans="10:15" x14ac:dyDescent="0.3">
      <c r="J6" t="s">
        <v>53</v>
      </c>
    </row>
    <row r="7" spans="10:15" x14ac:dyDescent="0.3">
      <c r="J7" t="s">
        <v>54</v>
      </c>
      <c r="K7">
        <f>K2/K4</f>
        <v>0.59375</v>
      </c>
    </row>
    <row r="8" spans="10:15" x14ac:dyDescent="0.3">
      <c r="J8" t="s">
        <v>55</v>
      </c>
      <c r="K8">
        <f>L2/L4</f>
        <v>0.94117647058823528</v>
      </c>
    </row>
    <row r="9" spans="10:15" x14ac:dyDescent="0.3">
      <c r="J9" s="21" t="s">
        <v>56</v>
      </c>
      <c r="K9" s="21"/>
      <c r="L9" s="21"/>
      <c r="M9" s="21"/>
      <c r="N9" s="21"/>
      <c r="O9" s="21"/>
    </row>
    <row r="10" spans="10:15" x14ac:dyDescent="0.3">
      <c r="J10" s="21"/>
      <c r="K10" s="21"/>
      <c r="L10" s="21"/>
      <c r="M10" s="21"/>
      <c r="N10" s="21"/>
      <c r="O10" s="21"/>
    </row>
  </sheetData>
  <mergeCells count="1">
    <mergeCell ref="J9:O1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657E-402B-447C-AD36-0534958737A7}">
  <dimension ref="A14:C17"/>
  <sheetViews>
    <sheetView zoomScale="130" zoomScaleNormal="130" workbookViewId="0">
      <selection activeCell="I17" sqref="I17"/>
    </sheetView>
  </sheetViews>
  <sheetFormatPr defaultRowHeight="14.4" x14ac:dyDescent="0.3"/>
  <cols>
    <col min="2" max="2" width="16.33203125" customWidth="1"/>
  </cols>
  <sheetData>
    <row r="14" spans="1:3" x14ac:dyDescent="0.3">
      <c r="A14" t="s">
        <v>57</v>
      </c>
    </row>
    <row r="15" spans="1:3" x14ac:dyDescent="0.3">
      <c r="A15" t="s">
        <v>58</v>
      </c>
    </row>
    <row r="16" spans="1:3" x14ac:dyDescent="0.3">
      <c r="A16" t="s">
        <v>60</v>
      </c>
      <c r="C16">
        <f>0.77*0.6</f>
        <v>0.46199999999999997</v>
      </c>
    </row>
    <row r="17" spans="1:1" x14ac:dyDescent="0.3">
      <c r="A17" t="s">
        <v>59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8DD7-52F4-4C25-A6B3-47EE46F9C422}">
  <dimension ref="K2:L13"/>
  <sheetViews>
    <sheetView topLeftCell="A7" zoomScale="130" zoomScaleNormal="130" workbookViewId="0">
      <selection activeCell="O19" sqref="O19"/>
    </sheetView>
  </sheetViews>
  <sheetFormatPr defaultRowHeight="14.4" x14ac:dyDescent="0.3"/>
  <sheetData>
    <row r="2" spans="11:12" x14ac:dyDescent="0.3">
      <c r="K2" t="s">
        <v>107</v>
      </c>
    </row>
    <row r="3" spans="11:12" x14ac:dyDescent="0.3">
      <c r="K3" t="s">
        <v>106</v>
      </c>
      <c r="L3">
        <v>0.01</v>
      </c>
    </row>
    <row r="4" spans="11:12" x14ac:dyDescent="0.3">
      <c r="K4" t="s">
        <v>108</v>
      </c>
      <c r="L4">
        <f>0.616</f>
        <v>0.61599999999999999</v>
      </c>
    </row>
    <row r="5" spans="11:12" x14ac:dyDescent="0.3">
      <c r="K5" s="8" t="s">
        <v>109</v>
      </c>
      <c r="L5">
        <f>0.3</f>
        <v>0.3</v>
      </c>
    </row>
    <row r="6" spans="11:12" x14ac:dyDescent="0.3">
      <c r="K6" s="8" t="s">
        <v>110</v>
      </c>
      <c r="L6">
        <f>0.084</f>
        <v>8.4000000000000005E-2</v>
      </c>
    </row>
    <row r="8" spans="11:12" x14ac:dyDescent="0.3">
      <c r="K8" t="s">
        <v>112</v>
      </c>
      <c r="L8">
        <v>0.12</v>
      </c>
    </row>
    <row r="9" spans="11:12" x14ac:dyDescent="0.3">
      <c r="K9" t="s">
        <v>113</v>
      </c>
      <c r="L9">
        <f>L6*L3</f>
        <v>8.4000000000000003E-4</v>
      </c>
    </row>
    <row r="13" spans="11:12" x14ac:dyDescent="0.3">
      <c r="K13" t="s">
        <v>111</v>
      </c>
      <c r="L13">
        <f>L9/L8</f>
        <v>7.0000000000000001E-3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2324-F61C-4805-9B3A-2BBF4746315F}">
  <dimension ref="K2:M11"/>
  <sheetViews>
    <sheetView workbookViewId="0">
      <selection activeCell="L18" sqref="L18"/>
    </sheetView>
  </sheetViews>
  <sheetFormatPr defaultRowHeight="14.4" x14ac:dyDescent="0.3"/>
  <sheetData>
    <row r="2" spans="11:13" x14ac:dyDescent="0.3">
      <c r="K2" s="8" t="s">
        <v>61</v>
      </c>
      <c r="L2" s="8" t="s">
        <v>62</v>
      </c>
    </row>
    <row r="3" spans="11:13" x14ac:dyDescent="0.3">
      <c r="K3" s="8">
        <v>-3</v>
      </c>
      <c r="L3" s="8">
        <v>0.2</v>
      </c>
    </row>
    <row r="4" spans="11:13" x14ac:dyDescent="0.3">
      <c r="K4" s="8">
        <v>2</v>
      </c>
      <c r="L4" s="8">
        <v>0.3</v>
      </c>
    </row>
    <row r="5" spans="11:13" x14ac:dyDescent="0.3">
      <c r="K5" s="8">
        <v>6</v>
      </c>
      <c r="L5" s="8">
        <v>0.4</v>
      </c>
    </row>
    <row r="6" spans="11:13" x14ac:dyDescent="0.3">
      <c r="K6" s="8">
        <v>8</v>
      </c>
      <c r="L6" s="8">
        <v>0.1</v>
      </c>
    </row>
    <row r="8" spans="11:13" x14ac:dyDescent="0.3">
      <c r="K8" t="s">
        <v>63</v>
      </c>
      <c r="M8">
        <f>L4+L5+L6</f>
        <v>0.79999999999999993</v>
      </c>
    </row>
    <row r="9" spans="11:13" x14ac:dyDescent="0.3">
      <c r="K9" t="s">
        <v>64</v>
      </c>
      <c r="M9">
        <f>L4+L5+L6</f>
        <v>0.79999999999999993</v>
      </c>
    </row>
    <row r="10" spans="11:13" x14ac:dyDescent="0.3">
      <c r="K10" t="s">
        <v>65</v>
      </c>
      <c r="M10">
        <f>L4+L5+L6</f>
        <v>0.79999999999999993</v>
      </c>
    </row>
    <row r="11" spans="11:13" x14ac:dyDescent="0.3">
      <c r="K11" t="s">
        <v>66</v>
      </c>
      <c r="M11">
        <f>L4</f>
        <v>0.3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4EA6-F7B3-4E23-A3A5-CBA129A88F3E}">
  <dimension ref="K3:O21"/>
  <sheetViews>
    <sheetView workbookViewId="0">
      <selection activeCell="L14" sqref="L14"/>
    </sheetView>
  </sheetViews>
  <sheetFormatPr defaultRowHeight="14.4" x14ac:dyDescent="0.3"/>
  <sheetData>
    <row r="3" spans="11:15" x14ac:dyDescent="0.3">
      <c r="K3" s="8" t="s">
        <v>61</v>
      </c>
      <c r="L3" s="8" t="s">
        <v>62</v>
      </c>
      <c r="M3" t="s">
        <v>68</v>
      </c>
      <c r="N3" t="s">
        <v>69</v>
      </c>
      <c r="O3" t="s">
        <v>77</v>
      </c>
    </row>
    <row r="4" spans="11:15" x14ac:dyDescent="0.3">
      <c r="K4" s="8">
        <v>0</v>
      </c>
      <c r="L4" s="8">
        <v>0.1</v>
      </c>
      <c r="M4">
        <f>K4*L4</f>
        <v>0</v>
      </c>
      <c r="N4">
        <f>(K4-$N$11)^2</f>
        <v>2.8900000000000006</v>
      </c>
      <c r="O4">
        <f>N4*L4</f>
        <v>0.28900000000000009</v>
      </c>
    </row>
    <row r="5" spans="11:15" x14ac:dyDescent="0.3">
      <c r="K5" s="8">
        <v>1</v>
      </c>
      <c r="L5" s="8">
        <v>0.3</v>
      </c>
      <c r="M5" s="8">
        <f t="shared" ref="M5:M7" si="0">K5*L5</f>
        <v>0.3</v>
      </c>
      <c r="N5" s="8">
        <f>(K5-$N$11)^2</f>
        <v>0.49000000000000027</v>
      </c>
      <c r="O5" s="8">
        <f t="shared" ref="O5:O7" si="1">N5*L5</f>
        <v>0.14700000000000008</v>
      </c>
    </row>
    <row r="6" spans="11:15" x14ac:dyDescent="0.3">
      <c r="K6" s="8">
        <v>2</v>
      </c>
      <c r="L6" s="8">
        <v>0.4</v>
      </c>
      <c r="M6" s="8">
        <f t="shared" si="0"/>
        <v>0.8</v>
      </c>
      <c r="N6" s="8">
        <f>(K6-$N$11)^2</f>
        <v>8.99999999999999E-2</v>
      </c>
      <c r="O6" s="8">
        <f t="shared" si="1"/>
        <v>3.5999999999999963E-2</v>
      </c>
    </row>
    <row r="7" spans="11:15" x14ac:dyDescent="0.3">
      <c r="K7" s="8">
        <v>3</v>
      </c>
      <c r="L7" s="8">
        <v>0.2</v>
      </c>
      <c r="M7" s="8">
        <f t="shared" si="0"/>
        <v>0.60000000000000009</v>
      </c>
      <c r="N7" s="8">
        <f>(K7-$N$11)^2</f>
        <v>1.6899999999999995</v>
      </c>
      <c r="O7" s="8">
        <f t="shared" si="1"/>
        <v>0.33799999999999991</v>
      </c>
    </row>
    <row r="8" spans="11:15" ht="23.4" x14ac:dyDescent="0.45">
      <c r="K8" s="4"/>
    </row>
    <row r="9" spans="11:15" ht="15.6" x14ac:dyDescent="0.3">
      <c r="L9" s="9" t="s">
        <v>67</v>
      </c>
      <c r="M9">
        <f>L6+L7</f>
        <v>0.60000000000000009</v>
      </c>
    </row>
    <row r="10" spans="11:15" ht="23.4" x14ac:dyDescent="0.45">
      <c r="K10" s="4"/>
    </row>
    <row r="11" spans="11:15" ht="23.4" x14ac:dyDescent="0.45">
      <c r="K11" s="4"/>
      <c r="L11" t="s">
        <v>27</v>
      </c>
      <c r="M11" t="s">
        <v>70</v>
      </c>
      <c r="N11">
        <f>SUM(M4:M7)</f>
        <v>1.7000000000000002</v>
      </c>
    </row>
    <row r="12" spans="11:15" ht="23.4" x14ac:dyDescent="0.45">
      <c r="K12" s="4"/>
      <c r="M12" t="s">
        <v>71</v>
      </c>
      <c r="N12">
        <f>SUM(O4:O7)</f>
        <v>0.81</v>
      </c>
    </row>
    <row r="13" spans="11:15" ht="23.4" x14ac:dyDescent="0.45">
      <c r="K13" s="4"/>
    </row>
    <row r="14" spans="11:15" ht="23.4" x14ac:dyDescent="0.45">
      <c r="K14" s="4"/>
    </row>
    <row r="15" spans="11:15" ht="23.4" x14ac:dyDescent="0.45">
      <c r="K15" s="4"/>
    </row>
    <row r="16" spans="11:15" ht="23.4" x14ac:dyDescent="0.45">
      <c r="K16" s="4"/>
    </row>
    <row r="17" spans="11:11" ht="23.4" x14ac:dyDescent="0.45">
      <c r="K17" s="4"/>
    </row>
    <row r="18" spans="11:11" ht="23.4" x14ac:dyDescent="0.45">
      <c r="K18" s="4"/>
    </row>
    <row r="19" spans="11:11" ht="23.4" x14ac:dyDescent="0.45">
      <c r="K19" s="4"/>
    </row>
    <row r="20" spans="11:11" ht="23.4" x14ac:dyDescent="0.45">
      <c r="K20" s="4"/>
    </row>
    <row r="21" spans="11:11" ht="23.4" x14ac:dyDescent="0.45">
      <c r="K21" s="4"/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7482-5FE6-40FC-81C2-1AC4F3A7BC59}">
  <dimension ref="K3:N17"/>
  <sheetViews>
    <sheetView tabSelected="1" workbookViewId="0">
      <selection activeCell="L18" sqref="L18"/>
    </sheetView>
  </sheetViews>
  <sheetFormatPr defaultRowHeight="14.4" x14ac:dyDescent="0.3"/>
  <sheetData>
    <row r="3" spans="11:14" x14ac:dyDescent="0.3">
      <c r="K3">
        <v>7.4</v>
      </c>
    </row>
    <row r="4" spans="11:14" x14ac:dyDescent="0.3">
      <c r="L4" t="s">
        <v>61</v>
      </c>
      <c r="M4" t="s">
        <v>62</v>
      </c>
      <c r="N4" t="s">
        <v>74</v>
      </c>
    </row>
    <row r="5" spans="11:14" x14ac:dyDescent="0.3">
      <c r="L5">
        <v>0</v>
      </c>
      <c r="M5">
        <v>0.1</v>
      </c>
      <c r="N5">
        <f>L5*M5</f>
        <v>0</v>
      </c>
    </row>
    <row r="6" spans="11:14" x14ac:dyDescent="0.3">
      <c r="L6">
        <v>1</v>
      </c>
      <c r="M6">
        <v>0.25</v>
      </c>
      <c r="N6" s="8">
        <f t="shared" ref="N6:N9" si="0">L6*M6</f>
        <v>0.25</v>
      </c>
    </row>
    <row r="7" spans="11:14" x14ac:dyDescent="0.3">
      <c r="L7">
        <v>2</v>
      </c>
      <c r="M7">
        <v>0.4</v>
      </c>
      <c r="N7" s="8">
        <f t="shared" si="0"/>
        <v>0.8</v>
      </c>
    </row>
    <row r="8" spans="11:14" x14ac:dyDescent="0.3">
      <c r="L8">
        <v>3</v>
      </c>
      <c r="M8">
        <v>0.2</v>
      </c>
      <c r="N8" s="8">
        <f t="shared" si="0"/>
        <v>0.60000000000000009</v>
      </c>
    </row>
    <row r="9" spans="11:14" x14ac:dyDescent="0.3">
      <c r="L9">
        <v>4</v>
      </c>
      <c r="M9">
        <v>0.05</v>
      </c>
      <c r="N9" s="8">
        <f t="shared" si="0"/>
        <v>0.2</v>
      </c>
    </row>
    <row r="10" spans="11:14" x14ac:dyDescent="0.3">
      <c r="M10" t="s">
        <v>137</v>
      </c>
      <c r="N10">
        <f>AVERAGE(N5:N9)</f>
        <v>0.37</v>
      </c>
    </row>
    <row r="12" spans="11:14" x14ac:dyDescent="0.3">
      <c r="K12">
        <v>7.41</v>
      </c>
    </row>
    <row r="13" spans="11:14" x14ac:dyDescent="0.3">
      <c r="L13" t="s">
        <v>139</v>
      </c>
    </row>
    <row r="14" spans="11:14" x14ac:dyDescent="0.3">
      <c r="L14" t="s">
        <v>140</v>
      </c>
    </row>
    <row r="15" spans="11:14" x14ac:dyDescent="0.3">
      <c r="L15" t="s">
        <v>141</v>
      </c>
    </row>
    <row r="16" spans="11:14" x14ac:dyDescent="0.3">
      <c r="L16" t="s">
        <v>142</v>
      </c>
    </row>
    <row r="17" spans="12:12" x14ac:dyDescent="0.3">
      <c r="L17" t="s">
        <v>143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2162-06E0-45F5-833B-5134A5B4CC77}">
  <dimension ref="E2:T39"/>
  <sheetViews>
    <sheetView workbookViewId="0">
      <selection activeCell="F34" sqref="F34"/>
    </sheetView>
  </sheetViews>
  <sheetFormatPr defaultRowHeight="14.4" x14ac:dyDescent="0.3"/>
  <cols>
    <col min="16" max="16" width="9.88671875" customWidth="1"/>
    <col min="17" max="17" width="10.21875" customWidth="1"/>
    <col min="18" max="18" width="16.44140625" customWidth="1"/>
  </cols>
  <sheetData>
    <row r="2" spans="10:20" x14ac:dyDescent="0.3">
      <c r="K2" s="10"/>
      <c r="L2" s="10">
        <v>1</v>
      </c>
      <c r="M2" s="10">
        <v>2</v>
      </c>
      <c r="N2" s="10"/>
    </row>
    <row r="3" spans="10:20" x14ac:dyDescent="0.3">
      <c r="K3" s="10">
        <v>1</v>
      </c>
      <c r="L3" s="10">
        <v>0.28000000000000003</v>
      </c>
      <c r="M3" s="10">
        <v>0.42</v>
      </c>
      <c r="N3" s="10">
        <f>SUM(L3:M3)</f>
        <v>0.7</v>
      </c>
    </row>
    <row r="4" spans="10:20" x14ac:dyDescent="0.3">
      <c r="K4" s="10">
        <v>2</v>
      </c>
      <c r="L4" s="10">
        <v>0.12</v>
      </c>
      <c r="M4" s="10">
        <v>0.18</v>
      </c>
      <c r="N4" s="10">
        <f>SUM(L4:M4)</f>
        <v>0.3</v>
      </c>
    </row>
    <row r="5" spans="10:20" x14ac:dyDescent="0.3">
      <c r="K5" s="10"/>
      <c r="L5" s="10">
        <f>SUM(L3:L4)</f>
        <v>0.4</v>
      </c>
      <c r="M5" s="10">
        <f t="shared" ref="M5:N5" si="0">SUM(M3:M4)</f>
        <v>0.6</v>
      </c>
      <c r="N5" s="10">
        <f t="shared" si="0"/>
        <v>1</v>
      </c>
    </row>
    <row r="7" spans="10:20" x14ac:dyDescent="0.3">
      <c r="J7" s="10" t="s">
        <v>61</v>
      </c>
      <c r="K7" s="10" t="s">
        <v>62</v>
      </c>
      <c r="L7" s="10" t="s">
        <v>74</v>
      </c>
      <c r="M7" s="10" t="s">
        <v>69</v>
      </c>
      <c r="N7" s="10" t="s">
        <v>77</v>
      </c>
      <c r="T7" s="10"/>
    </row>
    <row r="8" spans="10:20" x14ac:dyDescent="0.3">
      <c r="J8" s="10">
        <v>1</v>
      </c>
      <c r="K8" s="10">
        <v>0.4</v>
      </c>
      <c r="L8" s="10">
        <f>J8*K8</f>
        <v>0.4</v>
      </c>
      <c r="M8" s="10">
        <f>(J8-$Q$10)^2</f>
        <v>0.3600000000000001</v>
      </c>
      <c r="N8" s="10">
        <f>M8*K8</f>
        <v>0.14400000000000004</v>
      </c>
      <c r="T8" s="10"/>
    </row>
    <row r="9" spans="10:20" s="8" customFormat="1" x14ac:dyDescent="0.3">
      <c r="J9" s="10">
        <v>2</v>
      </c>
      <c r="K9" s="10">
        <v>0.6</v>
      </c>
      <c r="L9" s="10">
        <f>J9*K9</f>
        <v>1.2</v>
      </c>
      <c r="M9" s="10">
        <f>(J9-$Q$10)^2</f>
        <v>0.15999999999999992</v>
      </c>
      <c r="N9" s="10">
        <f>M9*K9</f>
        <v>9.5999999999999946E-2</v>
      </c>
      <c r="T9" s="10"/>
    </row>
    <row r="10" spans="10:20" x14ac:dyDescent="0.3">
      <c r="P10" s="10" t="s">
        <v>70</v>
      </c>
      <c r="Q10" s="10">
        <f>SUM(L8:L9)</f>
        <v>1.6</v>
      </c>
    </row>
    <row r="11" spans="10:20" s="8" customFormat="1" x14ac:dyDescent="0.3">
      <c r="P11" s="10" t="s">
        <v>71</v>
      </c>
      <c r="Q11" s="10">
        <f>SUM(N8:N9)</f>
        <v>0.24</v>
      </c>
    </row>
    <row r="12" spans="10:20" s="8" customFormat="1" x14ac:dyDescent="0.3">
      <c r="P12" s="11" t="s">
        <v>81</v>
      </c>
      <c r="Q12" s="11">
        <f>Q11^0.5</f>
        <v>0.4898979485566356</v>
      </c>
    </row>
    <row r="13" spans="10:20" s="8" customFormat="1" x14ac:dyDescent="0.3"/>
    <row r="14" spans="10:20" s="8" customFormat="1" x14ac:dyDescent="0.3">
      <c r="J14" s="10" t="s">
        <v>73</v>
      </c>
      <c r="K14" s="10" t="s">
        <v>72</v>
      </c>
      <c r="L14" s="10" t="s">
        <v>75</v>
      </c>
      <c r="M14" s="10" t="s">
        <v>76</v>
      </c>
      <c r="N14" s="10" t="s">
        <v>84</v>
      </c>
    </row>
    <row r="15" spans="10:20" s="8" customFormat="1" x14ac:dyDescent="0.3">
      <c r="J15" s="10">
        <v>1</v>
      </c>
      <c r="K15" s="10">
        <v>0.7</v>
      </c>
      <c r="L15" s="10">
        <f>J15*K15</f>
        <v>0.7</v>
      </c>
      <c r="M15" s="10">
        <f>(K3-$O$20)^2</f>
        <v>8.99999999999999E-2</v>
      </c>
      <c r="N15" s="10">
        <f>M15*L15</f>
        <v>6.2999999999999931E-2</v>
      </c>
    </row>
    <row r="16" spans="10:20" s="8" customFormat="1" x14ac:dyDescent="0.3">
      <c r="J16" s="10">
        <v>2</v>
      </c>
      <c r="K16" s="10">
        <v>0.3</v>
      </c>
      <c r="L16" s="10">
        <f>J16*K16</f>
        <v>0.6</v>
      </c>
      <c r="M16" s="10">
        <f>(K4-$O$20)^2</f>
        <v>0.49000000000000027</v>
      </c>
      <c r="N16" s="10">
        <f>M16*K16</f>
        <v>0.14700000000000008</v>
      </c>
    </row>
    <row r="17" spans="9:15" s="8" customFormat="1" x14ac:dyDescent="0.3"/>
    <row r="18" spans="9:15" s="8" customFormat="1" x14ac:dyDescent="0.3"/>
    <row r="19" spans="9:15" ht="13.8" customHeight="1" x14ac:dyDescent="0.3">
      <c r="N19" s="10"/>
      <c r="O19" s="10" t="s">
        <v>73</v>
      </c>
    </row>
    <row r="20" spans="9:15" x14ac:dyDescent="0.3">
      <c r="N20" s="10" t="s">
        <v>70</v>
      </c>
      <c r="O20" s="10">
        <f>SUM(L15:L16)</f>
        <v>1.2999999999999998</v>
      </c>
    </row>
    <row r="21" spans="9:15" x14ac:dyDescent="0.3">
      <c r="N21" s="10" t="s">
        <v>71</v>
      </c>
      <c r="O21" s="10">
        <f>SUM(N15:N16)</f>
        <v>0.21000000000000002</v>
      </c>
    </row>
    <row r="22" spans="9:15" s="8" customFormat="1" x14ac:dyDescent="0.3">
      <c r="N22" s="11" t="s">
        <v>81</v>
      </c>
      <c r="O22" s="11">
        <f>O21^(1/2)</f>
        <v>0.45825756949558405</v>
      </c>
    </row>
    <row r="24" spans="9:15" x14ac:dyDescent="0.3">
      <c r="J24" t="s">
        <v>82</v>
      </c>
      <c r="K24" t="s">
        <v>83</v>
      </c>
      <c r="L24" t="s">
        <v>85</v>
      </c>
      <c r="M24" t="s">
        <v>78</v>
      </c>
      <c r="N24" t="s">
        <v>79</v>
      </c>
      <c r="O24" t="s">
        <v>80</v>
      </c>
    </row>
    <row r="25" spans="9:15" x14ac:dyDescent="0.3">
      <c r="J25">
        <v>1</v>
      </c>
      <c r="K25">
        <v>1</v>
      </c>
      <c r="L25">
        <v>0.28000000000000003</v>
      </c>
      <c r="M25">
        <f>J25-$Q$10</f>
        <v>-0.60000000000000009</v>
      </c>
      <c r="N25">
        <f>K25-$O$20</f>
        <v>-0.29999999999999982</v>
      </c>
      <c r="O25">
        <f>M25*N25*L25</f>
        <v>5.039999999999998E-2</v>
      </c>
    </row>
    <row r="26" spans="9:15" s="8" customFormat="1" x14ac:dyDescent="0.3">
      <c r="J26" s="8">
        <v>1</v>
      </c>
      <c r="K26" s="8">
        <v>2</v>
      </c>
      <c r="L26" s="8">
        <v>0.12</v>
      </c>
      <c r="M26" s="8">
        <f t="shared" ref="M26:M28" si="1">J26-$Q$10</f>
        <v>-0.60000000000000009</v>
      </c>
      <c r="N26" s="8">
        <f t="shared" ref="N26:N28" si="2">K26-$O$20</f>
        <v>0.70000000000000018</v>
      </c>
      <c r="O26" s="8">
        <f t="shared" ref="O26:O28" si="3">M26*N26*L26</f>
        <v>-5.0400000000000014E-2</v>
      </c>
    </row>
    <row r="27" spans="9:15" s="8" customFormat="1" x14ac:dyDescent="0.3">
      <c r="J27" s="8">
        <v>2</v>
      </c>
      <c r="K27" s="8">
        <v>1</v>
      </c>
      <c r="L27" s="8">
        <v>0.42</v>
      </c>
      <c r="M27" s="8">
        <f t="shared" si="1"/>
        <v>0.39999999999999991</v>
      </c>
      <c r="N27" s="8">
        <f t="shared" si="2"/>
        <v>-0.29999999999999982</v>
      </c>
      <c r="O27" s="8">
        <f t="shared" si="3"/>
        <v>-5.0399999999999959E-2</v>
      </c>
    </row>
    <row r="28" spans="9:15" x14ac:dyDescent="0.3">
      <c r="J28">
        <v>2</v>
      </c>
      <c r="K28" s="8">
        <v>2</v>
      </c>
      <c r="L28" s="8">
        <v>0.18</v>
      </c>
      <c r="M28" s="8">
        <f t="shared" si="1"/>
        <v>0.39999999999999991</v>
      </c>
      <c r="N28" s="8">
        <f t="shared" si="2"/>
        <v>0.70000000000000018</v>
      </c>
      <c r="O28" s="8">
        <f t="shared" si="3"/>
        <v>5.04E-2</v>
      </c>
    </row>
    <row r="30" spans="9:15" x14ac:dyDescent="0.3">
      <c r="J30" t="s">
        <v>86</v>
      </c>
      <c r="K30">
        <f>SUM(O25:O28)</f>
        <v>0</v>
      </c>
    </row>
    <row r="31" spans="9:15" x14ac:dyDescent="0.3">
      <c r="I31" s="21" t="s">
        <v>87</v>
      </c>
      <c r="J31" s="21"/>
      <c r="K31">
        <f>K30/(O22*Q12)</f>
        <v>0</v>
      </c>
    </row>
    <row r="32" spans="9:15" x14ac:dyDescent="0.3">
      <c r="I32" s="21"/>
      <c r="J32" s="21"/>
    </row>
    <row r="39" spans="5:9" ht="21" x14ac:dyDescent="0.4">
      <c r="E39" s="5"/>
      <c r="F39" s="5"/>
      <c r="G39" s="5"/>
      <c r="H39" s="5"/>
      <c r="I39" s="5"/>
    </row>
  </sheetData>
  <mergeCells count="1">
    <mergeCell ref="I31:J3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5977-4BFD-45EE-873F-566F700C888B}">
  <dimension ref="B16:N63"/>
  <sheetViews>
    <sheetView workbookViewId="0">
      <selection activeCell="G29" sqref="G29"/>
    </sheetView>
  </sheetViews>
  <sheetFormatPr defaultRowHeight="14.4" x14ac:dyDescent="0.3"/>
  <sheetData>
    <row r="16" spans="2:14" x14ac:dyDescent="0.3">
      <c r="B16" s="22" t="s">
        <v>138</v>
      </c>
      <c r="C16" s="22"/>
      <c r="D16" s="22"/>
      <c r="E16" s="22"/>
      <c r="F16" s="22"/>
      <c r="G16" s="22"/>
      <c r="H16" s="22"/>
      <c r="I16" s="22"/>
      <c r="J16" s="22"/>
      <c r="N16" s="8"/>
    </row>
    <row r="17" spans="2:14" x14ac:dyDescent="0.3">
      <c r="B17" s="22"/>
      <c r="C17" s="22"/>
      <c r="D17" s="22"/>
      <c r="E17" s="22"/>
      <c r="F17" s="22"/>
      <c r="G17" s="22"/>
      <c r="H17" s="22"/>
      <c r="I17" s="22"/>
      <c r="J17" s="22"/>
      <c r="N17" s="8"/>
    </row>
    <row r="18" spans="2:14" x14ac:dyDescent="0.3">
      <c r="B18" s="22"/>
      <c r="C18" s="22"/>
      <c r="D18" s="22"/>
      <c r="E18" s="22"/>
      <c r="F18" s="22"/>
      <c r="G18" s="22"/>
      <c r="H18" s="22"/>
      <c r="I18" s="22"/>
      <c r="J18" s="22"/>
      <c r="N18" s="8"/>
    </row>
    <row r="19" spans="2:14" x14ac:dyDescent="0.3">
      <c r="B19" s="22"/>
      <c r="C19" s="22"/>
      <c r="D19" s="22"/>
      <c r="E19" s="22"/>
      <c r="F19" s="22"/>
      <c r="G19" s="22"/>
      <c r="H19" s="22"/>
      <c r="I19" s="22"/>
      <c r="J19" s="22"/>
      <c r="N19" s="8"/>
    </row>
    <row r="20" spans="2:14" s="8" customFormat="1" x14ac:dyDescent="0.3">
      <c r="B20" s="22"/>
      <c r="C20" s="22"/>
      <c r="D20" s="22"/>
      <c r="E20" s="22"/>
      <c r="F20" s="22"/>
      <c r="G20" s="22"/>
      <c r="H20" s="22"/>
      <c r="I20" s="22"/>
      <c r="J20" s="22"/>
    </row>
    <row r="21" spans="2:14" x14ac:dyDescent="0.3">
      <c r="N21" s="8"/>
    </row>
    <row r="22" spans="2:14" x14ac:dyDescent="0.3">
      <c r="N22" s="8"/>
    </row>
    <row r="23" spans="2:14" x14ac:dyDescent="0.3">
      <c r="N23" s="8"/>
    </row>
    <row r="63" spans="10:10" x14ac:dyDescent="0.3">
      <c r="J63" t="s">
        <v>4</v>
      </c>
    </row>
  </sheetData>
  <mergeCells count="1">
    <mergeCell ref="B16:J20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102E-4071-4BE4-93AC-D089877CB349}">
  <dimension ref="A1:R61"/>
  <sheetViews>
    <sheetView topLeftCell="A19" zoomScale="160" zoomScaleNormal="160" workbookViewId="0">
      <selection activeCell="H27" sqref="H27"/>
    </sheetView>
  </sheetViews>
  <sheetFormatPr defaultRowHeight="14.4" x14ac:dyDescent="0.3"/>
  <cols>
    <col min="1" max="4" width="8.6640625" style="3"/>
    <col min="6" max="6" width="13.77734375" customWidth="1"/>
    <col min="8" max="8" width="12.88671875" customWidth="1"/>
  </cols>
  <sheetData>
    <row r="1" spans="1:18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18" x14ac:dyDescent="0.3">
      <c r="A2" s="3">
        <v>0.10113049137999362</v>
      </c>
      <c r="B2" s="3">
        <v>9.0908019362363798E-2</v>
      </c>
      <c r="C2" s="3">
        <v>-1.2672623389584383E-3</v>
      </c>
      <c r="D2" s="3">
        <v>6.5232900821781625E-2</v>
      </c>
      <c r="F2" t="s">
        <v>88</v>
      </c>
      <c r="G2">
        <v>0.25</v>
      </c>
      <c r="I2" s="8" t="s">
        <v>88</v>
      </c>
      <c r="J2" s="8">
        <v>0.5</v>
      </c>
      <c r="L2" s="8" t="s">
        <v>88</v>
      </c>
      <c r="M2" s="8">
        <v>0.1</v>
      </c>
      <c r="R2" s="8"/>
    </row>
    <row r="3" spans="1:18" x14ac:dyDescent="0.3">
      <c r="A3" s="3">
        <v>3.6048211234658151E-2</v>
      </c>
      <c r="B3" s="3">
        <v>1.8225249246018582E-3</v>
      </c>
      <c r="C3" s="3">
        <v>-2.2997627128386017E-2</v>
      </c>
      <c r="D3" s="3">
        <v>-1.4115847935101291E-3</v>
      </c>
      <c r="F3" t="s">
        <v>89</v>
      </c>
      <c r="G3">
        <v>0.25</v>
      </c>
      <c r="I3" s="8" t="s">
        <v>89</v>
      </c>
      <c r="J3" s="8">
        <v>0.2</v>
      </c>
      <c r="L3" s="8" t="s">
        <v>89</v>
      </c>
      <c r="M3" s="8">
        <v>0.2</v>
      </c>
      <c r="R3" s="8"/>
    </row>
    <row r="4" spans="1:18" x14ac:dyDescent="0.3">
      <c r="A4" s="3">
        <v>1.8141269218407072E-2</v>
      </c>
      <c r="B4" s="3">
        <v>3.3108942353323879E-2</v>
      </c>
      <c r="C4" s="3">
        <v>6.2308962746294459E-2</v>
      </c>
      <c r="D4" s="3">
        <v>6.3887019454372321E-2</v>
      </c>
      <c r="F4" t="s">
        <v>90</v>
      </c>
      <c r="G4">
        <v>0.25</v>
      </c>
      <c r="I4" s="8" t="s">
        <v>90</v>
      </c>
      <c r="J4" s="8">
        <v>0.15</v>
      </c>
      <c r="L4" s="8" t="s">
        <v>90</v>
      </c>
      <c r="M4" s="8">
        <v>0.3</v>
      </c>
      <c r="R4" s="8"/>
    </row>
    <row r="5" spans="1:18" x14ac:dyDescent="0.3">
      <c r="A5" s="3">
        <v>-3.3979952505549443E-2</v>
      </c>
      <c r="B5" s="3">
        <v>-5.4518639827703934E-2</v>
      </c>
      <c r="C5" s="3">
        <v>3.2357389236501673E-2</v>
      </c>
      <c r="D5" s="3">
        <v>-1.8963308694399911E-2</v>
      </c>
      <c r="F5" t="s">
        <v>91</v>
      </c>
      <c r="G5">
        <v>0.25</v>
      </c>
      <c r="I5" s="8" t="s">
        <v>91</v>
      </c>
      <c r="J5" s="8">
        <v>0.15</v>
      </c>
      <c r="L5" s="8" t="s">
        <v>91</v>
      </c>
      <c r="M5" s="8">
        <v>0.4</v>
      </c>
      <c r="R5" s="8"/>
    </row>
    <row r="6" spans="1:18" x14ac:dyDescent="0.3">
      <c r="A6" s="3">
        <v>-1.9731217849158302E-2</v>
      </c>
      <c r="B6" s="3">
        <v>1.4071249940775504E-2</v>
      </c>
      <c r="C6" s="3">
        <v>-5.1194021140718526E-2</v>
      </c>
      <c r="D6" s="3">
        <v>-5.3261132460436428E-2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3">
      <c r="A7" s="3">
        <v>1.1474152067549623E-2</v>
      </c>
      <c r="B7" s="3">
        <v>-4.8658665062180625E-2</v>
      </c>
      <c r="C7" s="3">
        <v>-2.4795527893544774E-2</v>
      </c>
      <c r="D7" s="3">
        <v>-5.5669704974191069E-2</v>
      </c>
      <c r="G7" t="s">
        <v>0</v>
      </c>
      <c r="H7" t="s">
        <v>3</v>
      </c>
      <c r="I7" t="s">
        <v>1</v>
      </c>
      <c r="J7" s="8" t="s">
        <v>2</v>
      </c>
      <c r="K7" s="8"/>
      <c r="N7" s="8"/>
      <c r="O7" s="8"/>
      <c r="R7" s="8"/>
    </row>
    <row r="8" spans="1:18" x14ac:dyDescent="0.3">
      <c r="A8" s="3">
        <v>-4.2185589514958224E-2</v>
      </c>
      <c r="B8" s="3">
        <v>-5.2595537853322605E-2</v>
      </c>
      <c r="C8" s="3">
        <v>3.5615485785103852E-2</v>
      </c>
      <c r="D8" s="3">
        <v>-8.4708900489425601E-2</v>
      </c>
      <c r="F8" t="s">
        <v>70</v>
      </c>
      <c r="G8" s="3">
        <f>AVERAGE(A2:A61)</f>
        <v>2.8000231709264184E-3</v>
      </c>
      <c r="H8" s="3">
        <f>AVERAGE(B2:B61)</f>
        <v>7.2355638248830676E-3</v>
      </c>
      <c r="I8" s="3">
        <f>AVERAGE(C2:C61)</f>
        <v>7.7566323693196377E-3</v>
      </c>
      <c r="J8" s="3">
        <f>AVERAGE(D2:D61)</f>
        <v>1.4287926153170576E-2</v>
      </c>
      <c r="K8" s="8"/>
      <c r="N8" s="8"/>
      <c r="O8" s="8"/>
      <c r="R8" s="8"/>
    </row>
    <row r="9" spans="1:18" x14ac:dyDescent="0.3">
      <c r="A9" s="3">
        <v>-6.3233500925201122E-2</v>
      </c>
      <c r="B9" s="3">
        <v>-0.17194945662412542</v>
      </c>
      <c r="C9" s="3">
        <v>-7.8517186620386432E-3</v>
      </c>
      <c r="D9" s="3">
        <v>-2.6056340004942669E-2</v>
      </c>
      <c r="H9" s="8"/>
      <c r="I9" s="8"/>
      <c r="J9" s="8"/>
      <c r="K9" s="8"/>
      <c r="N9" s="8"/>
      <c r="O9" s="8"/>
      <c r="R9" s="8"/>
    </row>
    <row r="10" spans="1:18" x14ac:dyDescent="0.3">
      <c r="A10" s="3">
        <v>0.13457186055604098</v>
      </c>
      <c r="B10" s="3">
        <v>0.20265183839262374</v>
      </c>
      <c r="C10" s="3">
        <v>2.1077805001860593E-2</v>
      </c>
      <c r="D10" s="3">
        <v>0.19741440081248929</v>
      </c>
      <c r="G10" s="8" t="s">
        <v>0</v>
      </c>
      <c r="H10" s="8" t="s">
        <v>3</v>
      </c>
      <c r="I10" s="8" t="s">
        <v>1</v>
      </c>
      <c r="J10" s="8" t="s">
        <v>2</v>
      </c>
    </row>
    <row r="11" spans="1:18" x14ac:dyDescent="0.3">
      <c r="A11" s="3">
        <v>-1.3490386745508601E-2</v>
      </c>
      <c r="B11" s="3">
        <v>1.3457348414610353E-3</v>
      </c>
      <c r="C11" s="3">
        <v>9.0639222808878688E-3</v>
      </c>
      <c r="D11" s="3">
        <v>-3.5989728064204023E-2</v>
      </c>
      <c r="F11" s="8" t="s">
        <v>0</v>
      </c>
      <c r="G11" s="8">
        <f>VAR(A6:A65)</f>
        <v>2.9014688518502574E-3</v>
      </c>
      <c r="H11">
        <f>_xlfn.COVARIANCE.S(B2:B61,A2:A61)</f>
        <v>2.8558391073299459E-3</v>
      </c>
      <c r="I11">
        <f>_xlfn.COVARIANCE.S(C2:C61,A2:A61)</f>
        <v>8.5065547606088089E-4</v>
      </c>
      <c r="J11">
        <f>_xlfn.COVARIANCE.S(D2:D61,A2:A61)</f>
        <v>1.671398731607212E-3</v>
      </c>
    </row>
    <row r="12" spans="1:18" x14ac:dyDescent="0.3">
      <c r="A12" s="3">
        <v>3.4818149666873348E-2</v>
      </c>
      <c r="B12" s="3">
        <v>-4.0653845317864014E-2</v>
      </c>
      <c r="C12" s="3">
        <v>3.3142326473426249E-2</v>
      </c>
      <c r="D12" s="3">
        <v>5.9761180430515363E-2</v>
      </c>
      <c r="F12" s="8" t="s">
        <v>3</v>
      </c>
      <c r="G12">
        <f>_xlfn.COVARIANCE.S($A$2:$A$61,B2:B61)</f>
        <v>2.8558391073299459E-3</v>
      </c>
      <c r="H12" s="8">
        <f>VAR(B2:B66)</f>
        <v>6.5699153054554872E-3</v>
      </c>
      <c r="I12">
        <f>_xlfn.COVARIANCE.S(C2:C61,B2:B61)</f>
        <v>6.9239732027915279E-4</v>
      </c>
      <c r="J12">
        <f>_xlfn.COVARIANCE.S(D2:D61,B2:B61)</f>
        <v>2.4000911371800768E-3</v>
      </c>
    </row>
    <row r="13" spans="1:18" x14ac:dyDescent="0.3">
      <c r="A13" s="3">
        <v>-3.0827029398886464E-2</v>
      </c>
      <c r="B13" s="3">
        <v>0.11162078145851709</v>
      </c>
      <c r="C13" s="3">
        <v>-4.7467050482621127E-2</v>
      </c>
      <c r="D13" s="3">
        <v>-1.4703411590465332E-2</v>
      </c>
      <c r="F13" s="8" t="s">
        <v>1</v>
      </c>
      <c r="G13">
        <f>_xlfn.COVARIANCE.S($A$2:$A$61,C2:C61)</f>
        <v>8.5065547606088089E-4</v>
      </c>
      <c r="H13">
        <f>_xlfn.COVARIANCE.S(B2:B61,C2:C61)</f>
        <v>6.9239732027915279E-4</v>
      </c>
      <c r="I13" s="8">
        <f>VAR(C2:C67)</f>
        <v>1.5740615873375545E-3</v>
      </c>
      <c r="J13">
        <f>_xlfn.COVARIANCE.S(D2:D61,C2:C61)</f>
        <v>8.5125956025417513E-4</v>
      </c>
    </row>
    <row r="14" spans="1:18" x14ac:dyDescent="0.3">
      <c r="A14" s="3">
        <v>6.6295195051048417E-2</v>
      </c>
      <c r="B14" s="3">
        <v>7.2880186522642871E-3</v>
      </c>
      <c r="C14" s="3">
        <v>7.265231531336673E-2</v>
      </c>
      <c r="D14" s="3">
        <v>-5.6603566771325003E-3</v>
      </c>
      <c r="F14" s="8" t="s">
        <v>2</v>
      </c>
      <c r="G14">
        <f>_xlfn.COVARIANCE.S($A$2:$A$61,D2:D61)</f>
        <v>1.671398731607212E-3</v>
      </c>
      <c r="H14">
        <f>_xlfn.COVARIANCE.S(B2:B61,D2:D61)</f>
        <v>2.4000911371800768E-3</v>
      </c>
      <c r="I14">
        <f>_xlfn.COVARIANCE.S(C2:C61,D2:D61)</f>
        <v>8.5125956025417513E-4</v>
      </c>
      <c r="J14" s="8">
        <f>VAR(D2:D68)</f>
        <v>2.8831235929232162E-3</v>
      </c>
    </row>
    <row r="15" spans="1:18" x14ac:dyDescent="0.3">
      <c r="A15" s="3">
        <v>-1.7503698456179467E-2</v>
      </c>
      <c r="B15" s="3">
        <v>4.0314754125419891E-2</v>
      </c>
      <c r="C15" s="3">
        <v>-6.0633530116471178E-3</v>
      </c>
      <c r="D15" s="3">
        <v>2.8617992280152358E-2</v>
      </c>
    </row>
    <row r="16" spans="1:18" x14ac:dyDescent="0.3">
      <c r="A16" s="3">
        <v>-6.0628240700548383E-3</v>
      </c>
      <c r="B16" s="3">
        <v>1.058594811736008E-2</v>
      </c>
      <c r="C16" s="3">
        <v>-4.5107418320031553E-2</v>
      </c>
      <c r="D16" s="3">
        <v>8.6486481027230416E-2</v>
      </c>
      <c r="E16" t="s">
        <v>124</v>
      </c>
      <c r="F16" s="13" t="s">
        <v>118</v>
      </c>
      <c r="G16" s="14">
        <v>0.25</v>
      </c>
      <c r="H16" s="14">
        <v>0.25</v>
      </c>
      <c r="I16" s="14">
        <v>0.25</v>
      </c>
      <c r="J16" s="14">
        <v>0.25</v>
      </c>
      <c r="K16" s="15">
        <f>SUM(G16:J16)</f>
        <v>1</v>
      </c>
      <c r="M16" cm="1">
        <f t="array" ref="M16:M19">MMULT(G11:J14,TRANSPOSE(G16:J16))</f>
        <v>2.0698405417120739E-3</v>
      </c>
    </row>
    <row r="17" spans="1:13" x14ac:dyDescent="0.3">
      <c r="A17" s="3">
        <v>-6.9117959540624385E-2</v>
      </c>
      <c r="B17" s="3">
        <v>-8.9744655645515356E-2</v>
      </c>
      <c r="C17" s="3">
        <v>-2.1213006931080039E-2</v>
      </c>
      <c r="D17" s="3">
        <v>-2.8451474544288573E-2</v>
      </c>
      <c r="M17">
        <v>3.1295607175611654E-3</v>
      </c>
    </row>
    <row r="18" spans="1:13" x14ac:dyDescent="0.3">
      <c r="A18" s="3">
        <v>7.3136087293335095E-2</v>
      </c>
      <c r="B18" s="3">
        <v>4.7865767548686752E-2</v>
      </c>
      <c r="C18" s="3">
        <v>-1.6696144630990062E-2</v>
      </c>
      <c r="D18" s="3">
        <v>2.9391596564565949E-2</v>
      </c>
      <c r="M18">
        <v>9.9209348598294084E-4</v>
      </c>
    </row>
    <row r="19" spans="1:13" x14ac:dyDescent="0.3">
      <c r="A19" s="3">
        <v>3.8672976233646468E-2</v>
      </c>
      <c r="B19" s="3">
        <v>-1.7203850446367307E-2</v>
      </c>
      <c r="C19" s="3">
        <v>6.2854759550930034E-2</v>
      </c>
      <c r="D19" s="3">
        <v>-1.8640330192089216E-2</v>
      </c>
      <c r="F19" t="s">
        <v>119</v>
      </c>
      <c r="H19">
        <f>SUMPRODUCT(G8:J8,G16:J16)</f>
        <v>8.0200363795749248E-3</v>
      </c>
      <c r="M19">
        <v>1.9514682554911701E-3</v>
      </c>
    </row>
    <row r="20" spans="1:13" x14ac:dyDescent="0.3">
      <c r="A20" s="3">
        <v>3.1738571035009509E-2</v>
      </c>
      <c r="B20" s="3">
        <v>9.5041628739650861E-3</v>
      </c>
      <c r="C20" s="3">
        <v>4.1059829957162196E-2</v>
      </c>
      <c r="D20" s="3">
        <v>3.3359865710228927E-2</v>
      </c>
      <c r="F20" t="s">
        <v>120</v>
      </c>
      <c r="H20" cm="1">
        <f t="array" ref="H20">MMULT(G16:J16,M16:M19)</f>
        <v>2.0357407501868374E-3</v>
      </c>
    </row>
    <row r="21" spans="1:13" x14ac:dyDescent="0.3">
      <c r="A21" s="3">
        <v>3.9229682063820159E-2</v>
      </c>
      <c r="B21" s="3">
        <v>1.045229458388295E-2</v>
      </c>
      <c r="C21" s="3">
        <v>3.2296454331986246E-2</v>
      </c>
      <c r="D21" s="3">
        <v>6.1941437303818098E-2</v>
      </c>
      <c r="F21" t="s">
        <v>121</v>
      </c>
      <c r="H21">
        <f>H20^0.5</f>
        <v>4.5119183837773899E-2</v>
      </c>
    </row>
    <row r="22" spans="1:13" x14ac:dyDescent="0.3">
      <c r="A22" s="3">
        <v>-5.4221012879416997E-2</v>
      </c>
      <c r="B22" s="3">
        <v>-0.11438237240743779</v>
      </c>
      <c r="C22" s="3">
        <v>6.4674576977433009E-3</v>
      </c>
      <c r="D22" s="3">
        <v>3.9261708891784985E-2</v>
      </c>
    </row>
    <row r="23" spans="1:13" x14ac:dyDescent="0.3">
      <c r="A23" s="3">
        <v>-3.3007040046887974E-2</v>
      </c>
      <c r="B23" s="3">
        <v>-2.1239077325662267E-2</v>
      </c>
      <c r="C23" s="3">
        <v>8.5211556388060314E-3</v>
      </c>
      <c r="D23" s="3">
        <v>-1.6916158460111282E-3</v>
      </c>
    </row>
    <row r="24" spans="1:13" x14ac:dyDescent="0.3">
      <c r="A24" s="3">
        <v>2.3180911187900326E-2</v>
      </c>
      <c r="B24" s="3">
        <v>4.2651767654515491E-2</v>
      </c>
      <c r="C24" s="3">
        <v>-2.778181950587448E-2</v>
      </c>
      <c r="D24" s="3">
        <v>2.0463654331473135E-2</v>
      </c>
      <c r="E24" t="s">
        <v>123</v>
      </c>
      <c r="F24" s="13" t="s">
        <v>118</v>
      </c>
      <c r="G24" s="14">
        <v>0.5</v>
      </c>
      <c r="H24" s="14">
        <v>0.2</v>
      </c>
      <c r="I24" s="14">
        <v>0.15</v>
      </c>
      <c r="J24" s="14">
        <v>0.15</v>
      </c>
      <c r="K24" s="15">
        <f>SUM(G24:J24)</f>
        <v>1</v>
      </c>
      <c r="L24" s="8"/>
      <c r="M24" s="8"/>
    </row>
    <row r="25" spans="1:13" x14ac:dyDescent="0.3">
      <c r="A25" s="3">
        <v>6.4823438687405407E-2</v>
      </c>
      <c r="B25" s="3">
        <v>5.4913347826393365E-2</v>
      </c>
      <c r="C25" s="3">
        <v>0.11606079307644183</v>
      </c>
      <c r="D25" s="3">
        <v>9.245335340837299E-2</v>
      </c>
      <c r="F25" s="8"/>
      <c r="G25" s="8"/>
      <c r="H25" s="8"/>
      <c r="I25" s="8"/>
      <c r="J25" s="8"/>
      <c r="K25" s="8"/>
      <c r="L25" s="8"/>
      <c r="M25" s="8" cm="1">
        <f t="array" ref="M25:M28">MMULT(G11:J14,TRANSPOSE(G24:J24))</f>
        <v>2.4002103785413318E-3</v>
      </c>
    </row>
    <row r="26" spans="1:13" x14ac:dyDescent="0.3">
      <c r="A26" s="3">
        <v>2.5289341602876988E-2</v>
      </c>
      <c r="B26" s="3">
        <v>1.8612557782245895E-2</v>
      </c>
      <c r="C26" s="3">
        <v>1.3570981438587591E-2</v>
      </c>
      <c r="D26" s="3">
        <v>2.4980852963096781E-2</v>
      </c>
      <c r="F26" s="8"/>
      <c r="G26" s="8"/>
      <c r="H26" s="8"/>
      <c r="I26" s="8"/>
      <c r="J26" s="8"/>
      <c r="K26" s="8"/>
      <c r="L26" s="8"/>
      <c r="M26" s="8">
        <v>3.2057758833749553E-3</v>
      </c>
    </row>
    <row r="27" spans="1:13" x14ac:dyDescent="0.3">
      <c r="A27" s="3">
        <v>1.425517510497739E-2</v>
      </c>
      <c r="B27" s="3">
        <v>2.630487821893911E-2</v>
      </c>
      <c r="C27" s="3">
        <v>1.1551634480789661E-2</v>
      </c>
      <c r="D27" s="3">
        <v>5.2824284917034781E-2</v>
      </c>
      <c r="F27" s="8" t="s">
        <v>119</v>
      </c>
      <c r="G27" s="8"/>
      <c r="H27" s="8">
        <f>SUMPRODUCT(G8:J8,G24:J24)</f>
        <v>6.1538081288133551E-3</v>
      </c>
      <c r="I27" s="8"/>
      <c r="J27" s="8"/>
      <c r="K27" s="8"/>
      <c r="L27" s="8"/>
      <c r="M27" s="8">
        <v>9.2760537422503049E-4</v>
      </c>
    </row>
    <row r="28" spans="1:13" x14ac:dyDescent="0.3">
      <c r="A28" s="3">
        <v>2.6847340722979125E-2</v>
      </c>
      <c r="B28" s="3">
        <v>0.10882820995651915</v>
      </c>
      <c r="C28" s="3">
        <v>3.5560601119170622E-3</v>
      </c>
      <c r="D28" s="3">
        <v>1.4491007607639687E-2</v>
      </c>
      <c r="F28" s="8" t="s">
        <v>120</v>
      </c>
      <c r="G28" s="8"/>
      <c r="H28" s="8" cm="1">
        <f t="array" ref="H28">MMULT(G24:J24,M25:M28)</f>
        <v>2.2617824320118459E-3</v>
      </c>
      <c r="I28" s="8"/>
      <c r="J28" s="8"/>
      <c r="K28" s="8"/>
      <c r="L28" s="8"/>
      <c r="M28" s="8">
        <v>1.8758750662162301E-3</v>
      </c>
    </row>
    <row r="29" spans="1:13" x14ac:dyDescent="0.3">
      <c r="A29" s="3">
        <v>1.4178509298996391E-2</v>
      </c>
      <c r="B29" s="3">
        <v>3.185440472984772E-2</v>
      </c>
      <c r="C29" s="3">
        <v>-1.3019795749692084E-4</v>
      </c>
      <c r="D29" s="3">
        <v>-1.9786990199168113E-2</v>
      </c>
      <c r="F29" s="8" t="s">
        <v>121</v>
      </c>
      <c r="G29" s="8"/>
      <c r="H29" s="8">
        <f>H28^0.5</f>
        <v>4.7558200470705851E-2</v>
      </c>
      <c r="I29" s="8"/>
      <c r="J29" s="8"/>
      <c r="K29" s="8"/>
      <c r="L29" s="8"/>
      <c r="M29" s="8"/>
    </row>
    <row r="30" spans="1:13" x14ac:dyDescent="0.3">
      <c r="A30" s="3">
        <v>-3.5926706599505004E-2</v>
      </c>
      <c r="B30" s="3">
        <v>-5.8971113580194953E-2</v>
      </c>
      <c r="C30" s="3">
        <v>2.9962327820123712E-3</v>
      </c>
      <c r="D30" s="3">
        <v>-3.9550094492446869E-2</v>
      </c>
    </row>
    <row r="31" spans="1:13" x14ac:dyDescent="0.3">
      <c r="A31" s="3">
        <v>6.3799225494080222E-2</v>
      </c>
      <c r="B31" s="3">
        <v>9.885706348640072E-2</v>
      </c>
      <c r="C31" s="3">
        <v>5.0805344375690453E-2</v>
      </c>
      <c r="D31" s="3">
        <v>4.542041171342355E-2</v>
      </c>
    </row>
    <row r="32" spans="1:13" x14ac:dyDescent="0.3">
      <c r="A32" s="3">
        <v>-3.5468423418048858E-2</v>
      </c>
      <c r="B32" s="3">
        <v>-1.1115926022912609E-2</v>
      </c>
      <c r="C32" s="3">
        <v>-3.0012488019210023E-2</v>
      </c>
      <c r="D32" s="3">
        <v>-4.3686374380709103E-2</v>
      </c>
      <c r="F32" s="13" t="s">
        <v>118</v>
      </c>
      <c r="G32" s="14">
        <v>0.1</v>
      </c>
      <c r="H32" s="14">
        <v>0.2</v>
      </c>
      <c r="I32" s="14">
        <v>0.3</v>
      </c>
      <c r="J32" s="14">
        <v>0.4</v>
      </c>
      <c r="K32" s="15">
        <f>SUM(G32:J32)</f>
        <v>1</v>
      </c>
    </row>
    <row r="33" spans="1:13" x14ac:dyDescent="0.3">
      <c r="A33" s="3">
        <v>8.8847902274849389E-3</v>
      </c>
      <c r="B33" s="3">
        <v>3.4263572704081299E-2</v>
      </c>
      <c r="C33" s="3">
        <v>-2.952890212281245E-2</v>
      </c>
      <c r="D33" s="3">
        <v>6.7568851773334188E-2</v>
      </c>
      <c r="F33" s="8"/>
      <c r="G33" s="8"/>
      <c r="H33" s="8"/>
      <c r="I33" s="8"/>
      <c r="J33" s="8"/>
      <c r="K33" s="8"/>
      <c r="M33" cm="1">
        <f t="array" ref="M33:M36">MMULT(G11:J14,TRANSPOSE(G32:J32))</f>
        <v>1.785070842112164E-3</v>
      </c>
    </row>
    <row r="34" spans="1:13" x14ac:dyDescent="0.3">
      <c r="A34" s="3">
        <v>-1.2674875987127465E-2</v>
      </c>
      <c r="B34" s="3">
        <v>4.5081956434549868E-2</v>
      </c>
      <c r="C34" s="3">
        <v>7.6615101662203908E-2</v>
      </c>
      <c r="D34" s="3">
        <v>1.8048927736389751E-2</v>
      </c>
      <c r="F34" s="8"/>
      <c r="G34" s="8"/>
      <c r="H34" s="8"/>
      <c r="I34" s="8"/>
      <c r="J34" s="8"/>
      <c r="K34" s="8"/>
      <c r="M34">
        <v>2.7673226227798689E-3</v>
      </c>
    </row>
    <row r="35" spans="1:13" x14ac:dyDescent="0.3">
      <c r="A35" s="3">
        <v>2.9244212287397424E-2</v>
      </c>
      <c r="B35" s="3">
        <v>1.026786488307309E-2</v>
      </c>
      <c r="C35" s="3">
        <v>4.2972210394715639E-2</v>
      </c>
      <c r="D35" s="3">
        <v>5.1448330704301895E-2</v>
      </c>
      <c r="E35" t="s">
        <v>122</v>
      </c>
      <c r="F35" s="8" t="s">
        <v>119</v>
      </c>
      <c r="G35" s="8"/>
      <c r="H35" s="8">
        <f>SUMPRODUCT(G8:J8,G32:J32)</f>
        <v>9.7692752541333767E-3</v>
      </c>
      <c r="I35" s="8"/>
      <c r="J35" s="8"/>
      <c r="K35" s="8"/>
      <c r="M35">
        <v>1.036267311964855E-3</v>
      </c>
    </row>
    <row r="36" spans="1:13" x14ac:dyDescent="0.3">
      <c r="A36" s="3">
        <v>2.0173154096681929E-2</v>
      </c>
      <c r="B36" s="3">
        <v>5.8488104261224028E-2</v>
      </c>
      <c r="C36" s="3">
        <v>-3.3364975099315242E-2</v>
      </c>
      <c r="D36" s="3">
        <v>3.5028664339896267E-3</v>
      </c>
      <c r="F36" s="8" t="s">
        <v>120</v>
      </c>
      <c r="G36" s="8"/>
      <c r="H36" s="8" cm="1">
        <f t="array" ref="H36">MMULT(G32:J32,M33:M36)</f>
        <v>1.865165964693557E-3</v>
      </c>
      <c r="I36" s="8"/>
      <c r="J36" s="8"/>
      <c r="K36" s="8"/>
      <c r="M36">
        <v>2.0557854058422757E-3</v>
      </c>
    </row>
    <row r="37" spans="1:13" x14ac:dyDescent="0.3">
      <c r="A37" s="3">
        <v>-0.10631663605181091</v>
      </c>
      <c r="B37" s="3">
        <v>-6.0951211749586218E-2</v>
      </c>
      <c r="C37" s="3">
        <v>-5.1718238691721451E-2</v>
      </c>
      <c r="D37" s="3">
        <v>-0.10227528272701565</v>
      </c>
      <c r="F37" s="8" t="s">
        <v>121</v>
      </c>
      <c r="G37" s="8"/>
      <c r="H37" s="8">
        <f>H36^0.5</f>
        <v>4.3187567246761621E-2</v>
      </c>
      <c r="I37" s="8"/>
      <c r="J37" s="8"/>
      <c r="K37" s="8"/>
    </row>
    <row r="38" spans="1:13" x14ac:dyDescent="0.3">
      <c r="A38" s="3">
        <v>4.2322275113417754E-2</v>
      </c>
      <c r="B38" s="3">
        <v>9.9649191691065786E-2</v>
      </c>
      <c r="C38" s="3">
        <v>2.662498726405527E-2</v>
      </c>
      <c r="D38" s="3">
        <v>3.1496070275046036E-2</v>
      </c>
    </row>
    <row r="39" spans="1:13" x14ac:dyDescent="0.3">
      <c r="A39" s="3">
        <v>3.1041318668548496E-2</v>
      </c>
      <c r="B39" s="3">
        <v>7.2049469122668743E-3</v>
      </c>
      <c r="C39" s="3">
        <v>2.4663009377819796E-2</v>
      </c>
      <c r="D39" s="3">
        <v>2.1079824310654017E-2</v>
      </c>
      <c r="E39" t="s">
        <v>114</v>
      </c>
      <c r="F39" s="21" t="s">
        <v>125</v>
      </c>
      <c r="G39" s="21"/>
      <c r="H39" s="21"/>
      <c r="I39" s="21"/>
      <c r="J39" s="21"/>
      <c r="K39" s="21"/>
      <c r="L39" s="21"/>
      <c r="M39" s="21"/>
    </row>
    <row r="40" spans="1:13" x14ac:dyDescent="0.3">
      <c r="A40" s="3">
        <v>5.5588252309170874E-2</v>
      </c>
      <c r="B40" s="3">
        <v>3.2787654918445728E-3</v>
      </c>
      <c r="C40" s="3">
        <v>3.2376328635162634E-2</v>
      </c>
      <c r="D40" s="3">
        <v>6.4394902324409323E-2</v>
      </c>
      <c r="F40" s="21"/>
      <c r="G40" s="21"/>
      <c r="H40" s="21"/>
      <c r="I40" s="21"/>
      <c r="J40" s="21"/>
      <c r="K40" s="21"/>
      <c r="L40" s="21"/>
      <c r="M40" s="21"/>
    </row>
    <row r="41" spans="1:13" x14ac:dyDescent="0.3">
      <c r="A41" s="3">
        <v>-1.3399080406442474E-2</v>
      </c>
      <c r="B41" s="3">
        <v>3.6399638170489398E-2</v>
      </c>
      <c r="C41" s="3">
        <v>-2.1320417205048431E-2</v>
      </c>
      <c r="D41" s="3">
        <v>3.1684619071229929E-2</v>
      </c>
      <c r="F41" s="21"/>
      <c r="G41" s="21"/>
      <c r="H41" s="21"/>
      <c r="I41" s="21"/>
      <c r="J41" s="21"/>
      <c r="K41" s="21"/>
      <c r="L41" s="21"/>
      <c r="M41" s="21"/>
    </row>
    <row r="42" spans="1:13" x14ac:dyDescent="0.3">
      <c r="A42" s="3">
        <v>6.3197378038020544E-2</v>
      </c>
      <c r="B42" s="3">
        <v>-5.5836001101209218E-2</v>
      </c>
      <c r="C42" s="3">
        <v>-2.7231202250285982E-2</v>
      </c>
      <c r="D42" s="3">
        <v>1.2498298927841937E-2</v>
      </c>
      <c r="F42" s="21"/>
      <c r="G42" s="21"/>
      <c r="H42" s="21"/>
      <c r="I42" s="21"/>
      <c r="J42" s="21"/>
      <c r="K42" s="21"/>
      <c r="L42" s="21"/>
      <c r="M42" s="21"/>
    </row>
    <row r="43" spans="1:13" x14ac:dyDescent="0.3">
      <c r="A43" s="3">
        <v>-1.0034456067887939E-2</v>
      </c>
      <c r="B43" s="3">
        <v>-1.7267769252961432E-2</v>
      </c>
      <c r="C43" s="3">
        <v>-8.3003626474559573E-3</v>
      </c>
      <c r="D43" s="3">
        <v>-4.7943079256701132E-2</v>
      </c>
      <c r="F43" s="21"/>
      <c r="G43" s="21"/>
      <c r="H43" s="21"/>
      <c r="I43" s="21"/>
      <c r="J43" s="21"/>
      <c r="K43" s="21"/>
      <c r="L43" s="21"/>
      <c r="M43" s="21"/>
    </row>
    <row r="44" spans="1:13" x14ac:dyDescent="0.3">
      <c r="A44" s="3">
        <v>1.0138096406457233E-2</v>
      </c>
      <c r="B44" s="3">
        <v>3.5420227341485304E-2</v>
      </c>
      <c r="C44" s="3">
        <v>7.4883647578106963E-2</v>
      </c>
      <c r="D44" s="3">
        <v>5.7503387153885768E-2</v>
      </c>
    </row>
    <row r="45" spans="1:13" x14ac:dyDescent="0.3">
      <c r="A45" s="3">
        <v>-7.8254093105722636E-2</v>
      </c>
      <c r="B45" s="3">
        <v>8.5463515639815871E-2</v>
      </c>
      <c r="C45" s="3">
        <v>7.5802939353574513E-3</v>
      </c>
      <c r="D45" s="3">
        <v>-2.3054261550120962E-3</v>
      </c>
    </row>
    <row r="46" spans="1:13" x14ac:dyDescent="0.3">
      <c r="A46" s="3">
        <v>5.2798938434406488E-3</v>
      </c>
      <c r="B46" s="3">
        <v>-3.637116623940246E-2</v>
      </c>
      <c r="C46" s="3">
        <v>5.0147380597274152E-2</v>
      </c>
      <c r="D46" s="3">
        <v>7.3025296962863653E-2</v>
      </c>
    </row>
    <row r="47" spans="1:13" x14ac:dyDescent="0.3">
      <c r="A47" s="3">
        <v>-8.3954720002079652E-2</v>
      </c>
      <c r="B47" s="3">
        <v>3.943711887102528E-2</v>
      </c>
      <c r="C47" s="3">
        <v>3.620949733407576E-2</v>
      </c>
      <c r="D47" s="3">
        <v>3.6210257397062427E-2</v>
      </c>
    </row>
    <row r="48" spans="1:13" x14ac:dyDescent="0.3">
      <c r="A48" s="3">
        <v>3.0403212557450144E-2</v>
      </c>
      <c r="B48" s="3">
        <v>3.557430372549996E-2</v>
      </c>
      <c r="C48" s="3">
        <v>7.2983962203734499E-3</v>
      </c>
      <c r="D48" s="3">
        <v>1.8729591575170904E-2</v>
      </c>
    </row>
    <row r="49" spans="1:4" x14ac:dyDescent="0.3">
      <c r="A49" s="3">
        <v>-8.6022501475290905E-2</v>
      </c>
      <c r="B49" s="3">
        <v>-3.6921819605209592E-2</v>
      </c>
      <c r="C49" s="3">
        <v>-6.8069982172902402E-2</v>
      </c>
      <c r="D49" s="3">
        <v>-2.8625360076054304E-2</v>
      </c>
    </row>
    <row r="50" spans="1:4" x14ac:dyDescent="0.3">
      <c r="A50" s="3">
        <v>5.0698296004952119E-2</v>
      </c>
      <c r="B50" s="3">
        <v>0.10004997223542855</v>
      </c>
      <c r="C50" s="3">
        <v>9.965578631666595E-3</v>
      </c>
      <c r="D50" s="3">
        <v>4.4932882232821623E-2</v>
      </c>
    </row>
    <row r="51" spans="1:4" x14ac:dyDescent="0.3">
      <c r="A51" s="3">
        <v>-1.5935482414058316E-2</v>
      </c>
      <c r="B51" s="3">
        <v>-8.1952413010135117E-2</v>
      </c>
      <c r="C51" s="3">
        <v>-3.7472011643582548E-2</v>
      </c>
      <c r="D51" s="3">
        <v>1.159287373370514E-2</v>
      </c>
    </row>
    <row r="52" spans="1:4" x14ac:dyDescent="0.3">
      <c r="A52" s="3">
        <v>5.7915757648470526E-2</v>
      </c>
      <c r="B52" s="3">
        <v>2.4205746725578507E-2</v>
      </c>
      <c r="C52" s="3">
        <v>-2.1850971474935151E-2</v>
      </c>
      <c r="D52" s="3">
        <v>-6.4921771996772862E-2</v>
      </c>
    </row>
    <row r="53" spans="1:4" x14ac:dyDescent="0.3">
      <c r="A53" s="3">
        <v>-6.333194214565778E-2</v>
      </c>
      <c r="B53" s="3">
        <v>-2.3525485490955428E-2</v>
      </c>
      <c r="C53" s="3">
        <v>-1.4086282432053726E-2</v>
      </c>
      <c r="D53" s="3">
        <v>9.8911105128543026E-5</v>
      </c>
    </row>
    <row r="54" spans="1:4" x14ac:dyDescent="0.3">
      <c r="A54" s="3">
        <v>-6.3397995766885401E-2</v>
      </c>
      <c r="B54" s="3">
        <v>-9.9422619211907204E-2</v>
      </c>
      <c r="C54" s="3">
        <v>-1.9135422098928087E-3</v>
      </c>
      <c r="D54" s="3">
        <v>-3.8198250669490598E-2</v>
      </c>
    </row>
    <row r="55" spans="1:4" x14ac:dyDescent="0.3">
      <c r="A55" s="3">
        <v>-8.2823632822523752E-2</v>
      </c>
      <c r="B55" s="3">
        <v>-8.1856410014988723E-2</v>
      </c>
      <c r="C55" s="3">
        <v>-1.165566682734122E-2</v>
      </c>
      <c r="D55" s="3">
        <v>9.7868833999868857E-2</v>
      </c>
    </row>
    <row r="56" spans="1:4" x14ac:dyDescent="0.3">
      <c r="A56" s="3">
        <v>-7.3118591499437544E-2</v>
      </c>
      <c r="B56" s="3">
        <v>-6.977805864636058E-2</v>
      </c>
      <c r="C56" s="3">
        <v>-7.8618014187928617E-2</v>
      </c>
      <c r="D56" s="3">
        <v>-6.191106632210773E-2</v>
      </c>
    </row>
    <row r="57" spans="1:4" x14ac:dyDescent="0.3">
      <c r="A57" s="3">
        <v>-2.6052546230506266E-2</v>
      </c>
      <c r="B57" s="3">
        <v>-6.40776437212143E-2</v>
      </c>
      <c r="C57" s="3">
        <v>1.7970929671432549E-2</v>
      </c>
      <c r="D57" s="3">
        <v>6.0767417621588752E-3</v>
      </c>
    </row>
    <row r="58" spans="1:4" x14ac:dyDescent="0.3">
      <c r="A58" s="3">
        <v>0.1521298202678294</v>
      </c>
      <c r="B58" s="3">
        <v>0.31535274249937811</v>
      </c>
      <c r="C58" s="3">
        <v>7.1260602895827738E-2</v>
      </c>
      <c r="D58" s="3">
        <v>0.13423089338709032</v>
      </c>
    </row>
    <row r="59" spans="1:4" x14ac:dyDescent="0.3">
      <c r="A59" s="3">
        <v>1.7113884527286197E-2</v>
      </c>
      <c r="B59" s="3">
        <v>6.8224393292590321E-2</v>
      </c>
      <c r="C59" s="3">
        <v>-2.0162362480475461E-2</v>
      </c>
      <c r="D59" s="3">
        <v>1.4881759790924279E-2</v>
      </c>
    </row>
    <row r="60" spans="1:4" x14ac:dyDescent="0.3">
      <c r="A60" s="3">
        <v>-1.4892695288391303E-2</v>
      </c>
      <c r="B60" s="3">
        <v>-1.0988916654449026E-2</v>
      </c>
      <c r="C60" s="3">
        <v>6.1063669903044397E-2</v>
      </c>
      <c r="D60" s="3">
        <v>-9.6068264636541851E-3</v>
      </c>
    </row>
    <row r="61" spans="1:4" x14ac:dyDescent="0.3">
      <c r="A61" s="3">
        <v>-3.8794948426819353E-2</v>
      </c>
      <c r="B61" s="3">
        <v>-0.20780784340485392</v>
      </c>
      <c r="C61" s="3">
        <v>3.7677965246902798E-2</v>
      </c>
      <c r="D61" s="3">
        <v>-5.1568288635393769E-2</v>
      </c>
    </row>
  </sheetData>
  <mergeCells count="1">
    <mergeCell ref="F39:M43"/>
  </mergeCells>
  <printOptions headings="1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DFFB-359C-4D35-A536-CC8F99F6C9FE}">
  <dimension ref="A9:M23"/>
  <sheetViews>
    <sheetView workbookViewId="0">
      <selection activeCell="K25" sqref="K25"/>
    </sheetView>
  </sheetViews>
  <sheetFormatPr defaultRowHeight="14.4" x14ac:dyDescent="0.3"/>
  <cols>
    <col min="2" max="2" width="12.88671875" bestFit="1" customWidth="1"/>
    <col min="3" max="3" width="13.5546875" customWidth="1"/>
    <col min="4" max="4" width="13.44140625" customWidth="1"/>
    <col min="5" max="5" width="15.5546875" customWidth="1"/>
    <col min="6" max="6" width="15.6640625" customWidth="1"/>
  </cols>
  <sheetData>
    <row r="9" spans="1:13" ht="23.4" x14ac:dyDescent="0.4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23.4" x14ac:dyDescent="0.45">
      <c r="A10" t="s">
        <v>94</v>
      </c>
      <c r="B10" s="4">
        <f>FACT(10)*(0.3^3)*(0.7^7)/(FACT(3)*(FACT(7)))</f>
        <v>0.26682793199999988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23.4" x14ac:dyDescent="0.45">
      <c r="A11" t="s">
        <v>92</v>
      </c>
      <c r="B11" s="4">
        <f>FACT(10)*(0.3^5)*(0.7^5)/(FACT(5)*(FACT(5)))</f>
        <v>0.10291934519999997</v>
      </c>
      <c r="C11" s="4"/>
      <c r="D11" s="4" t="s">
        <v>61</v>
      </c>
      <c r="E11" s="4" t="s">
        <v>95</v>
      </c>
      <c r="F11" s="4" t="s">
        <v>96</v>
      </c>
      <c r="G11" s="4"/>
      <c r="H11" s="4"/>
      <c r="I11" s="4"/>
      <c r="J11" s="4"/>
      <c r="K11" s="4"/>
      <c r="L11" s="4"/>
      <c r="M11" s="4"/>
    </row>
    <row r="12" spans="1:13" ht="23.4" x14ac:dyDescent="0.45">
      <c r="A12" t="s">
        <v>93</v>
      </c>
      <c r="B12" s="4">
        <f>FACT(10)*(0.3^8)*(0.7^2)/(FACT(8)*(FACT(2)))</f>
        <v>1.4467004999999997E-3</v>
      </c>
      <c r="C12" s="4"/>
      <c r="D12" s="4">
        <v>0</v>
      </c>
      <c r="E12" s="4">
        <f>BINOMDIST(D12,10,0.3,FALSE)</f>
        <v>2.8247524899999994E-2</v>
      </c>
      <c r="F12" s="4">
        <f>_xlfn.BINOM.DIST(D12,10,0.3,TRUE)</f>
        <v>2.8247524899999994E-2</v>
      </c>
      <c r="G12" s="4"/>
      <c r="H12" s="4"/>
      <c r="I12" s="4"/>
      <c r="J12" s="4"/>
      <c r="K12" s="4"/>
      <c r="L12" s="4"/>
      <c r="M12" s="4"/>
    </row>
    <row r="13" spans="1:13" ht="23.4" x14ac:dyDescent="0.45">
      <c r="B13" s="4"/>
      <c r="C13" s="4"/>
      <c r="D13" s="4">
        <v>1</v>
      </c>
      <c r="E13" s="4">
        <f t="shared" ref="E13:E22" si="0">BINOMDIST(D13,10,0.3,FALSE)</f>
        <v>0.12106082100000001</v>
      </c>
      <c r="F13" s="4">
        <f t="shared" ref="F13:F22" si="1">_xlfn.BINOM.DIST(D13,10,0.3,TRUE)</f>
        <v>0.1493083459</v>
      </c>
      <c r="G13" s="4"/>
      <c r="H13" s="4"/>
      <c r="I13" s="4"/>
      <c r="J13" s="4"/>
      <c r="K13" s="4"/>
      <c r="L13" s="4"/>
      <c r="M13" s="4"/>
    </row>
    <row r="14" spans="1:13" ht="23.4" x14ac:dyDescent="0.45">
      <c r="B14" s="4"/>
      <c r="C14" s="4"/>
      <c r="D14" s="4">
        <v>2</v>
      </c>
      <c r="E14" s="4">
        <f t="shared" si="0"/>
        <v>0.23347444050000005</v>
      </c>
      <c r="F14" s="4">
        <f t="shared" si="1"/>
        <v>0.3827827863999998</v>
      </c>
      <c r="G14" s="4"/>
      <c r="H14" s="4"/>
      <c r="I14" s="4"/>
      <c r="J14" s="4"/>
      <c r="K14" s="4"/>
      <c r="L14" s="4"/>
      <c r="M14" s="4"/>
    </row>
    <row r="15" spans="1:13" ht="23.4" x14ac:dyDescent="0.45">
      <c r="D15" s="4">
        <v>3</v>
      </c>
      <c r="E15" s="4">
        <f t="shared" si="0"/>
        <v>0.26682793200000005</v>
      </c>
      <c r="F15" s="4">
        <f t="shared" si="1"/>
        <v>0.64961071839999995</v>
      </c>
    </row>
    <row r="16" spans="1:13" ht="23.4" x14ac:dyDescent="0.45">
      <c r="D16" s="4">
        <v>4</v>
      </c>
      <c r="E16" s="4">
        <f t="shared" si="0"/>
        <v>0.20012094900000005</v>
      </c>
      <c r="F16" s="4">
        <f t="shared" si="1"/>
        <v>0.84973166739999995</v>
      </c>
    </row>
    <row r="17" spans="4:6" ht="23.4" x14ac:dyDescent="0.45">
      <c r="D17" s="4">
        <v>5</v>
      </c>
      <c r="E17" s="4">
        <f t="shared" si="0"/>
        <v>0.10291934520000003</v>
      </c>
      <c r="F17" s="4">
        <f t="shared" si="1"/>
        <v>0.95265101260000007</v>
      </c>
    </row>
    <row r="18" spans="4:6" ht="23.4" x14ac:dyDescent="0.45">
      <c r="D18" s="4">
        <v>6</v>
      </c>
      <c r="E18" s="4">
        <f t="shared" si="0"/>
        <v>3.6756909000000039E-2</v>
      </c>
      <c r="F18" s="4">
        <f t="shared" si="1"/>
        <v>0.98940792160000002</v>
      </c>
    </row>
    <row r="19" spans="4:6" ht="23.4" x14ac:dyDescent="0.45">
      <c r="D19" s="4">
        <v>7</v>
      </c>
      <c r="E19" s="4">
        <f t="shared" si="0"/>
        <v>9.0016919999999986E-3</v>
      </c>
      <c r="F19" s="4">
        <f t="shared" si="1"/>
        <v>0.99840961360000002</v>
      </c>
    </row>
    <row r="20" spans="4:6" ht="23.4" x14ac:dyDescent="0.45">
      <c r="D20" s="4">
        <v>8</v>
      </c>
      <c r="E20" s="4">
        <f t="shared" si="0"/>
        <v>1.446700500000001E-3</v>
      </c>
      <c r="F20" s="4">
        <f t="shared" si="1"/>
        <v>0.99985631409999998</v>
      </c>
    </row>
    <row r="21" spans="4:6" ht="23.4" x14ac:dyDescent="0.45">
      <c r="D21" s="4">
        <v>9</v>
      </c>
      <c r="E21" s="4">
        <f t="shared" si="0"/>
        <v>1.3778099999999991E-4</v>
      </c>
      <c r="F21" s="4">
        <f t="shared" si="1"/>
        <v>0.99999409509999992</v>
      </c>
    </row>
    <row r="22" spans="4:6" ht="23.4" x14ac:dyDescent="0.45">
      <c r="D22" s="4">
        <v>10</v>
      </c>
      <c r="E22" s="4">
        <f t="shared" si="0"/>
        <v>5.9048999999999949E-6</v>
      </c>
      <c r="F22" s="4">
        <f t="shared" si="1"/>
        <v>1</v>
      </c>
    </row>
    <row r="23" spans="4:6" ht="23.4" x14ac:dyDescent="0.45">
      <c r="D23" s="4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BE22-524C-42B1-A845-E67B3567ED98}">
  <dimension ref="A3:N24"/>
  <sheetViews>
    <sheetView workbookViewId="0">
      <selection activeCell="L26" sqref="L26"/>
    </sheetView>
  </sheetViews>
  <sheetFormatPr defaultRowHeight="14.4" x14ac:dyDescent="0.3"/>
  <cols>
    <col min="5" max="5" width="13.88671875" customWidth="1"/>
    <col min="12" max="12" width="13.44140625" customWidth="1"/>
    <col min="13" max="13" width="15.5546875" style="12" customWidth="1"/>
  </cols>
  <sheetData>
    <row r="3" spans="11:14" ht="23.4" x14ac:dyDescent="0.45">
      <c r="K3" t="s">
        <v>61</v>
      </c>
      <c r="L3" t="s">
        <v>95</v>
      </c>
      <c r="M3" s="12" t="s">
        <v>98</v>
      </c>
      <c r="N3" s="4"/>
    </row>
    <row r="4" spans="11:14" ht="23.4" x14ac:dyDescent="0.45">
      <c r="K4">
        <v>0</v>
      </c>
      <c r="L4">
        <f>_xlfn.BINOM.DIST(K4,10,0.29,FALSE)</f>
        <v>3.2552435510098829E-2</v>
      </c>
      <c r="M4" s="12">
        <f>_xlfn.BINOM.DIST(K4,10,0.29,TRUE)</f>
        <v>3.2552435510098829E-2</v>
      </c>
      <c r="N4" s="4"/>
    </row>
    <row r="5" spans="11:14" ht="23.4" x14ac:dyDescent="0.45">
      <c r="K5">
        <v>1</v>
      </c>
      <c r="L5" s="8">
        <f t="shared" ref="L5:L14" si="0">_xlfn.BINOM.DIST(K5,10,0.29,FALSE)</f>
        <v>0.13296065208350216</v>
      </c>
      <c r="M5" s="12">
        <f t="shared" ref="M5:M14" si="1">_xlfn.BINOM.DIST(K5,10,0.29,TRUE)</f>
        <v>0.16551308759360103</v>
      </c>
      <c r="N5" s="4"/>
    </row>
    <row r="6" spans="11:14" x14ac:dyDescent="0.3">
      <c r="K6" s="8">
        <v>2</v>
      </c>
      <c r="L6" s="8">
        <f t="shared" si="0"/>
        <v>0.24438542389995832</v>
      </c>
      <c r="M6" s="12">
        <f t="shared" si="1"/>
        <v>0.4098985114935591</v>
      </c>
    </row>
    <row r="7" spans="11:14" x14ac:dyDescent="0.3">
      <c r="K7" s="8">
        <v>3</v>
      </c>
      <c r="L7" s="8">
        <f t="shared" si="0"/>
        <v>0.26618506265159775</v>
      </c>
      <c r="M7" s="12">
        <f t="shared" si="1"/>
        <v>0.67608357414515696</v>
      </c>
    </row>
    <row r="8" spans="11:14" x14ac:dyDescent="0.3">
      <c r="K8" s="8">
        <v>4</v>
      </c>
      <c r="L8" s="8">
        <f t="shared" si="0"/>
        <v>0.1902660835150505</v>
      </c>
      <c r="M8" s="12">
        <f t="shared" si="1"/>
        <v>0.86634965766020744</v>
      </c>
    </row>
    <row r="9" spans="11:14" x14ac:dyDescent="0.3">
      <c r="K9" s="8">
        <v>5</v>
      </c>
      <c r="L9" s="8">
        <f t="shared" si="0"/>
        <v>9.3257178962306425E-2</v>
      </c>
      <c r="M9" s="12">
        <f t="shared" si="1"/>
        <v>0.95960683662251389</v>
      </c>
    </row>
    <row r="10" spans="11:14" x14ac:dyDescent="0.3">
      <c r="K10" s="8">
        <v>6</v>
      </c>
      <c r="L10" s="8">
        <f t="shared" si="0"/>
        <v>3.1742467017686481E-2</v>
      </c>
      <c r="M10" s="12">
        <f t="shared" si="1"/>
        <v>0.99134930364020035</v>
      </c>
    </row>
    <row r="11" spans="11:14" x14ac:dyDescent="0.3">
      <c r="K11" s="8">
        <v>7</v>
      </c>
      <c r="L11" s="8">
        <f t="shared" si="0"/>
        <v>7.4087045755565923E-3</v>
      </c>
      <c r="M11" s="12">
        <f t="shared" si="1"/>
        <v>0.998758008215757</v>
      </c>
    </row>
    <row r="12" spans="11:14" x14ac:dyDescent="0.3">
      <c r="K12" s="8">
        <v>8</v>
      </c>
      <c r="L12" s="8">
        <f t="shared" si="0"/>
        <v>1.1347839754813798E-3</v>
      </c>
      <c r="M12" s="12">
        <f t="shared" si="1"/>
        <v>0.99989279219123839</v>
      </c>
    </row>
    <row r="13" spans="11:14" x14ac:dyDescent="0.3">
      <c r="K13" s="8">
        <v>9</v>
      </c>
      <c r="L13" s="8">
        <f t="shared" si="0"/>
        <v>1.0300073642867001E-4</v>
      </c>
      <c r="M13" s="12">
        <f t="shared" si="1"/>
        <v>0.99999579292766705</v>
      </c>
    </row>
    <row r="14" spans="11:14" x14ac:dyDescent="0.3">
      <c r="K14" s="8">
        <v>10</v>
      </c>
      <c r="L14" s="8">
        <f t="shared" si="0"/>
        <v>4.2070723330020077E-6</v>
      </c>
      <c r="M14" s="12">
        <f t="shared" si="1"/>
        <v>1</v>
      </c>
    </row>
    <row r="20" spans="1:10" x14ac:dyDescent="0.3">
      <c r="D20" t="s">
        <v>4</v>
      </c>
    </row>
    <row r="21" spans="1:10" ht="23.4" x14ac:dyDescent="0.45">
      <c r="A21" t="s">
        <v>115</v>
      </c>
      <c r="B21" t="s">
        <v>97</v>
      </c>
      <c r="C21" s="4"/>
      <c r="D21" s="4"/>
      <c r="E21" s="4"/>
      <c r="F21" s="4"/>
      <c r="G21" s="4"/>
      <c r="H21" s="4"/>
      <c r="I21" s="4"/>
      <c r="J21" s="4"/>
    </row>
    <row r="22" spans="1:10" ht="23.4" x14ac:dyDescent="0.45">
      <c r="A22" t="s">
        <v>99</v>
      </c>
      <c r="B22">
        <f>M7</f>
        <v>0.67608357414515696</v>
      </c>
      <c r="E22" s="4"/>
      <c r="F22" s="4"/>
      <c r="G22" s="4"/>
      <c r="H22" s="4"/>
      <c r="I22" s="4"/>
      <c r="J22" s="4"/>
    </row>
    <row r="23" spans="1:10" ht="23.4" x14ac:dyDescent="0.45">
      <c r="A23" t="s">
        <v>100</v>
      </c>
      <c r="B23">
        <f>M4</f>
        <v>3.2552435510098829E-2</v>
      </c>
      <c r="E23" s="4"/>
      <c r="F23" s="4"/>
      <c r="G23" s="4"/>
      <c r="H23" s="4"/>
      <c r="I23" s="4"/>
      <c r="J23" s="4"/>
    </row>
    <row r="24" spans="1:10" ht="23.4" x14ac:dyDescent="0.45">
      <c r="A24" t="s">
        <v>101</v>
      </c>
      <c r="B24">
        <f>10*0.29</f>
        <v>2.9</v>
      </c>
      <c r="E24" s="4"/>
      <c r="F24" s="4"/>
      <c r="G24" s="4"/>
      <c r="H24" s="4"/>
      <c r="I24" s="4"/>
      <c r="J24" s="4"/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C833-C1D6-4966-9135-B831FDC60CDF}">
  <dimension ref="A2:N40"/>
  <sheetViews>
    <sheetView topLeftCell="A10" workbookViewId="0">
      <selection activeCell="A41" sqref="A41"/>
    </sheetView>
  </sheetViews>
  <sheetFormatPr defaultRowHeight="14.4" x14ac:dyDescent="0.3"/>
  <cols>
    <col min="2" max="2" width="11.6640625" customWidth="1"/>
    <col min="3" max="3" width="12.21875" customWidth="1"/>
    <col min="4" max="4" width="12" bestFit="1" customWidth="1"/>
    <col min="5" max="5" width="10.5546875" customWidth="1"/>
  </cols>
  <sheetData>
    <row r="2" spans="1:14" ht="23.4" x14ac:dyDescent="0.45">
      <c r="K2" t="s">
        <v>82</v>
      </c>
      <c r="L2" s="4" t="s">
        <v>103</v>
      </c>
      <c r="M2" s="4" t="s">
        <v>104</v>
      </c>
      <c r="N2" s="4"/>
    </row>
    <row r="3" spans="1:14" x14ac:dyDescent="0.3">
      <c r="K3">
        <v>0</v>
      </c>
      <c r="L3">
        <f>_xlfn.POISSON.DIST(K3,2,FALSE)</f>
        <v>0.1353352832366127</v>
      </c>
      <c r="M3" s="8">
        <f>_xlfn.POISSON.DIST(K3,2,TRUE)</f>
        <v>0.1353352832366127</v>
      </c>
    </row>
    <row r="4" spans="1:14" x14ac:dyDescent="0.3">
      <c r="K4">
        <v>1</v>
      </c>
      <c r="L4" s="8">
        <f t="shared" ref="L4:L18" si="0">_xlfn.POISSON.DIST(K4,2,FALSE)</f>
        <v>0.27067056647322535</v>
      </c>
      <c r="M4" s="8">
        <f t="shared" ref="M4:M18" si="1">_xlfn.POISSON.DIST(K4,2,TRUE)</f>
        <v>0.40600584970983811</v>
      </c>
    </row>
    <row r="5" spans="1:14" x14ac:dyDescent="0.3">
      <c r="K5" s="8">
        <v>2</v>
      </c>
      <c r="L5" s="8">
        <f t="shared" si="0"/>
        <v>0.27067056647322546</v>
      </c>
      <c r="M5" s="8">
        <f t="shared" si="1"/>
        <v>0.6766764161830634</v>
      </c>
    </row>
    <row r="6" spans="1:14" x14ac:dyDescent="0.3">
      <c r="K6" s="8">
        <v>3</v>
      </c>
      <c r="L6" s="8">
        <f t="shared" si="0"/>
        <v>0.18044704431548364</v>
      </c>
      <c r="M6" s="8">
        <f t="shared" si="1"/>
        <v>0.85712346049854693</v>
      </c>
    </row>
    <row r="7" spans="1:14" x14ac:dyDescent="0.3">
      <c r="K7" s="8">
        <v>4</v>
      </c>
      <c r="L7" s="8">
        <f t="shared" si="0"/>
        <v>9.022352215774182E-2</v>
      </c>
      <c r="M7" s="8">
        <f t="shared" si="1"/>
        <v>0.94734698265628881</v>
      </c>
    </row>
    <row r="8" spans="1:14" x14ac:dyDescent="0.3">
      <c r="K8" s="8">
        <v>5</v>
      </c>
      <c r="L8" s="8">
        <f t="shared" si="0"/>
        <v>3.6089408863096716E-2</v>
      </c>
      <c r="M8" s="8">
        <f t="shared" si="1"/>
        <v>0.98343639151938556</v>
      </c>
    </row>
    <row r="9" spans="1:14" x14ac:dyDescent="0.3">
      <c r="K9" s="8">
        <v>6</v>
      </c>
      <c r="L9" s="8">
        <f t="shared" si="0"/>
        <v>1.2029802954365572E-2</v>
      </c>
      <c r="M9" s="8">
        <f t="shared" si="1"/>
        <v>0.99546619447375106</v>
      </c>
    </row>
    <row r="10" spans="1:14" x14ac:dyDescent="0.3">
      <c r="K10" s="8">
        <v>7</v>
      </c>
      <c r="L10" s="8">
        <f t="shared" si="0"/>
        <v>3.4370865583901629E-3</v>
      </c>
      <c r="M10" s="8">
        <f t="shared" si="1"/>
        <v>0.99890328103214132</v>
      </c>
    </row>
    <row r="11" spans="1:14" x14ac:dyDescent="0.3">
      <c r="K11" s="8">
        <v>8</v>
      </c>
      <c r="L11" s="8">
        <f t="shared" si="0"/>
        <v>8.5927163959754148E-4</v>
      </c>
      <c r="M11" s="8">
        <f t="shared" si="1"/>
        <v>0.99976255267173886</v>
      </c>
    </row>
    <row r="12" spans="1:14" ht="23.4" x14ac:dyDescent="0.45">
      <c r="A12" t="s">
        <v>102</v>
      </c>
      <c r="B12" s="4"/>
      <c r="C12" s="4"/>
      <c r="D12" s="4"/>
      <c r="E12" s="4"/>
      <c r="F12" s="4"/>
      <c r="G12" s="4"/>
      <c r="H12" s="4"/>
      <c r="I12" s="4"/>
      <c r="J12" s="4"/>
      <c r="K12" s="8">
        <v>9</v>
      </c>
      <c r="L12" s="8">
        <f t="shared" si="0"/>
        <v>1.9094925324389769E-4</v>
      </c>
      <c r="M12" s="8">
        <f t="shared" si="1"/>
        <v>0.99995350192498278</v>
      </c>
    </row>
    <row r="13" spans="1:14" ht="23.4" x14ac:dyDescent="0.45">
      <c r="A13" t="s">
        <v>105</v>
      </c>
      <c r="B13">
        <f>L3</f>
        <v>0.1353352832366127</v>
      </c>
      <c r="E13" s="4"/>
      <c r="F13" s="4"/>
      <c r="G13" s="4"/>
      <c r="H13" s="4"/>
      <c r="I13" s="4"/>
      <c r="J13" s="4"/>
      <c r="K13" s="8">
        <v>10</v>
      </c>
      <c r="L13" s="8">
        <f t="shared" si="0"/>
        <v>3.8189850648779602E-5</v>
      </c>
      <c r="M13" s="8">
        <f t="shared" si="1"/>
        <v>0.99999169177563152</v>
      </c>
    </row>
    <row r="14" spans="1:14" x14ac:dyDescent="0.3">
      <c r="K14" s="8">
        <v>11</v>
      </c>
      <c r="L14" s="8">
        <f t="shared" si="0"/>
        <v>6.9436092088690095E-6</v>
      </c>
      <c r="M14" s="8">
        <f t="shared" si="1"/>
        <v>0.99999863538484046</v>
      </c>
    </row>
    <row r="15" spans="1:14" x14ac:dyDescent="0.3">
      <c r="K15" s="8">
        <v>12</v>
      </c>
      <c r="L15" s="8">
        <f t="shared" si="0"/>
        <v>1.1572682014781686E-6</v>
      </c>
      <c r="M15" s="8">
        <f t="shared" si="1"/>
        <v>0.99999979265304184</v>
      </c>
    </row>
    <row r="16" spans="1:14" x14ac:dyDescent="0.3">
      <c r="K16" s="8">
        <v>13</v>
      </c>
      <c r="L16" s="8">
        <f t="shared" si="0"/>
        <v>1.7804126176587265E-7</v>
      </c>
      <c r="M16" s="8">
        <f t="shared" si="1"/>
        <v>0.99999997069430369</v>
      </c>
    </row>
    <row r="17" spans="1:13" x14ac:dyDescent="0.3">
      <c r="K17" s="8">
        <v>14</v>
      </c>
      <c r="L17" s="8">
        <f t="shared" si="0"/>
        <v>2.5434465966553194E-8</v>
      </c>
      <c r="M17" s="8">
        <f t="shared" si="1"/>
        <v>0.99999999612876955</v>
      </c>
    </row>
    <row r="18" spans="1:13" x14ac:dyDescent="0.3">
      <c r="K18" s="8">
        <v>15</v>
      </c>
      <c r="L18" s="8">
        <f t="shared" si="0"/>
        <v>3.391262128873753E-9</v>
      </c>
      <c r="M18" s="8">
        <f t="shared" si="1"/>
        <v>0.99999999952003171</v>
      </c>
    </row>
    <row r="21" spans="1:13" x14ac:dyDescent="0.3">
      <c r="A21" t="s">
        <v>116</v>
      </c>
    </row>
    <row r="22" spans="1:13" ht="23.4" x14ac:dyDescent="0.45">
      <c r="B22" s="8" t="s">
        <v>82</v>
      </c>
      <c r="C22" s="4" t="s">
        <v>103</v>
      </c>
      <c r="D22" s="4" t="s">
        <v>104</v>
      </c>
      <c r="E22" s="4"/>
    </row>
    <row r="23" spans="1:13" x14ac:dyDescent="0.3">
      <c r="B23" s="8">
        <v>0</v>
      </c>
      <c r="C23" s="8">
        <f>_xlfn.POISSON.DIST(B23,14,FALSE)</f>
        <v>8.3152871910356788E-7</v>
      </c>
      <c r="D23" s="8">
        <f>_xlfn.POISSON.DIST(B23,14,TRUE)</f>
        <v>8.3152871910356788E-7</v>
      </c>
      <c r="E23" s="8"/>
    </row>
    <row r="24" spans="1:13" x14ac:dyDescent="0.3">
      <c r="B24" s="8">
        <v>1</v>
      </c>
      <c r="C24" s="8">
        <f t="shared" ref="C24:C38" si="2">_xlfn.POISSON.DIST(B24,14,FALSE)</f>
        <v>1.1641402067449947E-5</v>
      </c>
      <c r="D24" s="8">
        <f t="shared" ref="D24:D38" si="3">_xlfn.POISSON.DIST(B24,14,TRUE)</f>
        <v>1.2472930786553518E-5</v>
      </c>
      <c r="E24" s="8"/>
    </row>
    <row r="25" spans="1:13" x14ac:dyDescent="0.3">
      <c r="B25" s="8">
        <v>2</v>
      </c>
      <c r="C25" s="8">
        <f t="shared" si="2"/>
        <v>8.1489814472149736E-5</v>
      </c>
      <c r="D25" s="8">
        <f t="shared" si="3"/>
        <v>9.3962745258703172E-5</v>
      </c>
      <c r="E25" s="8"/>
    </row>
    <row r="26" spans="1:13" x14ac:dyDescent="0.3">
      <c r="B26" s="8">
        <v>3</v>
      </c>
      <c r="C26" s="8">
        <f t="shared" si="2"/>
        <v>3.8028580087003192E-4</v>
      </c>
      <c r="D26" s="8">
        <f t="shared" si="3"/>
        <v>4.7424854612873482E-4</v>
      </c>
      <c r="E26" s="8"/>
    </row>
    <row r="27" spans="1:13" x14ac:dyDescent="0.3">
      <c r="B27" s="8">
        <v>4</v>
      </c>
      <c r="C27" s="8">
        <f t="shared" si="2"/>
        <v>1.3310003030451111E-3</v>
      </c>
      <c r="D27" s="8">
        <f t="shared" si="3"/>
        <v>1.8052488491738456E-3</v>
      </c>
      <c r="E27" s="8"/>
    </row>
    <row r="28" spans="1:13" x14ac:dyDescent="0.3">
      <c r="B28" s="8">
        <v>5</v>
      </c>
      <c r="C28" s="8">
        <f t="shared" si="2"/>
        <v>3.7268008485263093E-3</v>
      </c>
      <c r="D28" s="8">
        <f t="shared" si="3"/>
        <v>5.532049697700157E-3</v>
      </c>
      <c r="E28" s="8"/>
    </row>
    <row r="29" spans="1:13" x14ac:dyDescent="0.3">
      <c r="B29" s="8">
        <v>6</v>
      </c>
      <c r="C29" s="8">
        <f t="shared" si="2"/>
        <v>8.6958686465614006E-3</v>
      </c>
      <c r="D29" s="8">
        <f t="shared" si="3"/>
        <v>1.4227918344261551E-2</v>
      </c>
      <c r="E29" s="8"/>
    </row>
    <row r="30" spans="1:13" x14ac:dyDescent="0.3">
      <c r="B30" s="8">
        <v>7</v>
      </c>
      <c r="C30" s="8">
        <f t="shared" si="2"/>
        <v>1.7391737293122784E-2</v>
      </c>
      <c r="D30" s="8">
        <f t="shared" si="3"/>
        <v>3.1619655637384329E-2</v>
      </c>
      <c r="E30" s="8"/>
    </row>
    <row r="31" spans="1:13" x14ac:dyDescent="0.3">
      <c r="B31" s="8">
        <v>8</v>
      </c>
      <c r="C31" s="8">
        <f t="shared" si="2"/>
        <v>3.0435540262964893E-2</v>
      </c>
      <c r="D31" s="8">
        <f t="shared" si="3"/>
        <v>6.2055195900349219E-2</v>
      </c>
      <c r="E31" s="8"/>
    </row>
    <row r="32" spans="1:13" x14ac:dyDescent="0.3">
      <c r="B32" s="8">
        <v>9</v>
      </c>
      <c r="C32" s="8">
        <f t="shared" si="2"/>
        <v>4.7344173742389778E-2</v>
      </c>
      <c r="D32" s="8">
        <f t="shared" si="3"/>
        <v>0.109399369642739</v>
      </c>
      <c r="E32" s="8"/>
    </row>
    <row r="33" spans="1:5" x14ac:dyDescent="0.3">
      <c r="B33" s="8">
        <v>10</v>
      </c>
      <c r="C33" s="8">
        <f t="shared" si="2"/>
        <v>6.6281843239345731E-2</v>
      </c>
      <c r="D33" s="8">
        <f t="shared" si="3"/>
        <v>0.17568121288208474</v>
      </c>
      <c r="E33" s="8"/>
    </row>
    <row r="34" spans="1:5" x14ac:dyDescent="0.3">
      <c r="B34" s="8">
        <v>11</v>
      </c>
      <c r="C34" s="8">
        <f t="shared" si="2"/>
        <v>8.4358709577349117E-2</v>
      </c>
      <c r="D34" s="8">
        <f t="shared" si="3"/>
        <v>0.26003992245943375</v>
      </c>
      <c r="E34" s="8"/>
    </row>
    <row r="35" spans="1:5" x14ac:dyDescent="0.3">
      <c r="B35" s="8">
        <v>12</v>
      </c>
      <c r="C35" s="8">
        <f t="shared" si="2"/>
        <v>9.8418494506907289E-2</v>
      </c>
      <c r="D35" s="8">
        <f t="shared" si="3"/>
        <v>0.35845841696634112</v>
      </c>
      <c r="E35" s="8"/>
    </row>
    <row r="36" spans="1:5" x14ac:dyDescent="0.3">
      <c r="B36" s="8">
        <v>13</v>
      </c>
      <c r="C36" s="8">
        <f t="shared" si="2"/>
        <v>0.10598914793051555</v>
      </c>
      <c r="D36" s="8">
        <f t="shared" si="3"/>
        <v>0.46444756489685668</v>
      </c>
      <c r="E36" s="8"/>
    </row>
    <row r="37" spans="1:5" x14ac:dyDescent="0.3">
      <c r="B37" s="8">
        <v>14</v>
      </c>
      <c r="C37" s="8">
        <f t="shared" si="2"/>
        <v>0.10598914793051553</v>
      </c>
      <c r="D37" s="8">
        <f t="shared" si="3"/>
        <v>0.57043671282737241</v>
      </c>
      <c r="E37" s="8"/>
    </row>
    <row r="38" spans="1:5" x14ac:dyDescent="0.3">
      <c r="B38" s="8">
        <v>15</v>
      </c>
      <c r="C38" s="8">
        <f t="shared" si="2"/>
        <v>9.8923204735147846E-2</v>
      </c>
      <c r="D38" s="8">
        <f t="shared" si="3"/>
        <v>0.66935991756252</v>
      </c>
      <c r="E38" s="8"/>
    </row>
    <row r="40" spans="1:5" x14ac:dyDescent="0.3">
      <c r="A40" t="s">
        <v>117</v>
      </c>
      <c r="B40">
        <f>C33</f>
        <v>6.6281843239345731E-2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ADE3-D5AB-4C07-85CE-CB000145F7FD}">
  <dimension ref="A3:L34"/>
  <sheetViews>
    <sheetView topLeftCell="A4" workbookViewId="0">
      <selection activeCell="B13" sqref="B13"/>
    </sheetView>
  </sheetViews>
  <sheetFormatPr defaultRowHeight="14.4" x14ac:dyDescent="0.3"/>
  <cols>
    <col min="2" max="2" width="14" customWidth="1"/>
    <col min="5" max="5" width="11.88671875" customWidth="1"/>
    <col min="6" max="6" width="11.44140625" customWidth="1"/>
    <col min="11" max="11" width="12" bestFit="1" customWidth="1"/>
  </cols>
  <sheetData>
    <row r="3" spans="1:12" x14ac:dyDescent="0.3">
      <c r="J3">
        <v>5</v>
      </c>
      <c r="K3" s="8">
        <f>_xlfn.NORM.DIST(J3,$B$10,$B$11,TRUE)</f>
        <v>1.0170832425687034E-6</v>
      </c>
    </row>
    <row r="4" spans="1:12" x14ac:dyDescent="0.3">
      <c r="J4" s="8">
        <v>10</v>
      </c>
      <c r="K4" s="8">
        <f t="shared" ref="K4:K34" si="0">_xlfn.NORM.DIST(J4,$B$10,$B$11,TRUE)</f>
        <v>3.3976731247300535E-6</v>
      </c>
    </row>
    <row r="5" spans="1:12" x14ac:dyDescent="0.3">
      <c r="J5" s="8">
        <v>15</v>
      </c>
      <c r="K5" s="8">
        <f t="shared" si="0"/>
        <v>1.06885257749344E-5</v>
      </c>
    </row>
    <row r="6" spans="1:12" x14ac:dyDescent="0.3">
      <c r="J6" s="8">
        <v>20</v>
      </c>
      <c r="K6" s="8">
        <f t="shared" si="0"/>
        <v>3.1671241833119857E-5</v>
      </c>
    </row>
    <row r="7" spans="1:12" x14ac:dyDescent="0.3">
      <c r="J7" s="8">
        <v>25</v>
      </c>
      <c r="K7" s="8">
        <f t="shared" si="0"/>
        <v>8.841728520080376E-5</v>
      </c>
    </row>
    <row r="8" spans="1:12" x14ac:dyDescent="0.3">
      <c r="J8" s="8">
        <v>30</v>
      </c>
      <c r="K8" s="8">
        <f t="shared" si="0"/>
        <v>2.3262907903552504E-4</v>
      </c>
    </row>
    <row r="9" spans="1:12" ht="21" x14ac:dyDescent="0.4">
      <c r="B9" s="5"/>
      <c r="C9" s="5"/>
      <c r="D9" s="5"/>
      <c r="E9" s="5"/>
      <c r="F9" s="5"/>
      <c r="G9" s="5"/>
      <c r="H9" s="5"/>
      <c r="I9" s="5"/>
      <c r="J9" s="8">
        <v>35</v>
      </c>
      <c r="K9" s="8">
        <f t="shared" si="0"/>
        <v>5.7702504239076603E-4</v>
      </c>
      <c r="L9" s="5"/>
    </row>
    <row r="10" spans="1:12" ht="21" x14ac:dyDescent="0.4">
      <c r="A10" t="s">
        <v>70</v>
      </c>
      <c r="B10" s="5">
        <v>100</v>
      </c>
      <c r="C10" s="5"/>
      <c r="D10" s="5"/>
      <c r="E10" s="5"/>
      <c r="F10" s="5"/>
      <c r="G10" s="5"/>
      <c r="H10" s="5"/>
      <c r="I10" s="5"/>
      <c r="J10" s="8">
        <v>40</v>
      </c>
      <c r="K10" s="8">
        <f t="shared" si="0"/>
        <v>1.3498980316300933E-3</v>
      </c>
      <c r="L10" s="5"/>
    </row>
    <row r="11" spans="1:12" ht="21" x14ac:dyDescent="0.4">
      <c r="A11" t="s">
        <v>126</v>
      </c>
      <c r="B11" s="5">
        <v>20</v>
      </c>
      <c r="C11" s="5"/>
      <c r="D11" s="5"/>
      <c r="E11" s="5"/>
      <c r="F11" s="5"/>
      <c r="G11" s="5"/>
      <c r="H11" s="5"/>
      <c r="I11" s="5"/>
      <c r="J11" s="8">
        <v>45</v>
      </c>
      <c r="K11" s="8">
        <f t="shared" si="0"/>
        <v>2.9797632350545551E-3</v>
      </c>
      <c r="L11" s="5"/>
    </row>
    <row r="12" spans="1:12" ht="21" x14ac:dyDescent="0.4">
      <c r="C12" s="5"/>
      <c r="D12" s="5"/>
      <c r="E12" s="5"/>
      <c r="F12" s="5"/>
      <c r="G12" s="5"/>
      <c r="H12" s="5"/>
      <c r="I12" s="5"/>
      <c r="J12" s="8">
        <v>50</v>
      </c>
      <c r="K12" s="8">
        <f t="shared" si="0"/>
        <v>6.2096653257761331E-3</v>
      </c>
      <c r="L12" s="5"/>
    </row>
    <row r="13" spans="1:12" ht="21" x14ac:dyDescent="0.4">
      <c r="B13" s="5">
        <f>_xlfn.NORM.DIST(145,B10,B11,TRUE)</f>
        <v>0.98777552734495533</v>
      </c>
      <c r="C13" s="5"/>
      <c r="D13" s="5"/>
      <c r="E13" s="5"/>
      <c r="F13" s="5"/>
      <c r="G13" s="5"/>
      <c r="H13" s="5"/>
      <c r="I13" s="5"/>
      <c r="J13" s="8">
        <v>55</v>
      </c>
      <c r="K13" s="8">
        <f t="shared" si="0"/>
        <v>1.2224472655044696E-2</v>
      </c>
      <c r="L13" s="5"/>
    </row>
    <row r="14" spans="1:12" ht="21" x14ac:dyDescent="0.4">
      <c r="A14" t="s">
        <v>117</v>
      </c>
      <c r="B14" s="5">
        <f>1-K31</f>
        <v>1.2224472655044671E-2</v>
      </c>
      <c r="C14" s="5"/>
      <c r="D14" s="5"/>
      <c r="E14" s="5"/>
      <c r="F14" s="5"/>
      <c r="G14" s="5"/>
      <c r="H14" s="5"/>
      <c r="I14" s="5"/>
      <c r="J14" s="8">
        <v>60</v>
      </c>
      <c r="K14" s="8">
        <f t="shared" si="0"/>
        <v>2.2750131948179191E-2</v>
      </c>
      <c r="L14" s="5"/>
    </row>
    <row r="15" spans="1:12" ht="21" x14ac:dyDescent="0.4">
      <c r="B15" s="5"/>
      <c r="C15" s="5"/>
      <c r="D15" s="5"/>
      <c r="E15" s="5"/>
      <c r="F15" s="5"/>
      <c r="G15" s="5"/>
      <c r="H15" s="5"/>
      <c r="I15" s="5"/>
      <c r="J15" s="8">
        <v>65</v>
      </c>
      <c r="K15" s="8">
        <f t="shared" si="0"/>
        <v>4.00591568638171E-2</v>
      </c>
      <c r="L15" s="5"/>
    </row>
    <row r="16" spans="1:12" ht="21" x14ac:dyDescent="0.4">
      <c r="B16" s="5"/>
      <c r="C16" s="5"/>
      <c r="D16" s="5"/>
      <c r="E16" s="5"/>
      <c r="F16" s="5"/>
      <c r="G16" s="5"/>
      <c r="H16" s="5"/>
      <c r="I16" s="5"/>
      <c r="J16" s="8">
        <v>70</v>
      </c>
      <c r="K16" s="8">
        <f t="shared" si="0"/>
        <v>6.6807201268858057E-2</v>
      </c>
      <c r="L16" s="5"/>
    </row>
    <row r="17" spans="10:11" x14ac:dyDescent="0.3">
      <c r="J17" s="8">
        <v>75</v>
      </c>
      <c r="K17" s="8">
        <f t="shared" si="0"/>
        <v>0.10564977366685525</v>
      </c>
    </row>
    <row r="18" spans="10:11" x14ac:dyDescent="0.3">
      <c r="J18" s="8">
        <v>80</v>
      </c>
      <c r="K18" s="8">
        <f t="shared" si="0"/>
        <v>0.15865525393145699</v>
      </c>
    </row>
    <row r="19" spans="10:11" x14ac:dyDescent="0.3">
      <c r="J19" s="8">
        <v>85</v>
      </c>
      <c r="K19" s="8">
        <f t="shared" si="0"/>
        <v>0.22662735237686821</v>
      </c>
    </row>
    <row r="20" spans="10:11" x14ac:dyDescent="0.3">
      <c r="J20" s="8">
        <v>90</v>
      </c>
      <c r="K20" s="8">
        <f t="shared" si="0"/>
        <v>0.30853753872598688</v>
      </c>
    </row>
    <row r="21" spans="10:11" x14ac:dyDescent="0.3">
      <c r="J21" s="8">
        <v>95</v>
      </c>
      <c r="K21" s="8">
        <f t="shared" si="0"/>
        <v>0.4012936743170763</v>
      </c>
    </row>
    <row r="22" spans="10:11" x14ac:dyDescent="0.3">
      <c r="J22" s="8">
        <v>100</v>
      </c>
      <c r="K22" s="8">
        <f t="shared" si="0"/>
        <v>0.5</v>
      </c>
    </row>
    <row r="23" spans="10:11" x14ac:dyDescent="0.3">
      <c r="J23" s="8">
        <v>105</v>
      </c>
      <c r="K23" s="8">
        <f t="shared" si="0"/>
        <v>0.5987063256829237</v>
      </c>
    </row>
    <row r="24" spans="10:11" x14ac:dyDescent="0.3">
      <c r="J24" s="8">
        <v>110</v>
      </c>
      <c r="K24" s="8">
        <f t="shared" si="0"/>
        <v>0.69146246127401312</v>
      </c>
    </row>
    <row r="25" spans="10:11" x14ac:dyDescent="0.3">
      <c r="J25" s="8">
        <v>115</v>
      </c>
      <c r="K25" s="8">
        <f t="shared" si="0"/>
        <v>0.77337264762313174</v>
      </c>
    </row>
    <row r="26" spans="10:11" x14ac:dyDescent="0.3">
      <c r="J26" s="8">
        <v>120</v>
      </c>
      <c r="K26" s="8">
        <f t="shared" si="0"/>
        <v>0.84134474606854304</v>
      </c>
    </row>
    <row r="27" spans="10:11" x14ac:dyDescent="0.3">
      <c r="J27" s="8">
        <v>125</v>
      </c>
      <c r="K27" s="8">
        <f t="shared" si="0"/>
        <v>0.89435022633314476</v>
      </c>
    </row>
    <row r="28" spans="10:11" x14ac:dyDescent="0.3">
      <c r="J28" s="8">
        <v>130</v>
      </c>
      <c r="K28" s="8">
        <f t="shared" si="0"/>
        <v>0.93319279873114191</v>
      </c>
    </row>
    <row r="29" spans="10:11" x14ac:dyDescent="0.3">
      <c r="J29" s="8">
        <v>135</v>
      </c>
      <c r="K29" s="8">
        <f t="shared" si="0"/>
        <v>0.95994084313618289</v>
      </c>
    </row>
    <row r="30" spans="10:11" x14ac:dyDescent="0.3">
      <c r="J30" s="8">
        <v>140</v>
      </c>
      <c r="K30" s="8">
        <f t="shared" si="0"/>
        <v>0.97724986805182079</v>
      </c>
    </row>
    <row r="31" spans="10:11" x14ac:dyDescent="0.3">
      <c r="J31" s="8">
        <v>145</v>
      </c>
      <c r="K31" s="8">
        <f t="shared" si="0"/>
        <v>0.98777552734495533</v>
      </c>
    </row>
    <row r="32" spans="10:11" x14ac:dyDescent="0.3">
      <c r="J32" s="8">
        <v>150</v>
      </c>
      <c r="K32" s="8">
        <f>_xlfn.NORM.DIST(J32,$B$10,$B$11,TRUE)</f>
        <v>0.99379033467422384</v>
      </c>
    </row>
    <row r="33" spans="10:11" x14ac:dyDescent="0.3">
      <c r="J33" s="8">
        <v>155</v>
      </c>
      <c r="K33" s="8">
        <f t="shared" si="0"/>
        <v>0.99702023676494544</v>
      </c>
    </row>
    <row r="34" spans="10:11" x14ac:dyDescent="0.3">
      <c r="J34" s="8">
        <v>160</v>
      </c>
      <c r="K34" s="8">
        <f t="shared" si="0"/>
        <v>0.9986501019683699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B224-9979-47C9-9D72-F22955DE9139}">
  <dimension ref="A1:N28"/>
  <sheetViews>
    <sheetView workbookViewId="0">
      <selection activeCell="B19" sqref="B19"/>
    </sheetView>
  </sheetViews>
  <sheetFormatPr defaultRowHeight="14.4" x14ac:dyDescent="0.3"/>
  <cols>
    <col min="1" max="1" width="15.77734375" customWidth="1"/>
  </cols>
  <sheetData>
    <row r="1" spans="1:14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4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4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14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4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4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4" x14ac:dyDescent="0.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4" x14ac:dyDescent="0.3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4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4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4" x14ac:dyDescent="0.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4" x14ac:dyDescent="0.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4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4" ht="23.4" x14ac:dyDescent="0.4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7"/>
      <c r="M14" s="7"/>
      <c r="N14" s="5"/>
    </row>
    <row r="15" spans="1:14" ht="23.4" x14ac:dyDescent="0.45">
      <c r="A15" t="s">
        <v>70</v>
      </c>
      <c r="B15">
        <v>32</v>
      </c>
      <c r="D15" s="6"/>
      <c r="E15" s="7"/>
      <c r="F15" s="7"/>
      <c r="G15" s="7"/>
      <c r="H15" s="7"/>
      <c r="I15" s="7"/>
      <c r="J15" s="7"/>
      <c r="K15" s="7"/>
      <c r="L15" s="7"/>
      <c r="M15" s="7"/>
      <c r="N15" s="5"/>
    </row>
    <row r="16" spans="1:14" ht="23.4" x14ac:dyDescent="0.45">
      <c r="A16" t="s">
        <v>126</v>
      </c>
      <c r="B16">
        <v>1.5</v>
      </c>
      <c r="E16" s="4"/>
      <c r="F16" s="4"/>
      <c r="G16" s="4"/>
      <c r="H16" s="4"/>
      <c r="I16" s="4"/>
      <c r="J16" s="4"/>
      <c r="K16" s="4"/>
      <c r="L16" s="4"/>
      <c r="M16" s="4"/>
      <c r="N16" s="5"/>
    </row>
    <row r="17" spans="1:13" ht="23.4" x14ac:dyDescent="0.45">
      <c r="E17" s="4"/>
      <c r="F17" s="4"/>
      <c r="G17" s="4"/>
      <c r="H17" s="4"/>
      <c r="I17" s="4"/>
      <c r="J17" s="4"/>
      <c r="K17" s="4"/>
      <c r="L17" s="4"/>
      <c r="M17" s="4"/>
    </row>
    <row r="18" spans="1:13" ht="23.4" x14ac:dyDescent="0.45">
      <c r="A18" t="s">
        <v>128</v>
      </c>
      <c r="B18">
        <f>_xlfn.NORM.INV(0.05,B15,B16)</f>
        <v>29.53271955957279</v>
      </c>
      <c r="D18" t="s">
        <v>129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 ht="23.4" x14ac:dyDescent="0.45">
      <c r="A19" t="s">
        <v>127</v>
      </c>
      <c r="B19">
        <f>_xlfn.NORM.INV(0.95,B15,B16)</f>
        <v>34.46728044042721</v>
      </c>
      <c r="E19" s="4"/>
      <c r="F19" s="4"/>
    </row>
    <row r="20" spans="1:13" ht="23.4" x14ac:dyDescent="0.45">
      <c r="E20" s="4"/>
      <c r="F20" s="4"/>
    </row>
    <row r="21" spans="1:13" ht="23.4" x14ac:dyDescent="0.45">
      <c r="E21" s="4"/>
      <c r="F21" s="4"/>
    </row>
    <row r="22" spans="1:13" ht="23.4" x14ac:dyDescent="0.45">
      <c r="E22" s="4"/>
      <c r="F22" s="4"/>
    </row>
    <row r="23" spans="1:13" ht="23.4" x14ac:dyDescent="0.45">
      <c r="E23" s="4"/>
      <c r="F23" s="4"/>
    </row>
    <row r="24" spans="1:13" ht="23.4" x14ac:dyDescent="0.45">
      <c r="E24" s="4"/>
      <c r="F24" s="4"/>
    </row>
    <row r="25" spans="1:13" ht="23.4" x14ac:dyDescent="0.45">
      <c r="E25" s="4"/>
      <c r="F25" s="4"/>
    </row>
    <row r="26" spans="1:13" ht="23.4" x14ac:dyDescent="0.45">
      <c r="E26" s="4"/>
      <c r="F26" s="4"/>
    </row>
    <row r="27" spans="1:13" ht="23.4" x14ac:dyDescent="0.45">
      <c r="E27" s="4"/>
      <c r="F27" s="4"/>
    </row>
    <row r="28" spans="1:13" ht="23.4" x14ac:dyDescent="0.45">
      <c r="E28" s="4"/>
      <c r="F28" s="4"/>
    </row>
  </sheetData>
  <mergeCells count="1">
    <mergeCell ref="A1:K14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DE71-CF99-4A66-B597-DBC3A56A1FC8}">
  <dimension ref="A12:M19"/>
  <sheetViews>
    <sheetView workbookViewId="0">
      <selection activeCell="N20" activeCellId="1" sqref="E14 N20"/>
    </sheetView>
  </sheetViews>
  <sheetFormatPr defaultRowHeight="14.4" x14ac:dyDescent="0.3"/>
  <sheetData>
    <row r="12" spans="1:13" ht="23.4" x14ac:dyDescent="0.45">
      <c r="A12" t="s">
        <v>70</v>
      </c>
      <c r="B12" s="4">
        <v>70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23.4" x14ac:dyDescent="0.45">
      <c r="A13" t="s">
        <v>126</v>
      </c>
      <c r="B13" s="4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5" spans="1:13" x14ac:dyDescent="0.3">
      <c r="B15" t="s">
        <v>131</v>
      </c>
      <c r="C15" t="s">
        <v>132</v>
      </c>
    </row>
    <row r="16" spans="1:13" x14ac:dyDescent="0.3">
      <c r="B16" t="s">
        <v>130</v>
      </c>
      <c r="C16">
        <f>_xlfn.NORM.INV(0.9,B12,B13)</f>
        <v>82.815515655446006</v>
      </c>
    </row>
    <row r="17" spans="2:3" x14ac:dyDescent="0.3">
      <c r="B17" t="s">
        <v>133</v>
      </c>
      <c r="C17" s="8">
        <f>_xlfn.NORM.INV(0.6,B12,B13)</f>
        <v>72.533471031358005</v>
      </c>
    </row>
    <row r="18" spans="2:3" x14ac:dyDescent="0.3">
      <c r="B18" t="s">
        <v>134</v>
      </c>
      <c r="C18" s="8">
        <f>_xlfn.NORM.INV(0.2,B12,B13)</f>
        <v>61.583787664270858</v>
      </c>
    </row>
    <row r="19" spans="2:3" x14ac:dyDescent="0.3">
      <c r="B19" t="s">
        <v>135</v>
      </c>
      <c r="C19">
        <f>_xlfn.NORM.INV(0.05,B12,B13)</f>
        <v>53.551463730485274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Problem 5-4</vt:lpstr>
      <vt:lpstr>Problem 5-6</vt:lpstr>
      <vt:lpstr>Problem 6-5</vt:lpstr>
      <vt:lpstr>Problem 6-13,14&amp;15</vt:lpstr>
      <vt:lpstr>Problem 6-21&amp;22</vt:lpstr>
      <vt:lpstr>Problem 6-28,29&amp;30</vt:lpstr>
      <vt:lpstr>Problem 6-36</vt:lpstr>
      <vt:lpstr>Problem6-47</vt:lpstr>
      <vt:lpstr>Problem 6-79</vt:lpstr>
      <vt:lpstr>Problem6-91</vt:lpstr>
      <vt:lpstr>Problem 7-10</vt:lpstr>
      <vt:lpstr>Problem 7-20</vt:lpstr>
      <vt:lpstr>Problem 7-40&amp;41</vt:lpstr>
      <vt:lpstr>Problem7-49&amp;50</vt:lpstr>
      <vt:lpstr>Problem 7-81</vt:lpstr>
      <vt:lpstr>Problem 7-81-A</vt:lpstr>
      <vt:lpstr>Problem 7-100&amp;101</vt:lpstr>
      <vt:lpstr>Problem7-118</vt:lpstr>
      <vt:lpstr>Problem 7-132</vt:lpstr>
      <vt:lpstr>Problem 8-38</vt:lpstr>
      <vt:lpstr>Problem8-52</vt:lpstr>
      <vt:lpstr>Problem 8-65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Satyamurthy, Kailasam</dc:creator>
  <cp:lastModifiedBy>rudraksh mishra</cp:lastModifiedBy>
  <dcterms:created xsi:type="dcterms:W3CDTF">2020-08-05T01:07:45Z</dcterms:created>
  <dcterms:modified xsi:type="dcterms:W3CDTF">2021-09-08T18:31:57Z</dcterms:modified>
</cp:coreProperties>
</file>