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Define\Custos Servidores\"/>
    </mc:Choice>
  </mc:AlternateContent>
  <bookViews>
    <workbookView xWindow="0" yWindow="0" windowWidth="19200" windowHeight="7755" activeTab="3"/>
  </bookViews>
  <sheets>
    <sheet name="Dados Gerais" sheetId="1" r:id="rId1"/>
    <sheet name="CustosDiretos" sheetId="4" r:id="rId2"/>
    <sheet name="AnaliseCustosBruto" sheetId="2" r:id="rId3"/>
    <sheet name="AnaliseCustosLíquido" sheetId="5" r:id="rId4"/>
    <sheet name="QUESTIONAMENTOS" sheetId="3" r:id="rId5"/>
  </sheets>
  <calcPr calcId="152511"/>
</workbook>
</file>

<file path=xl/calcChain.xml><?xml version="1.0" encoding="utf-8"?>
<calcChain xmlns="http://schemas.openxmlformats.org/spreadsheetml/2006/main">
  <c r="G19" i="5" l="1"/>
  <c r="I19" i="2"/>
  <c r="F19" i="5" l="1"/>
  <c r="I20" i="5"/>
  <c r="H19" i="5"/>
  <c r="I19" i="5" s="1"/>
  <c r="B11" i="1" l="1"/>
  <c r="D11" i="1" s="1"/>
  <c r="D15" i="5" l="1"/>
  <c r="C11" i="1"/>
  <c r="F11" i="1" s="1"/>
  <c r="G8" i="1" s="1"/>
  <c r="E20" i="2" l="1"/>
  <c r="C15" i="5" l="1"/>
  <c r="C19" i="5" s="1"/>
  <c r="C21" i="5" s="1"/>
  <c r="E11" i="1"/>
  <c r="D20" i="5"/>
  <c r="E20" i="5" s="1"/>
  <c r="D18" i="5"/>
  <c r="E18" i="5" s="1"/>
  <c r="D17" i="5"/>
  <c r="E17" i="5" s="1"/>
  <c r="D16" i="5"/>
  <c r="E16" i="5" s="1"/>
  <c r="D19" i="5"/>
  <c r="F10" i="5"/>
  <c r="D18" i="2"/>
  <c r="D17" i="2"/>
  <c r="E17" i="2" s="1"/>
  <c r="D16" i="2"/>
  <c r="D22" i="4"/>
  <c r="E22" i="4"/>
  <c r="F22" i="4"/>
  <c r="C22" i="4"/>
  <c r="G22" i="4"/>
  <c r="G10" i="4"/>
  <c r="G11" i="4"/>
  <c r="G12" i="4"/>
  <c r="G13" i="4"/>
  <c r="G14" i="4"/>
  <c r="G15" i="4"/>
  <c r="G16" i="4"/>
  <c r="G17" i="4"/>
  <c r="G18" i="4"/>
  <c r="G19" i="4"/>
  <c r="G20" i="4"/>
  <c r="G21" i="4"/>
  <c r="G9" i="4"/>
  <c r="E18" i="4"/>
  <c r="D21" i="5" l="1"/>
  <c r="E15" i="5"/>
  <c r="E19" i="5" s="1"/>
  <c r="F10" i="2"/>
  <c r="G19" i="2"/>
  <c r="E21" i="5" l="1"/>
  <c r="D20" i="2"/>
  <c r="E18" i="2" l="1"/>
  <c r="E16" i="2"/>
  <c r="D15" i="2"/>
  <c r="E15" i="2" s="1"/>
  <c r="C19" i="2" l="1"/>
  <c r="C21" i="2" s="1"/>
  <c r="D19" i="2"/>
  <c r="D21" i="2" s="1"/>
  <c r="E19" i="2"/>
  <c r="D3" i="1"/>
  <c r="F19" i="2" l="1"/>
  <c r="H19" i="2"/>
  <c r="E21" i="2"/>
  <c r="E3" i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E18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FLAVIO revisar os dados do AR CONDICIONADO 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comments3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sharedStrings.xml><?xml version="1.0" encoding="utf-8"?>
<sst xmlns="http://schemas.openxmlformats.org/spreadsheetml/2006/main" count="138" uniqueCount="85">
  <si>
    <t>CUSTO MÉDIO TOTAL ANUAL</t>
  </si>
  <si>
    <t>TELEFONE</t>
  </si>
  <si>
    <t>Nº DE SERVIDORES</t>
  </si>
  <si>
    <t>CUSTO MÉDIO MENSAL
1 SERVIDOR</t>
  </si>
  <si>
    <t>CUSTO MÉDIO ANUAL PARA 1 SERVIDOR*</t>
  </si>
  <si>
    <t>CUSTO MÉDIO POR DIA  DE 1 SERVIDOR DA SECGS
(CUSTO MÉDIO MENSAL/(30))</t>
  </si>
  <si>
    <t>CUSTO MÉDIO DE 3 DIAS DE TRABALHO PARA 1 SERVIDOR DA SECGS
 (CUSTO POR DIA X 3  )</t>
  </si>
  <si>
    <t>SALARIO</t>
  </si>
  <si>
    <t>COMPUTADOR</t>
  </si>
  <si>
    <t>LAMPADA</t>
  </si>
  <si>
    <t>VOLUME DE PADS</t>
  </si>
  <si>
    <t>CUSTOS INDIRETOS</t>
  </si>
  <si>
    <t>CUSTO MEDIO ANUAL 
1 SERVIDOR SECGS</t>
  </si>
  <si>
    <t>CUSTO MEDIO MENSAL  
1 SERVIDOR SECGS</t>
  </si>
  <si>
    <t>CUSTO MEDIO DIARIO 
1 SERVIDOR SECGS</t>
  </si>
  <si>
    <t>ECONOMIA ANUAL POR SERVIDOR $( GANHO EM DIA POR PAD ANUAL X  CUSTO DE 1 DIA DO SERVIDOR)</t>
  </si>
  <si>
    <t>ECONOMIA ANUAL PARA SECRETARIA(SECGS) $( GANHO EM DIA POR PAD ANUAL X  CUSTO DE 42 SERVIDORES ANUAL)</t>
  </si>
  <si>
    <t>CUSTO MÉDIO TOTAL DO SERVIDOR</t>
  </si>
  <si>
    <t>CUSTO PAD (VOLUME PADS X CUSTO MÉDIO TOTAL DO SERVIDOR)</t>
  </si>
  <si>
    <t>GANHO EM DIAS ANUAL
(MÉDIA VOLUME PAD ANUAL X GANHO DE DIAS POR PAD(3 DIAS))</t>
  </si>
  <si>
    <t>META (GANHO DE 3 DIAS POR PAD)(CUSTO MÉDIO DIARIO X 3 DIAS GANHOS POR PAD)</t>
  </si>
  <si>
    <t>MÉDIA  DE DIAS EM TRÂMITE DA SECGS ATUAL</t>
  </si>
  <si>
    <t>META DE REDUÇÃO GERAL</t>
  </si>
  <si>
    <t>MÉDIA DE DIAS EM TRÂMITE DA SECGS FUTURA</t>
  </si>
  <si>
    <t>15 DIAS</t>
  </si>
  <si>
    <t xml:space="preserve">PROJETO LEAN SIX SIGMA - ÁREA SECGS </t>
  </si>
  <si>
    <t>GANHO EM DIAS POR PAD</t>
  </si>
  <si>
    <t>3 DIAS</t>
  </si>
  <si>
    <t>ANO</t>
  </si>
  <si>
    <t>TOMADA DE PREÇOS</t>
  </si>
  <si>
    <t>PREGÃO</t>
  </si>
  <si>
    <t>LEILÃO</t>
  </si>
  <si>
    <t>TOTAL</t>
  </si>
  <si>
    <t>* DADOS FORNECIDOS PELA LUIZA TAKAHASI NO DIA 16/05</t>
  </si>
  <si>
    <t>MÉDIA VOLUME PADS ULIMOS 3 ANOS</t>
  </si>
  <si>
    <t>DETALHAMENTO DOS CUSTOS ANUAIS , MENSAIS E DIÁRIOS RESPECTIVAMENTE</t>
  </si>
  <si>
    <t>VARIAVEL DE CALCULO</t>
  </si>
  <si>
    <t>DESCRIÇÃO</t>
  </si>
  <si>
    <t>VALOR</t>
  </si>
  <si>
    <t>NÚMERO DE SERVIDORES DA ÁREA DA SECGS</t>
  </si>
  <si>
    <t>VALOR DE REMUNERAÇÃO MENSAL MÉDIO ENTRE TODOS OS SERVIDORES DO T.R.E OU SOMENTE DA SECGS?</t>
  </si>
  <si>
    <t>CUSTO MÉDIO ANUAL PARA 1 SERVIDOR</t>
  </si>
  <si>
    <t>VALOR DE REMUNERAÇÃO ANUAL MÉDIO ENTRE TODOS OS SERVIDORES DO T.R.E OU SOMENTE DA SECGS?</t>
  </si>
  <si>
    <t>CUSTO MENSAL  TELEFONE(MÊS BASE: MARÇO 2017)</t>
  </si>
  <si>
    <t>VALOR  DE CUSTO DE TELEFONE NO MÊS DE MARÇO DE 2017 OBTIDO ATRAVES DA DIVISAO DO CUSTO TOTAL DE TELEFONE POR  431 SERVIDORES DO T.R.E(431 X 22,02 =9490,62)</t>
  </si>
  <si>
    <t>VALOR OBTIDO CALCULANDO O CONSUMO MÉDIO DE  8 LÂMPADAS PARA A SALA LIGADAS POR 420 MINUTOS/DIA DIVIDIDOS POR 42 SERVIDORES DA SECGS</t>
  </si>
  <si>
    <t>CUSTO MÉDIO MENSAL LÂMPADAS / TOTAL DE SERVIDORES DA SECGS</t>
  </si>
  <si>
    <t>CUSTO MÉDIO MENSAL DE 1 SERVIDOR T.R.E</t>
  </si>
  <si>
    <t>RELATÓRIO DE CUSTOS FINANCEIROS COM BASE NUM VOLUME DE PADS PROCESSADOS PELA SECGS MÉDIO DE 50 AO ANO</t>
  </si>
  <si>
    <t>MÉDIA VOLUME DE PADS TRABALHADOS (ANO/MÊS/DIA)</t>
  </si>
  <si>
    <t>CONCLUSÃO</t>
  </si>
  <si>
    <t>SECGS</t>
  </si>
  <si>
    <t>CIP</t>
  </si>
  <si>
    <t>CSTA</t>
  </si>
  <si>
    <t>SEÇÃO ADM PREDIAL</t>
  </si>
  <si>
    <t>SEÇÃO MANUTENÇÃO DE IMÓVEIS DA CAPITAL</t>
  </si>
  <si>
    <t>SEÇÃO DE MANUTENÇÃO DE IMÓVEIS DO INTERIOR</t>
  </si>
  <si>
    <t>SEÇÃO DE OBRAS E PROJETOS</t>
  </si>
  <si>
    <t>GABGS</t>
  </si>
  <si>
    <t>SESEG</t>
  </si>
  <si>
    <t>DETALHAMENTO DOS CUSTOS MENSAIS DIRETOS DA ATIVIDADE (LUZ, COMPUTADOR, TELEFONE, AR CONDICIONADO)</t>
  </si>
  <si>
    <t>TELEFONE*</t>
  </si>
  <si>
    <t>VALOR SERA FIXADO EM  0,5244</t>
  </si>
  <si>
    <t>ASG</t>
  </si>
  <si>
    <t>SEXP</t>
  </si>
  <si>
    <t>ST</t>
  </si>
  <si>
    <t>AR CONDICIONADO</t>
  </si>
  <si>
    <t>IMPRESSORA</t>
  </si>
  <si>
    <t>VALORES MENSAIS 30 DIAS* BASEADOS NO SIMULADOR DE CONSUMO DA COPEL</t>
  </si>
  <si>
    <t>-</t>
  </si>
  <si>
    <t>QTDE SERVIDORES T.R.E</t>
  </si>
  <si>
    <r>
      <t xml:space="preserve">COM BASE NO LEVANTAMENTO FINANCEIRO É POSSÍVEL AFIRMAR QUE COM UMA REDUÇÃO DE 3 DIAS POR PAD PROCESSADO NA SECGS DEIXARIAMOS DE APLICAR 1600,46 GASTOS COM RETRABALHO EM PADS. 
ANUALMENTE OS SERVIDORES DA SECGS PODERIAM GANHAR 150 DIAS ELIMINANDO OS RETRABALHOS E APLICANDO PADRONIZAÇÕES. IMPORTANTE SALIENTAR QUE A ECONOMIA MENCIONADA SE REFERE AO FATO DE O SERVIDOR PODER REALIZAR UMA OUTRA ATIVIDADE, EVITANDO ASSIM A NECESSIDADE DE UM NOVO CONCURSO PARA CONTRATACAO DE MAIS SERVIDORES.
OBSERVA-SE AINDA QUE POR MÊS 4 PADS SÃO TRABALHADOS NA SECGS E EM TORNO DE 0,14 OU 14% DOS 4 PADS MENSAIS SÃO TRABALHADO POR DIA COM BASE NOS RESULTADOS DA LINHA </t>
    </r>
    <r>
      <rPr>
        <b/>
        <sz val="11"/>
        <color theme="1"/>
        <rFont val="Calibri"/>
        <family val="2"/>
        <scheme val="minor"/>
      </rPr>
      <t>MÉDIA VOLUME DE PADS TRABALHADOS (ANO/MÊS/DIA)</t>
    </r>
  </si>
  <si>
    <t>*  Calcular valor bruto descontado dos impostos e inseri-los no campo de Custo Médio Anual para Calcular os valores Líquidos</t>
  </si>
  <si>
    <t>*Sem horas extras</t>
  </si>
  <si>
    <t>CUSTO SALARIAL LÍQUIDO- SERVIDORES DA SECGS</t>
  </si>
  <si>
    <t>CUSTO SALARIAL BRUTO- SERVIDORES DA SECGS</t>
  </si>
  <si>
    <t>Descontado 23,6% do valor mensal</t>
  </si>
  <si>
    <t>CUSTO MÉDIO MENSAL LÍQUIDO
1 SERVIDOR</t>
  </si>
  <si>
    <t>ATUALIZADO COM -23,6%</t>
  </si>
  <si>
    <t>ATUALIZADO COM DESCONTO DE 23,6%</t>
  </si>
  <si>
    <t>21 DIAS</t>
  </si>
  <si>
    <t>DIFERENÇA(LÍQUIDO - BRUTO)</t>
  </si>
  <si>
    <t>18 DIAS</t>
  </si>
  <si>
    <t>3 dias * (Média anual PAD)*(CUSTO DIARIO SERVIDOR)</t>
  </si>
  <si>
    <t>COM BASE NO LEVANTAMENTO FINANCEIRO É POSSÍVEL AFIRMAR QUE COM UMA REDUÇÃO DE 3 DIAS POR PAD PROCESSADO NA SECGS DEIXARIAMOS DE APLICAR 1600,46 GASTOS COM RETRABALHO EM PADS. 
ANUALMENTE OS SERVIDORES DA SECGS PODERIAM GANHAR 150 DIAS ELIMINANDO OS RETRABALHOS E APLICANDO PADRONIZAÇÕES. IMPORTANTE SALIENTAR QUE A ECONOMIA MENCIONADA SE REFERE AO FATO DE O SERVIDOR PODER REALIZAR UMA OUTRA ATIVIDADE, EVITANDO ASSIM A NECESSIDADE DE UM NOVO CONCURSO PARA CONTRATACAO DE MAIS SERVIDORES.
OBSERVA-SE AINDA QUE POR MÊS 4 PADS SÃO TRABALHADOS NA SECGS E EM TORNO DE 0,14 OU 14% DOS 4 PADS MENSAIS SÃO TRABALHADO POR DIA COM BASE NOS RESULTADOS DA LINHA MÉDIA VOLUME DE PADS TRABALHADOS (ANO/MÊS/DIA)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</si>
</sst>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#,##0.0000"/>
    <numFmt numFmtId="166" formatCode="&quot;R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0" fillId="0" borderId="1" xfId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Border="1" applyAlignment="1">
      <alignment wrapText="1"/>
    </xf>
    <xf numFmtId="43" fontId="0" fillId="0" borderId="0" xfId="0" applyNumberFormat="1"/>
    <xf numFmtId="43" fontId="0" fillId="0" borderId="1" xfId="0" applyNumberFormat="1" applyBorder="1"/>
    <xf numFmtId="0" fontId="2" fillId="0" borderId="1" xfId="0" applyFont="1" applyBorder="1" applyAlignment="1">
      <alignment wrapText="1"/>
    </xf>
    <xf numFmtId="4" fontId="0" fillId="0" borderId="0" xfId="0" applyNumberFormat="1"/>
    <xf numFmtId="0" fontId="0" fillId="0" borderId="7" xfId="0" applyBorder="1"/>
    <xf numFmtId="164" fontId="0" fillId="0" borderId="0" xfId="1" applyFont="1"/>
    <xf numFmtId="4" fontId="0" fillId="0" borderId="1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164" fontId="5" fillId="0" borderId="0" xfId="1" applyFont="1" applyBorder="1" applyAlignment="1">
      <alignment horizontal="center" vertical="center"/>
    </xf>
    <xf numFmtId="164" fontId="4" fillId="0" borderId="0" xfId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" fontId="5" fillId="0" borderId="0" xfId="0" applyNumberFormat="1" applyFont="1" applyBorder="1" applyAlignment="1">
      <alignment wrapText="1"/>
    </xf>
    <xf numFmtId="4" fontId="4" fillId="0" borderId="0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0" fontId="8" fillId="0" borderId="10" xfId="0" applyFont="1" applyBorder="1"/>
    <xf numFmtId="9" fontId="0" fillId="0" borderId="0" xfId="0" applyNumberFormat="1" applyAlignment="1"/>
    <xf numFmtId="0" fontId="0" fillId="0" borderId="6" xfId="0" applyBorder="1" applyAlignment="1"/>
    <xf numFmtId="0" fontId="0" fillId="0" borderId="8" xfId="0" applyBorder="1"/>
    <xf numFmtId="0" fontId="0" fillId="0" borderId="11" xfId="0" applyBorder="1"/>
    <xf numFmtId="0" fontId="9" fillId="0" borderId="0" xfId="0" applyFont="1"/>
    <xf numFmtId="164" fontId="9" fillId="0" borderId="0" xfId="1" applyFont="1"/>
    <xf numFmtId="0" fontId="9" fillId="3" borderId="0" xfId="0" applyFont="1" applyFill="1"/>
    <xf numFmtId="0" fontId="0" fillId="0" borderId="1" xfId="0" applyBorder="1" applyAlignment="1">
      <alignment horizontal="center"/>
    </xf>
    <xf numFmtId="4" fontId="10" fillId="0" borderId="1" xfId="0" applyNumberFormat="1" applyFont="1" applyBorder="1" applyAlignment="1">
      <alignment wrapText="1"/>
    </xf>
    <xf numFmtId="164" fontId="5" fillId="4" borderId="1" xfId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wrapText="1"/>
    </xf>
    <xf numFmtId="0" fontId="0" fillId="4" borderId="1" xfId="0" applyFill="1" applyBorder="1"/>
    <xf numFmtId="0" fontId="2" fillId="0" borderId="0" xfId="0" applyFont="1"/>
    <xf numFmtId="0" fontId="0" fillId="5" borderId="1" xfId="0" applyFill="1" applyBorder="1"/>
    <xf numFmtId="164" fontId="0" fillId="0" borderId="1" xfId="1" applyFont="1" applyBorder="1"/>
    <xf numFmtId="164" fontId="0" fillId="2" borderId="0" xfId="0" applyNumberFormat="1" applyFill="1"/>
    <xf numFmtId="0" fontId="13" fillId="7" borderId="1" xfId="0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vertical="top"/>
    </xf>
    <xf numFmtId="164" fontId="0" fillId="8" borderId="1" xfId="1" applyFont="1" applyFill="1" applyBorder="1" applyAlignment="1">
      <alignment horizontal="center"/>
    </xf>
    <xf numFmtId="43" fontId="0" fillId="8" borderId="0" xfId="0" applyNumberFormat="1" applyFill="1"/>
    <xf numFmtId="43" fontId="0" fillId="8" borderId="1" xfId="0" applyNumberFormat="1" applyFill="1" applyBorder="1"/>
    <xf numFmtId="164" fontId="0" fillId="8" borderId="1" xfId="1" applyFont="1" applyFill="1" applyBorder="1"/>
    <xf numFmtId="164" fontId="2" fillId="0" borderId="0" xfId="1" applyFont="1"/>
    <xf numFmtId="164" fontId="7" fillId="0" borderId="1" xfId="1" applyFont="1" applyFill="1" applyBorder="1" applyAlignment="1">
      <alignment horizontal="center" vertical="center"/>
    </xf>
    <xf numFmtId="164" fontId="6" fillId="0" borderId="1" xfId="1" applyFont="1" applyFill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9" borderId="0" xfId="0" applyFill="1"/>
    <xf numFmtId="166" fontId="0" fillId="0" borderId="1" xfId="1" applyNumberFormat="1" applyFont="1" applyBorder="1" applyAlignment="1">
      <alignment horizontal="center"/>
    </xf>
    <xf numFmtId="0" fontId="13" fillId="10" borderId="0" xfId="0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wrapText="1"/>
    </xf>
    <xf numFmtId="164" fontId="5" fillId="11" borderId="1" xfId="1" applyFont="1" applyFill="1" applyBorder="1" applyAlignment="1">
      <alignment horizontal="center" vertical="center"/>
    </xf>
    <xf numFmtId="0" fontId="0" fillId="11" borderId="1" xfId="0" applyFill="1" applyBorder="1"/>
    <xf numFmtId="0" fontId="3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0" borderId="5" xfId="0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15" fillId="0" borderId="0" xfId="0" applyFont="1" applyFill="1" applyAlignment="1">
      <alignment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9.png"/><Relationship Id="rId4" Type="http://schemas.openxmlformats.org/officeDocument/2006/relationships/image" Target="../media/image4.gif"/><Relationship Id="rId9" Type="http://schemas.openxmlformats.org/officeDocument/2006/relationships/hyperlink" Target="javascript:void(0);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123825</xdr:colOff>
      <xdr:row>0</xdr:row>
      <xdr:rowOff>57150</xdr:rowOff>
    </xdr:to>
    <xdr:pic>
      <xdr:nvPicPr>
        <xdr:cNvPr id="1026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716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28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1244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29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30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31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32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33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34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35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6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52450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7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672465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39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6677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40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41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42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43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44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45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867900"/>
          <a:ext cx="1524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66675</xdr:colOff>
      <xdr:row>8</xdr:row>
      <xdr:rowOff>0</xdr:rowOff>
    </xdr:from>
    <xdr:ext cx="57150" cy="57150"/>
    <xdr:pic>
      <xdr:nvPicPr>
        <xdr:cNvPr id="24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7675" y="0"/>
          <a:ext cx="57150" cy="57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25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26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27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28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29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30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31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32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3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4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35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36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37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38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39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40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41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42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3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4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5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zoomScale="90" zoomScaleNormal="90" workbookViewId="0">
      <selection activeCell="F11" sqref="F11"/>
    </sheetView>
  </sheetViews>
  <sheetFormatPr defaultRowHeight="15" x14ac:dyDescent="0.25"/>
  <cols>
    <col min="1" max="1" width="24.7109375" customWidth="1"/>
    <col min="2" max="2" width="31.42578125" customWidth="1"/>
    <col min="3" max="3" width="28.28515625" customWidth="1"/>
    <col min="4" max="4" width="26.42578125" bestFit="1" customWidth="1"/>
    <col min="5" max="5" width="36.42578125" customWidth="1"/>
    <col min="6" max="6" width="29.7109375" bestFit="1" customWidth="1"/>
    <col min="7" max="7" width="20.5703125" customWidth="1"/>
  </cols>
  <sheetData>
    <row r="1" spans="1:7" ht="18.75" x14ac:dyDescent="0.3">
      <c r="A1" s="65" t="s">
        <v>75</v>
      </c>
      <c r="B1" s="65"/>
      <c r="C1" s="65"/>
      <c r="D1" s="65"/>
    </row>
    <row r="2" spans="1:7" ht="63" x14ac:dyDescent="0.25">
      <c r="A2" s="4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4" t="s">
        <v>0</v>
      </c>
      <c r="G2" s="6"/>
    </row>
    <row r="3" spans="1:7" x14ac:dyDescent="0.25">
      <c r="A3" s="2">
        <v>42</v>
      </c>
      <c r="B3" s="5">
        <v>13408.36</v>
      </c>
      <c r="C3" s="5">
        <v>160900.28</v>
      </c>
      <c r="D3" s="8">
        <f>(B3/30)</f>
        <v>446.94533333333334</v>
      </c>
      <c r="E3" s="9">
        <f>D3*3</f>
        <v>1340.836</v>
      </c>
      <c r="F3" s="59">
        <v>6757811.6699999999</v>
      </c>
    </row>
    <row r="4" spans="1:7" x14ac:dyDescent="0.25">
      <c r="A4" s="1"/>
      <c r="B4" s="1"/>
      <c r="C4" s="3" t="s">
        <v>73</v>
      </c>
      <c r="D4" s="1"/>
    </row>
    <row r="5" spans="1:7" x14ac:dyDescent="0.25">
      <c r="A5" s="1"/>
      <c r="B5" s="1"/>
      <c r="C5" s="1"/>
      <c r="D5" s="1"/>
    </row>
    <row r="6" spans="1:7" x14ac:dyDescent="0.25">
      <c r="A6" s="1" t="s">
        <v>70</v>
      </c>
      <c r="B6" s="1">
        <v>431</v>
      </c>
      <c r="C6" s="1"/>
      <c r="D6" s="1"/>
    </row>
    <row r="8" spans="1:7" ht="50.25" customHeight="1" x14ac:dyDescent="0.25">
      <c r="A8" s="58"/>
      <c r="B8" t="s">
        <v>78</v>
      </c>
      <c r="F8" s="60" t="s">
        <v>81</v>
      </c>
      <c r="G8" s="61">
        <f>F11-F3</f>
        <v>-1164594.7461599996</v>
      </c>
    </row>
    <row r="9" spans="1:7" ht="34.5" customHeight="1" x14ac:dyDescent="0.3">
      <c r="A9" s="65" t="s">
        <v>74</v>
      </c>
      <c r="B9" s="65"/>
      <c r="C9" s="65"/>
      <c r="D9" s="65"/>
      <c r="E9" t="s">
        <v>76</v>
      </c>
    </row>
    <row r="10" spans="1:7" ht="47.25" customHeight="1" x14ac:dyDescent="0.25">
      <c r="A10" s="4" t="s">
        <v>2</v>
      </c>
      <c r="B10" s="7" t="s">
        <v>77</v>
      </c>
      <c r="C10" s="7" t="s">
        <v>4</v>
      </c>
      <c r="D10" s="7" t="s">
        <v>5</v>
      </c>
      <c r="E10" s="7" t="s">
        <v>6</v>
      </c>
      <c r="F10" s="4" t="s">
        <v>0</v>
      </c>
      <c r="G10" s="8"/>
    </row>
    <row r="11" spans="1:7" x14ac:dyDescent="0.25">
      <c r="A11" s="33">
        <v>42</v>
      </c>
      <c r="B11" s="47">
        <f>B3-(13408.36 *23.6%)</f>
        <v>10243.98704</v>
      </c>
      <c r="C11" s="47">
        <f>B11*13</f>
        <v>133171.83152000001</v>
      </c>
      <c r="D11" s="48">
        <f>(B11/30)</f>
        <v>341.46623466666665</v>
      </c>
      <c r="E11" s="49">
        <f>D11*3</f>
        <v>1024.398704</v>
      </c>
      <c r="F11" s="59">
        <f>C11*42</f>
        <v>5593216.9238400003</v>
      </c>
    </row>
    <row r="13" spans="1:7" ht="75.75" customHeight="1" x14ac:dyDescent="0.25">
      <c r="C13" s="62"/>
    </row>
    <row r="14" spans="1:7" ht="75" customHeight="1" x14ac:dyDescent="0.25"/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opLeftCell="A5" workbookViewId="0">
      <selection activeCell="C10" sqref="C10"/>
    </sheetView>
  </sheetViews>
  <sheetFormatPr defaultRowHeight="15" x14ac:dyDescent="0.25"/>
  <cols>
    <col min="2" max="2" width="46.85546875" bestFit="1" customWidth="1"/>
    <col min="3" max="3" width="17.85546875" customWidth="1"/>
    <col min="4" max="4" width="11.140625" customWidth="1"/>
    <col min="5" max="5" width="21.7109375" customWidth="1"/>
    <col min="6" max="6" width="13.28515625" customWidth="1"/>
    <col min="7" max="7" width="16.28515625" customWidth="1"/>
  </cols>
  <sheetData>
    <row r="1" spans="1:19" ht="15.75" thickBot="1" x14ac:dyDescent="0.3">
      <c r="A1" s="66" t="s">
        <v>60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</row>
    <row r="3" spans="1:19" x14ac:dyDescent="0.25">
      <c r="B3" t="s">
        <v>61</v>
      </c>
      <c r="C3" t="s">
        <v>62</v>
      </c>
    </row>
    <row r="4" spans="1:19" x14ac:dyDescent="0.25">
      <c r="A4" t="s">
        <v>38</v>
      </c>
      <c r="B4" s="51">
        <v>0.52439999999999998</v>
      </c>
      <c r="C4" s="38"/>
      <c r="P4" s="38"/>
    </row>
    <row r="7" spans="1:19" x14ac:dyDescent="0.25">
      <c r="C7" t="s">
        <v>68</v>
      </c>
    </row>
    <row r="8" spans="1:19" x14ac:dyDescent="0.25">
      <c r="C8" s="42" t="s">
        <v>8</v>
      </c>
      <c r="D8" s="42" t="s">
        <v>9</v>
      </c>
      <c r="E8" s="42" t="s">
        <v>66</v>
      </c>
      <c r="F8" s="42" t="s">
        <v>67</v>
      </c>
      <c r="G8" s="21" t="s">
        <v>32</v>
      </c>
    </row>
    <row r="9" spans="1:19" x14ac:dyDescent="0.25">
      <c r="B9" s="39" t="s">
        <v>52</v>
      </c>
      <c r="C9" s="40">
        <v>44.73</v>
      </c>
      <c r="D9" s="40">
        <v>12.2</v>
      </c>
      <c r="E9" s="40" t="s">
        <v>69</v>
      </c>
      <c r="F9" s="40" t="s">
        <v>69</v>
      </c>
      <c r="G9" s="41">
        <f>SUM(C9:F9)</f>
        <v>56.929999999999993</v>
      </c>
    </row>
    <row r="10" spans="1:19" x14ac:dyDescent="0.25">
      <c r="A10" s="69" t="s">
        <v>51</v>
      </c>
      <c r="B10" s="39" t="s">
        <v>54</v>
      </c>
      <c r="C10" s="40">
        <v>268.37</v>
      </c>
      <c r="D10" s="40">
        <v>17.079999999999998</v>
      </c>
      <c r="E10" s="40" t="s">
        <v>69</v>
      </c>
      <c r="F10" s="40">
        <v>54.22</v>
      </c>
      <c r="G10" s="41">
        <f t="shared" ref="G10:G21" si="0">SUM(C10:F10)</f>
        <v>339.66999999999996</v>
      </c>
    </row>
    <row r="11" spans="1:19" x14ac:dyDescent="0.25">
      <c r="A11" s="69"/>
      <c r="B11" s="39" t="s">
        <v>55</v>
      </c>
      <c r="C11" s="40">
        <v>268.37</v>
      </c>
      <c r="D11" s="40">
        <v>17.079999999999998</v>
      </c>
      <c r="E11" s="40" t="s">
        <v>69</v>
      </c>
      <c r="F11" s="40">
        <v>54.22</v>
      </c>
      <c r="G11" s="41">
        <f t="shared" si="0"/>
        <v>339.66999999999996</v>
      </c>
    </row>
    <row r="12" spans="1:19" x14ac:dyDescent="0.25">
      <c r="A12" s="69"/>
      <c r="B12" s="39" t="s">
        <v>56</v>
      </c>
      <c r="C12" s="40">
        <v>223.64</v>
      </c>
      <c r="D12" s="40">
        <v>19.52</v>
      </c>
      <c r="E12" s="40" t="s">
        <v>69</v>
      </c>
      <c r="F12" s="40">
        <v>54.22</v>
      </c>
      <c r="G12" s="41">
        <f t="shared" si="0"/>
        <v>297.38</v>
      </c>
    </row>
    <row r="13" spans="1:19" x14ac:dyDescent="0.25">
      <c r="A13" s="69"/>
      <c r="B13" s="39" t="s">
        <v>57</v>
      </c>
      <c r="C13" s="40">
        <v>313.10000000000002</v>
      </c>
      <c r="D13" s="40">
        <v>17.079999999999998</v>
      </c>
      <c r="E13" s="40" t="s">
        <v>69</v>
      </c>
      <c r="F13" s="40">
        <v>54.22</v>
      </c>
      <c r="G13" s="41">
        <f t="shared" si="0"/>
        <v>384.4</v>
      </c>
    </row>
    <row r="14" spans="1:19" x14ac:dyDescent="0.25">
      <c r="A14" s="69"/>
      <c r="B14" s="39" t="s">
        <v>58</v>
      </c>
      <c r="C14" s="40">
        <v>89.46</v>
      </c>
      <c r="D14" s="40">
        <v>1.22</v>
      </c>
      <c r="E14" s="40" t="s">
        <v>69</v>
      </c>
      <c r="F14" s="40">
        <v>54.22</v>
      </c>
      <c r="G14" s="41">
        <f t="shared" si="0"/>
        <v>144.89999999999998</v>
      </c>
    </row>
    <row r="15" spans="1:19" x14ac:dyDescent="0.25">
      <c r="A15" s="69"/>
      <c r="B15" s="70" t="s">
        <v>51</v>
      </c>
      <c r="C15" s="40">
        <v>44.73</v>
      </c>
      <c r="D15" s="40">
        <v>19.52</v>
      </c>
      <c r="E15" s="40" t="s">
        <v>69</v>
      </c>
      <c r="F15" s="40" t="s">
        <v>69</v>
      </c>
      <c r="G15" s="41">
        <f t="shared" si="0"/>
        <v>64.25</v>
      </c>
    </row>
    <row r="16" spans="1:19" ht="5.25" customHeight="1" x14ac:dyDescent="0.25">
      <c r="A16" s="69"/>
      <c r="B16" s="70"/>
      <c r="C16" s="40"/>
      <c r="D16" s="40"/>
      <c r="E16" s="40"/>
      <c r="F16" s="40"/>
      <c r="G16" s="41">
        <f t="shared" si="0"/>
        <v>0</v>
      </c>
    </row>
    <row r="17" spans="2:7" x14ac:dyDescent="0.25">
      <c r="B17" s="37" t="s">
        <v>53</v>
      </c>
      <c r="C17" s="40">
        <v>162.65</v>
      </c>
      <c r="D17" s="40">
        <v>1.22</v>
      </c>
      <c r="E17" s="40">
        <v>174.27</v>
      </c>
      <c r="F17" s="40">
        <v>7.75</v>
      </c>
      <c r="G17" s="41">
        <f t="shared" si="0"/>
        <v>345.89</v>
      </c>
    </row>
    <row r="18" spans="2:7" x14ac:dyDescent="0.25">
      <c r="B18" s="37" t="s">
        <v>59</v>
      </c>
      <c r="C18" s="40">
        <v>284.64</v>
      </c>
      <c r="D18" s="40">
        <v>284.41000000000003</v>
      </c>
      <c r="E18" s="50">
        <f>SUM(2439.75,1742.68)</f>
        <v>4182.43</v>
      </c>
      <c r="F18" s="40">
        <v>3.87</v>
      </c>
      <c r="G18" s="41">
        <f t="shared" si="0"/>
        <v>4755.3500000000004</v>
      </c>
    </row>
    <row r="19" spans="2:7" x14ac:dyDescent="0.25">
      <c r="B19" s="37" t="s">
        <v>63</v>
      </c>
      <c r="C19" s="40">
        <v>81.319999999999993</v>
      </c>
      <c r="D19" s="40">
        <v>43.92</v>
      </c>
      <c r="E19" s="40">
        <v>43.57</v>
      </c>
      <c r="F19" s="40">
        <v>3.87</v>
      </c>
      <c r="G19" s="41">
        <f t="shared" si="0"/>
        <v>172.68</v>
      </c>
    </row>
    <row r="20" spans="2:7" x14ac:dyDescent="0.25">
      <c r="B20" s="37" t="s">
        <v>64</v>
      </c>
      <c r="C20" s="40">
        <v>121.99</v>
      </c>
      <c r="D20" s="40">
        <v>29.28</v>
      </c>
      <c r="E20" s="40">
        <v>174.27</v>
      </c>
      <c r="F20" s="40">
        <v>15.49</v>
      </c>
      <c r="G20" s="41">
        <f t="shared" si="0"/>
        <v>341.03</v>
      </c>
    </row>
    <row r="21" spans="2:7" x14ac:dyDescent="0.25">
      <c r="B21" s="37" t="s">
        <v>65</v>
      </c>
      <c r="C21" s="40">
        <v>203.31</v>
      </c>
      <c r="D21" s="40">
        <v>26.84</v>
      </c>
      <c r="E21" s="40">
        <v>58.09</v>
      </c>
      <c r="F21" s="40">
        <v>7.75</v>
      </c>
      <c r="G21" s="41">
        <f t="shared" si="0"/>
        <v>295.99</v>
      </c>
    </row>
    <row r="22" spans="2:7" x14ac:dyDescent="0.25">
      <c r="B22" s="43" t="s">
        <v>32</v>
      </c>
      <c r="C22" s="44">
        <f>SUM(C9:C21)</f>
        <v>2106.31</v>
      </c>
      <c r="D22" s="44">
        <f t="shared" ref="D22:F22" si="1">SUM(D9:D21)</f>
        <v>489.37000000000006</v>
      </c>
      <c r="E22" s="44">
        <f t="shared" si="1"/>
        <v>4632.630000000001</v>
      </c>
      <c r="F22" s="44">
        <f t="shared" si="1"/>
        <v>309.83000000000004</v>
      </c>
      <c r="G22" s="44">
        <f>SUM(G9:G21)</f>
        <v>7538.14</v>
      </c>
    </row>
  </sheetData>
  <mergeCells count="3">
    <mergeCell ref="A1:S1"/>
    <mergeCell ref="A10:A16"/>
    <mergeCell ref="B15:B1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I24"/>
  <sheetViews>
    <sheetView showGridLines="0" topLeftCell="A24" zoomScale="85" zoomScaleNormal="85" workbookViewId="0">
      <selection activeCell="H19" sqref="H19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25</v>
      </c>
    </row>
    <row r="2" spans="1:9" x14ac:dyDescent="0.25">
      <c r="C2" s="11" t="s">
        <v>48</v>
      </c>
      <c r="H2" s="75" t="s">
        <v>21</v>
      </c>
      <c r="I2" s="75"/>
    </row>
    <row r="3" spans="1:9" x14ac:dyDescent="0.25">
      <c r="H3" s="78" t="s">
        <v>80</v>
      </c>
      <c r="I3" s="78"/>
    </row>
    <row r="4" spans="1:9" x14ac:dyDescent="0.25">
      <c r="H4" s="75" t="s">
        <v>22</v>
      </c>
      <c r="I4" s="75"/>
    </row>
    <row r="5" spans="1:9" x14ac:dyDescent="0.25">
      <c r="B5" t="s">
        <v>10</v>
      </c>
      <c r="C5"/>
      <c r="D5" t="s">
        <v>33</v>
      </c>
      <c r="E5"/>
      <c r="H5" s="79">
        <v>0.15</v>
      </c>
      <c r="I5" s="78"/>
    </row>
    <row r="6" spans="1:9" x14ac:dyDescent="0.25">
      <c r="B6" s="21" t="s">
        <v>28</v>
      </c>
      <c r="C6" s="21" t="s">
        <v>29</v>
      </c>
      <c r="D6" s="21" t="s">
        <v>30</v>
      </c>
      <c r="E6" s="21" t="s">
        <v>31</v>
      </c>
      <c r="F6" s="21" t="s">
        <v>32</v>
      </c>
      <c r="H6" s="75" t="s">
        <v>23</v>
      </c>
      <c r="I6" s="75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78" t="s">
        <v>24</v>
      </c>
      <c r="I7" s="78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75" t="s">
        <v>26</v>
      </c>
      <c r="I8" s="75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78" t="s">
        <v>27</v>
      </c>
      <c r="I9" s="78"/>
    </row>
    <row r="10" spans="1:9" x14ac:dyDescent="0.25">
      <c r="B10" s="72" t="s">
        <v>34</v>
      </c>
      <c r="C10" s="73"/>
      <c r="D10" s="73"/>
      <c r="E10" s="74"/>
      <c r="F10" s="25">
        <f>ROUND(AVERAGE(33,51,67),0)</f>
        <v>50</v>
      </c>
      <c r="H10" s="20"/>
      <c r="I10" s="20"/>
    </row>
    <row r="11" spans="1:9" x14ac:dyDescent="0.25">
      <c r="B11" s="76" t="s">
        <v>35</v>
      </c>
      <c r="C11" s="76"/>
      <c r="D11" s="76"/>
      <c r="E11" s="76"/>
      <c r="F11" s="76"/>
      <c r="G11" s="76"/>
      <c r="H11" s="76"/>
      <c r="I11" s="76"/>
    </row>
    <row r="12" spans="1:9" x14ac:dyDescent="0.25">
      <c r="B12" s="76"/>
      <c r="C12" s="76"/>
      <c r="D12" s="76"/>
      <c r="E12" s="76"/>
      <c r="F12" s="76"/>
      <c r="G12" s="76"/>
      <c r="H12" s="76"/>
      <c r="I12" s="76"/>
    </row>
    <row r="13" spans="1:9" x14ac:dyDescent="0.25">
      <c r="B13" s="76"/>
      <c r="C13" s="76"/>
      <c r="D13" s="76"/>
      <c r="E13" s="76"/>
      <c r="F13" s="76"/>
      <c r="G13" s="76"/>
      <c r="H13" s="76"/>
      <c r="I13" s="76"/>
    </row>
    <row r="14" spans="1:9" ht="34.5" customHeight="1" x14ac:dyDescent="0.25">
      <c r="B14" s="12"/>
      <c r="C14" s="22" t="s">
        <v>12</v>
      </c>
      <c r="D14" s="23" t="s">
        <v>13</v>
      </c>
      <c r="E14" s="24" t="s">
        <v>14</v>
      </c>
      <c r="H14" s="26"/>
      <c r="I14" s="27"/>
    </row>
    <row r="15" spans="1:9" ht="15.75" x14ac:dyDescent="0.25">
      <c r="B15" s="1" t="s">
        <v>7</v>
      </c>
      <c r="C15" s="18">
        <v>160900.28</v>
      </c>
      <c r="D15" s="19">
        <f>'Dados Gerais'!B3</f>
        <v>13408.36</v>
      </c>
      <c r="E15" s="18">
        <f>D15/30</f>
        <v>446.94533333333334</v>
      </c>
      <c r="I15" s="28"/>
    </row>
    <row r="16" spans="1:9" ht="15.75" x14ac:dyDescent="0.25">
      <c r="A16" s="77" t="s">
        <v>11</v>
      </c>
      <c r="B16" s="1" t="s">
        <v>8</v>
      </c>
      <c r="C16" s="18"/>
      <c r="D16" s="19">
        <f>CustosDiretos!C22</f>
        <v>2106.31</v>
      </c>
      <c r="E16" s="18">
        <f>D16/30</f>
        <v>70.210333333333338</v>
      </c>
      <c r="I16" s="28"/>
    </row>
    <row r="17" spans="1:9" ht="15.75" x14ac:dyDescent="0.25">
      <c r="A17" s="77"/>
      <c r="B17" s="1" t="s">
        <v>9</v>
      </c>
      <c r="C17" s="18"/>
      <c r="D17" s="19">
        <f>CustosDiretos!D22</f>
        <v>489.37000000000006</v>
      </c>
      <c r="E17" s="18">
        <f>D17/30</f>
        <v>16.312333333333335</v>
      </c>
      <c r="I17" s="29"/>
    </row>
    <row r="18" spans="1:9" ht="90" x14ac:dyDescent="0.25">
      <c r="A18" s="77"/>
      <c r="B18" s="45" t="s">
        <v>1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20</v>
      </c>
      <c r="G18" s="34" t="s">
        <v>19</v>
      </c>
      <c r="H18" s="34" t="s">
        <v>15</v>
      </c>
      <c r="I18" s="34" t="s">
        <v>16</v>
      </c>
    </row>
    <row r="19" spans="1:9" ht="45" customHeight="1" x14ac:dyDescent="0.25">
      <c r="B19" s="15" t="s">
        <v>17</v>
      </c>
      <c r="C19" s="16">
        <f>SUM(C15:C18)</f>
        <v>160900.28</v>
      </c>
      <c r="D19" s="17">
        <f>SUM(D15:D18)</f>
        <v>16004.564400000001</v>
      </c>
      <c r="E19" s="16">
        <f>SUM(E15:E18)</f>
        <v>533.48547999999994</v>
      </c>
      <c r="F19" s="35">
        <f>E19*3</f>
        <v>1600.4564399999999</v>
      </c>
      <c r="G19" s="37">
        <f>C20*3</f>
        <v>150</v>
      </c>
      <c r="H19" s="35">
        <f>E19*G19</f>
        <v>80022.821999999986</v>
      </c>
      <c r="I19" s="35">
        <f>H19</f>
        <v>80022.821999999986</v>
      </c>
    </row>
    <row r="20" spans="1:9" ht="60" x14ac:dyDescent="0.25">
      <c r="B20" s="10" t="s">
        <v>49</v>
      </c>
      <c r="C20" s="14">
        <v>50</v>
      </c>
      <c r="D20" s="14">
        <f>C20/12</f>
        <v>4.166666666666667</v>
      </c>
      <c r="E20" s="57">
        <f>(D20/30)/100</f>
        <v>1.3888888888888889E-3</v>
      </c>
      <c r="G20" s="13"/>
      <c r="H20" s="8"/>
    </row>
    <row r="21" spans="1:9" ht="75" x14ac:dyDescent="0.25">
      <c r="B21" s="10" t="s">
        <v>18</v>
      </c>
      <c r="C21" s="14">
        <f>C20*C19</f>
        <v>8045014</v>
      </c>
      <c r="D21" s="14">
        <f>D20*D19</f>
        <v>66685.685000000012</v>
      </c>
      <c r="E21" s="14">
        <f>E20*E19</f>
        <v>0.74095205555555554</v>
      </c>
    </row>
    <row r="22" spans="1:9" ht="215.25" customHeight="1" x14ac:dyDescent="0.25">
      <c r="A22" s="46" t="s">
        <v>50</v>
      </c>
      <c r="B22" s="71" t="s">
        <v>71</v>
      </c>
      <c r="C22" s="71"/>
      <c r="D22" s="71"/>
      <c r="E22" s="71"/>
    </row>
    <row r="24" spans="1:9" x14ac:dyDescent="0.25">
      <c r="F24" s="8"/>
    </row>
  </sheetData>
  <mergeCells count="12">
    <mergeCell ref="B22:E22"/>
    <mergeCell ref="B10:E10"/>
    <mergeCell ref="H2:I2"/>
    <mergeCell ref="B11:I13"/>
    <mergeCell ref="A16:A18"/>
    <mergeCell ref="H3:I3"/>
    <mergeCell ref="H4:I4"/>
    <mergeCell ref="H5:I5"/>
    <mergeCell ref="H7:I7"/>
    <mergeCell ref="H6:I6"/>
    <mergeCell ref="H8:I8"/>
    <mergeCell ref="H9:I9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24"/>
  <sheetViews>
    <sheetView showGridLines="0" tabSelected="1" topLeftCell="A15" zoomScale="55" zoomScaleNormal="55" workbookViewId="0">
      <selection sqref="A1:I22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19" customWidth="1"/>
    <col min="7" max="7" width="42.28515625" customWidth="1"/>
    <col min="8" max="8" width="22.140625" customWidth="1"/>
    <col min="9" max="9" width="23.85546875" customWidth="1"/>
  </cols>
  <sheetData>
    <row r="1" spans="1:9" x14ac:dyDescent="0.25">
      <c r="A1" t="s">
        <v>25</v>
      </c>
    </row>
    <row r="2" spans="1:9" x14ac:dyDescent="0.25">
      <c r="C2" s="11" t="s">
        <v>48</v>
      </c>
      <c r="H2" s="75" t="s">
        <v>21</v>
      </c>
      <c r="I2" s="75"/>
    </row>
    <row r="3" spans="1:9" x14ac:dyDescent="0.25">
      <c r="A3" s="58"/>
      <c r="B3" t="s">
        <v>79</v>
      </c>
      <c r="H3" s="78" t="s">
        <v>80</v>
      </c>
      <c r="I3" s="78"/>
    </row>
    <row r="4" spans="1:9" x14ac:dyDescent="0.25">
      <c r="H4" s="75" t="s">
        <v>22</v>
      </c>
      <c r="I4" s="75"/>
    </row>
    <row r="5" spans="1:9" x14ac:dyDescent="0.25">
      <c r="B5" t="s">
        <v>10</v>
      </c>
      <c r="C5"/>
      <c r="D5" t="s">
        <v>33</v>
      </c>
      <c r="E5"/>
      <c r="H5" s="79">
        <v>0.15</v>
      </c>
      <c r="I5" s="78"/>
    </row>
    <row r="6" spans="1:9" x14ac:dyDescent="0.25">
      <c r="B6" s="21" t="s">
        <v>28</v>
      </c>
      <c r="C6" s="21" t="s">
        <v>29</v>
      </c>
      <c r="D6" s="21" t="s">
        <v>30</v>
      </c>
      <c r="E6" s="21" t="s">
        <v>31</v>
      </c>
      <c r="F6" s="21" t="s">
        <v>32</v>
      </c>
      <c r="H6" s="75" t="s">
        <v>23</v>
      </c>
      <c r="I6" s="75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78" t="s">
        <v>82</v>
      </c>
      <c r="I7" s="78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75" t="s">
        <v>26</v>
      </c>
      <c r="I8" s="75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78" t="s">
        <v>27</v>
      </c>
      <c r="I9" s="78"/>
    </row>
    <row r="10" spans="1:9" x14ac:dyDescent="0.25">
      <c r="B10" s="72" t="s">
        <v>34</v>
      </c>
      <c r="C10" s="73"/>
      <c r="D10" s="73"/>
      <c r="E10" s="74"/>
      <c r="F10" s="25">
        <f>ROUND(AVERAGE(33,51,67),0)</f>
        <v>50</v>
      </c>
      <c r="H10" s="20"/>
      <c r="I10" s="20"/>
    </row>
    <row r="11" spans="1:9" x14ac:dyDescent="0.25">
      <c r="B11" s="76" t="s">
        <v>35</v>
      </c>
      <c r="C11" s="76"/>
      <c r="D11" s="76"/>
      <c r="E11" s="76"/>
      <c r="F11" s="76"/>
      <c r="G11" s="76"/>
      <c r="H11" s="76"/>
      <c r="I11" s="76"/>
    </row>
    <row r="12" spans="1:9" x14ac:dyDescent="0.25">
      <c r="B12" s="76"/>
      <c r="C12" s="76"/>
      <c r="D12" s="76"/>
      <c r="E12" s="76"/>
      <c r="F12" s="76"/>
      <c r="G12" s="76"/>
      <c r="H12" s="76"/>
      <c r="I12" s="76"/>
    </row>
    <row r="13" spans="1:9" x14ac:dyDescent="0.25">
      <c r="B13" s="76"/>
      <c r="C13" s="76"/>
      <c r="D13" s="76"/>
      <c r="E13" s="76"/>
      <c r="F13" s="76"/>
      <c r="G13" s="76"/>
      <c r="H13" s="76"/>
      <c r="I13" s="76"/>
    </row>
    <row r="14" spans="1:9" ht="34.5" customHeight="1" x14ac:dyDescent="0.25">
      <c r="B14" s="12"/>
      <c r="C14" s="22" t="s">
        <v>12</v>
      </c>
      <c r="D14" s="23" t="s">
        <v>13</v>
      </c>
      <c r="E14" s="24" t="s">
        <v>14</v>
      </c>
      <c r="H14" s="26"/>
      <c r="I14" s="27"/>
    </row>
    <row r="15" spans="1:9" ht="177" customHeight="1" x14ac:dyDescent="0.25">
      <c r="B15" s="1" t="s">
        <v>7</v>
      </c>
      <c r="C15" s="53">
        <f>'Dados Gerais'!C11</f>
        <v>133171.83152000001</v>
      </c>
      <c r="D15" s="52">
        <f>'Dados Gerais'!B11</f>
        <v>10243.98704</v>
      </c>
      <c r="E15" s="53">
        <f>D15/30</f>
        <v>341.46623466666665</v>
      </c>
      <c r="F15" s="80" t="s">
        <v>72</v>
      </c>
      <c r="I15" s="28"/>
    </row>
    <row r="16" spans="1:9" ht="15.75" x14ac:dyDescent="0.25">
      <c r="A16" s="77" t="s">
        <v>11</v>
      </c>
      <c r="B16" s="1" t="s">
        <v>8</v>
      </c>
      <c r="C16" s="54"/>
      <c r="D16" s="55">
        <f>CustosDiretos!C22</f>
        <v>2106.31</v>
      </c>
      <c r="E16" s="54">
        <f>D16/30</f>
        <v>70.210333333333338</v>
      </c>
      <c r="I16" s="28"/>
    </row>
    <row r="17" spans="1:9" ht="15.75" x14ac:dyDescent="0.25">
      <c r="A17" s="77"/>
      <c r="B17" s="1" t="s">
        <v>9</v>
      </c>
      <c r="C17" s="54"/>
      <c r="D17" s="55">
        <f>CustosDiretos!D22</f>
        <v>489.37000000000006</v>
      </c>
      <c r="E17" s="54">
        <f>D17/30</f>
        <v>16.312333333333335</v>
      </c>
      <c r="I17" s="29"/>
    </row>
    <row r="18" spans="1:9" ht="128.25" x14ac:dyDescent="0.25">
      <c r="A18" s="77"/>
      <c r="B18" s="45" t="s">
        <v>1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20</v>
      </c>
      <c r="G18" s="34" t="s">
        <v>19</v>
      </c>
      <c r="H18" s="34" t="s">
        <v>15</v>
      </c>
      <c r="I18" s="34" t="s">
        <v>16</v>
      </c>
    </row>
    <row r="19" spans="1:9" ht="45" customHeight="1" x14ac:dyDescent="0.25">
      <c r="B19" s="15" t="s">
        <v>17</v>
      </c>
      <c r="C19" s="16">
        <f>SUM(C15:C18)</f>
        <v>133171.83152000001</v>
      </c>
      <c r="D19" s="17">
        <f>SUM(D15:D18)</f>
        <v>12840.191440000001</v>
      </c>
      <c r="E19" s="16">
        <f>SUM(E15:E18)</f>
        <v>428.00638133333331</v>
      </c>
      <c r="F19" s="63">
        <f>E19*3</f>
        <v>1284.0191439999999</v>
      </c>
      <c r="G19" s="64">
        <f>C20*3</f>
        <v>3960</v>
      </c>
      <c r="H19" s="63">
        <f>E19*G19</f>
        <v>1694905.2700799999</v>
      </c>
      <c r="I19" s="63">
        <f>H19</f>
        <v>1694905.2700799999</v>
      </c>
    </row>
    <row r="20" spans="1:9" ht="60" x14ac:dyDescent="0.25">
      <c r="B20" s="10" t="s">
        <v>49</v>
      </c>
      <c r="C20" s="14">
        <v>1320</v>
      </c>
      <c r="D20" s="14">
        <f>C20/12</f>
        <v>110</v>
      </c>
      <c r="E20" s="14">
        <f>D20/30</f>
        <v>3.6666666666666665</v>
      </c>
      <c r="G20" s="13" t="s">
        <v>83</v>
      </c>
      <c r="H20" s="8"/>
      <c r="I20" s="8">
        <f>(3*(1320))*E19</f>
        <v>1694905.2700799999</v>
      </c>
    </row>
    <row r="21" spans="1:9" ht="75" x14ac:dyDescent="0.25">
      <c r="B21" s="10" t="s">
        <v>18</v>
      </c>
      <c r="C21" s="56">
        <f>C20*C19</f>
        <v>175786817.60640001</v>
      </c>
      <c r="D21" s="56">
        <f>D20*D19</f>
        <v>1412421.0584</v>
      </c>
      <c r="E21" s="56">
        <f>E20*E19</f>
        <v>1569.3567315555554</v>
      </c>
    </row>
    <row r="22" spans="1:9" ht="215.25" customHeight="1" x14ac:dyDescent="0.25">
      <c r="A22" s="46" t="s">
        <v>50</v>
      </c>
      <c r="B22" s="71" t="s">
        <v>84</v>
      </c>
      <c r="C22" s="71"/>
      <c r="D22" s="71"/>
      <c r="E22" s="71"/>
    </row>
    <row r="24" spans="1:9" x14ac:dyDescent="0.25">
      <c r="F24" s="8"/>
    </row>
  </sheetData>
  <mergeCells count="12">
    <mergeCell ref="A16:A18"/>
    <mergeCell ref="B22:E22"/>
    <mergeCell ref="H2:I2"/>
    <mergeCell ref="H3:I3"/>
    <mergeCell ref="H4:I4"/>
    <mergeCell ref="H5:I5"/>
    <mergeCell ref="H6:I6"/>
    <mergeCell ref="H7:I7"/>
    <mergeCell ref="H8:I8"/>
    <mergeCell ref="H9:I9"/>
    <mergeCell ref="B10:E10"/>
    <mergeCell ref="B11:I13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6"/>
  <sheetViews>
    <sheetView workbookViewId="0">
      <selection activeCell="A32" sqref="A32"/>
    </sheetView>
  </sheetViews>
  <sheetFormatPr defaultRowHeight="15" x14ac:dyDescent="0.25"/>
  <cols>
    <col min="1" max="1" width="47.85546875" customWidth="1"/>
    <col min="2" max="2" width="13" customWidth="1"/>
    <col min="3" max="3" width="147.140625" bestFit="1" customWidth="1"/>
  </cols>
  <sheetData>
    <row r="1" spans="1:4" x14ac:dyDescent="0.25">
      <c r="A1" s="30" t="s">
        <v>36</v>
      </c>
      <c r="B1" s="30" t="s">
        <v>38</v>
      </c>
      <c r="C1" s="30" t="s">
        <v>37</v>
      </c>
      <c r="D1" s="30"/>
    </row>
    <row r="2" spans="1:4" x14ac:dyDescent="0.25">
      <c r="A2" s="30" t="s">
        <v>2</v>
      </c>
      <c r="B2" s="30">
        <v>42</v>
      </c>
      <c r="C2" s="30" t="s">
        <v>39</v>
      </c>
      <c r="D2" s="30"/>
    </row>
    <row r="3" spans="1:4" x14ac:dyDescent="0.25">
      <c r="A3" s="30" t="s">
        <v>47</v>
      </c>
      <c r="B3" s="31">
        <v>14500</v>
      </c>
      <c r="C3" s="32" t="s">
        <v>40</v>
      </c>
      <c r="D3" s="30"/>
    </row>
    <row r="4" spans="1:4" x14ac:dyDescent="0.25">
      <c r="A4" s="30" t="s">
        <v>41</v>
      </c>
      <c r="B4" s="31">
        <v>174000</v>
      </c>
      <c r="C4" s="32" t="s">
        <v>42</v>
      </c>
      <c r="D4" s="30"/>
    </row>
    <row r="5" spans="1:4" x14ac:dyDescent="0.25">
      <c r="A5" s="30" t="s">
        <v>43</v>
      </c>
      <c r="B5" s="31">
        <v>22.02</v>
      </c>
      <c r="C5" s="32" t="s">
        <v>44</v>
      </c>
      <c r="D5" s="30"/>
    </row>
    <row r="6" spans="1:4" x14ac:dyDescent="0.25">
      <c r="A6" s="30" t="s">
        <v>46</v>
      </c>
      <c r="B6" s="31">
        <v>0.83</v>
      </c>
      <c r="C6" s="30" t="s">
        <v>45</v>
      </c>
      <c r="D6" s="30"/>
    </row>
    <row r="7" spans="1:4" x14ac:dyDescent="0.25">
      <c r="A7" s="30"/>
      <c r="B7" s="30"/>
      <c r="C7" s="30"/>
      <c r="D7" s="30"/>
    </row>
    <row r="8" spans="1:4" x14ac:dyDescent="0.25">
      <c r="A8" s="30"/>
      <c r="B8" s="30"/>
      <c r="C8" s="30"/>
      <c r="D8" s="30"/>
    </row>
    <row r="9" spans="1:4" x14ac:dyDescent="0.25">
      <c r="A9" s="30"/>
      <c r="B9" s="30"/>
      <c r="C9" s="30"/>
      <c r="D9" s="30"/>
    </row>
    <row r="10" spans="1:4" x14ac:dyDescent="0.25">
      <c r="A10" s="30"/>
      <c r="B10" s="30"/>
      <c r="C10" s="30"/>
      <c r="D10" s="30"/>
    </row>
    <row r="11" spans="1:4" x14ac:dyDescent="0.25">
      <c r="A11" s="30"/>
      <c r="B11" s="30"/>
      <c r="C11" s="30"/>
      <c r="D11" s="30"/>
    </row>
    <row r="12" spans="1:4" x14ac:dyDescent="0.25">
      <c r="A12" s="30"/>
      <c r="B12" s="30"/>
      <c r="C12" s="30"/>
      <c r="D12" s="30"/>
    </row>
    <row r="13" spans="1:4" x14ac:dyDescent="0.25">
      <c r="A13" s="30"/>
      <c r="B13" s="30"/>
      <c r="C13" s="30"/>
      <c r="D13" s="30"/>
    </row>
    <row r="14" spans="1:4" x14ac:dyDescent="0.25">
      <c r="A14" s="30"/>
      <c r="B14" s="30"/>
      <c r="C14" s="30"/>
      <c r="D14" s="30"/>
    </row>
    <row r="15" spans="1:4" x14ac:dyDescent="0.25">
      <c r="A15" s="30"/>
      <c r="B15" s="30"/>
      <c r="C15" s="30"/>
      <c r="D15" s="30"/>
    </row>
    <row r="16" spans="1:4" x14ac:dyDescent="0.25">
      <c r="A16" s="30"/>
      <c r="B16" s="30"/>
      <c r="C16" s="30"/>
      <c r="D16" s="30"/>
    </row>
    <row r="17" spans="1:4" x14ac:dyDescent="0.25">
      <c r="A17" s="30"/>
      <c r="B17" s="30"/>
      <c r="C17" s="30"/>
      <c r="D17" s="30"/>
    </row>
    <row r="18" spans="1:4" x14ac:dyDescent="0.25">
      <c r="A18" s="30"/>
      <c r="B18" s="30"/>
      <c r="C18" s="30"/>
      <c r="D18" s="30"/>
    </row>
    <row r="19" spans="1:4" x14ac:dyDescent="0.25">
      <c r="A19" s="30"/>
      <c r="B19" s="30"/>
      <c r="C19" s="30"/>
      <c r="D19" s="30"/>
    </row>
    <row r="20" spans="1:4" x14ac:dyDescent="0.25">
      <c r="A20" s="30"/>
      <c r="B20" s="30"/>
      <c r="C20" s="30"/>
      <c r="D20" s="30"/>
    </row>
    <row r="21" spans="1:4" x14ac:dyDescent="0.25">
      <c r="A21" s="30"/>
      <c r="B21" s="30"/>
      <c r="C21" s="30"/>
      <c r="D21" s="30"/>
    </row>
    <row r="22" spans="1:4" x14ac:dyDescent="0.25">
      <c r="A22" s="30"/>
      <c r="B22" s="30"/>
      <c r="C22" s="30"/>
      <c r="D22" s="30"/>
    </row>
    <row r="23" spans="1:4" x14ac:dyDescent="0.25">
      <c r="A23" s="30"/>
      <c r="B23" s="30"/>
      <c r="C23" s="30"/>
      <c r="D23" s="30"/>
    </row>
    <row r="24" spans="1:4" x14ac:dyDescent="0.25">
      <c r="A24" s="30"/>
      <c r="B24" s="30"/>
      <c r="C24" s="30"/>
      <c r="D24" s="30"/>
    </row>
    <row r="25" spans="1:4" x14ac:dyDescent="0.25">
      <c r="A25" s="30"/>
      <c r="B25" s="30"/>
      <c r="C25" s="30"/>
      <c r="D25" s="30"/>
    </row>
    <row r="26" spans="1:4" x14ac:dyDescent="0.25">
      <c r="A26" s="30"/>
      <c r="B26" s="30"/>
      <c r="C26" s="30"/>
      <c r="D26" s="30"/>
    </row>
    <row r="27" spans="1:4" x14ac:dyDescent="0.25">
      <c r="A27" s="30"/>
      <c r="B27" s="30"/>
      <c r="C27" s="30"/>
      <c r="D27" s="30"/>
    </row>
    <row r="28" spans="1:4" x14ac:dyDescent="0.25">
      <c r="A28" s="30"/>
      <c r="B28" s="30"/>
      <c r="C28" s="30"/>
      <c r="D28" s="30"/>
    </row>
    <row r="29" spans="1:4" x14ac:dyDescent="0.25">
      <c r="A29" s="30"/>
      <c r="B29" s="30"/>
      <c r="C29" s="30"/>
      <c r="D29" s="30"/>
    </row>
    <row r="30" spans="1:4" x14ac:dyDescent="0.25">
      <c r="A30" s="30"/>
      <c r="B30" s="30"/>
      <c r="C30" s="30"/>
      <c r="D30" s="30"/>
    </row>
    <row r="31" spans="1:4" x14ac:dyDescent="0.25">
      <c r="A31" s="30"/>
      <c r="B31" s="30"/>
      <c r="C31" s="30"/>
      <c r="D31" s="30"/>
    </row>
    <row r="32" spans="1:4" x14ac:dyDescent="0.25">
      <c r="A32" s="30"/>
      <c r="B32" s="30"/>
      <c r="C32" s="30"/>
      <c r="D32" s="30"/>
    </row>
    <row r="33" spans="1:4" x14ac:dyDescent="0.25">
      <c r="A33" s="30"/>
      <c r="B33" s="30"/>
      <c r="C33" s="30"/>
      <c r="D33" s="30"/>
    </row>
    <row r="34" spans="1:4" x14ac:dyDescent="0.25">
      <c r="A34" s="30"/>
      <c r="B34" s="30"/>
      <c r="C34" s="30"/>
      <c r="D34" s="30"/>
    </row>
    <row r="35" spans="1:4" x14ac:dyDescent="0.25">
      <c r="A35" s="30"/>
      <c r="B35" s="30"/>
      <c r="C35" s="30"/>
      <c r="D35" s="30"/>
    </row>
    <row r="36" spans="1:4" x14ac:dyDescent="0.25">
      <c r="A36" s="30"/>
      <c r="B36" s="30"/>
      <c r="C36" s="30"/>
      <c r="D36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Gerais</vt:lpstr>
      <vt:lpstr>CustosDiretos</vt:lpstr>
      <vt:lpstr>AnaliseCustosBruto</vt:lpstr>
      <vt:lpstr>AnaliseCustosLíquido</vt:lpstr>
      <vt:lpstr>QUESTIONAMENTOS</vt:lpstr>
    </vt:vector>
  </TitlesOfParts>
  <Company>Justiça Eleitoral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069720290604</dc:creator>
  <cp:lastModifiedBy>Ruhan Pablo Acosta Sanabria</cp:lastModifiedBy>
  <dcterms:created xsi:type="dcterms:W3CDTF">2017-03-28T21:09:34Z</dcterms:created>
  <dcterms:modified xsi:type="dcterms:W3CDTF">2017-09-28T02:14:17Z</dcterms:modified>
</cp:coreProperties>
</file>