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2.xml" ContentType="application/vnd.openxmlformats-officedocument.drawing+xml"/>
  <Override PartName="/xl/ctrlProps/ctrlProp1.xml" ContentType="application/vnd.ms-excel.controlproperties+xml"/>
  <Override PartName="/xl/charts/chartEx1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ui Lima\Desktop\FIXED INCOME\CW1\Submission\"/>
    </mc:Choice>
  </mc:AlternateContent>
  <xr:revisionPtr revIDLastSave="0" documentId="13_ncr:1_{ABA901EF-1F4E-430F-8E0C-7C6E0C4A8BA5}" xr6:coauthVersionLast="45" xr6:coauthVersionMax="45" xr10:uidLastSave="{00000000-0000-0000-0000-000000000000}"/>
  <bookViews>
    <workbookView xWindow="-110" yWindow="-110" windowWidth="19420" windowHeight="10420" firstSheet="12" activeTab="16" xr2:uid="{00000000-000D-0000-FFFF-FFFF00000000}"/>
  </bookViews>
  <sheets>
    <sheet name="Auxiliar" sheetId="3" state="hidden" r:id="rId1"/>
    <sheet name="Holidays" sheetId="2" r:id="rId2"/>
    <sheet name="EURIBOR" sheetId="4" r:id="rId3"/>
    <sheet name="Bootstraping-Linear_Interpol" sheetId="5" r:id="rId4"/>
    <sheet name="Nelson Siegel_linearBoot" sheetId="6" r:id="rId5"/>
    <sheet name="Bootstraping_CFR" sheetId="7" state="hidden" r:id="rId6"/>
    <sheet name="Nelson Siegel_cfrBoot" sheetId="8" state="hidden" r:id="rId7"/>
    <sheet name="Merton" sheetId="10" state="hidden" r:id="rId8"/>
    <sheet name="IVOL (Q2)" sheetId="11" r:id="rId9"/>
    <sheet name="Survival Probability (Q3)" sheetId="12" r:id="rId10"/>
    <sheet name="NOTE 1 (Q1 to Q5)" sheetId="1" r:id="rId11"/>
    <sheet name="NOTE 2 (Q1, Q3 to Q5)" sheetId="13" r:id="rId12"/>
    <sheet name="IRS Hedge (6)" sheetId="15" r:id="rId13"/>
    <sheet name="Combined Hedge (Q6)" sheetId="16" r:id="rId14"/>
    <sheet name="Vasicek (Q9)" sheetId="9" r:id="rId15"/>
    <sheet name="Run MCS (Q9)" sheetId="17" r:id="rId16"/>
    <sheet name="Summary" sheetId="18" r:id="rId17"/>
  </sheets>
  <functionGroups builtInGroupCount="19"/>
  <definedNames>
    <definedName name="_xlchart.v1.0" hidden="1">'Run MCS (Q9)'!$H$17:$H$5016</definedName>
    <definedName name="solver_adj" localSheetId="5" hidden="1">Bootstraping_CFR!$P$8</definedName>
    <definedName name="solver_adj" localSheetId="12" hidden="1">'IRS Hedge (6)'!$B$69</definedName>
    <definedName name="solver_adj" localSheetId="7" hidden="1">Merton!#REF!</definedName>
    <definedName name="solver_adj" localSheetId="6" hidden="1">'Nelson Siegel_cfrBoot'!$L$4:$L$7</definedName>
    <definedName name="solver_adj" localSheetId="4" hidden="1">'Nelson Siegel_linearBoot'!$J$4:$J$7</definedName>
    <definedName name="solver_adj" localSheetId="14" hidden="1">'Vasicek (Q9)'!$I$3:$I$6</definedName>
    <definedName name="solver_cvg" localSheetId="5" hidden="1">0.0001</definedName>
    <definedName name="solver_cvg" localSheetId="12" hidden="1">0.0001</definedName>
    <definedName name="solver_cvg" localSheetId="7" hidden="1">0.0001</definedName>
    <definedName name="solver_cvg" localSheetId="6" hidden="1">0.0001</definedName>
    <definedName name="solver_cvg" localSheetId="4" hidden="1">0.0001</definedName>
    <definedName name="solver_cvg" localSheetId="14" hidden="1">0.0001</definedName>
    <definedName name="solver_drv" localSheetId="5" hidden="1">2</definedName>
    <definedName name="solver_drv" localSheetId="12" hidden="1">2</definedName>
    <definedName name="solver_drv" localSheetId="7" hidden="1">1</definedName>
    <definedName name="solver_drv" localSheetId="6" hidden="1">1</definedName>
    <definedName name="solver_drv" localSheetId="4" hidden="1">1</definedName>
    <definedName name="solver_drv" localSheetId="14" hidden="1">1</definedName>
    <definedName name="solver_eng" localSheetId="5" hidden="1">1</definedName>
    <definedName name="solver_eng" localSheetId="12" hidden="1">1</definedName>
    <definedName name="solver_eng" localSheetId="7" hidden="1">1</definedName>
    <definedName name="solver_eng" localSheetId="6" hidden="1">1</definedName>
    <definedName name="solver_eng" localSheetId="4" hidden="1">1</definedName>
    <definedName name="solver_eng" localSheetId="14" hidden="1">1</definedName>
    <definedName name="solver_est" localSheetId="5" hidden="1">1</definedName>
    <definedName name="solver_est" localSheetId="12" hidden="1">1</definedName>
    <definedName name="solver_est" localSheetId="7" hidden="1">1</definedName>
    <definedName name="solver_est" localSheetId="6" hidden="1">1</definedName>
    <definedName name="solver_est" localSheetId="4" hidden="1">1</definedName>
    <definedName name="solver_est" localSheetId="14" hidden="1">1</definedName>
    <definedName name="solver_itr" localSheetId="5" hidden="1">2147483647</definedName>
    <definedName name="solver_itr" localSheetId="12" hidden="1">2147483647</definedName>
    <definedName name="solver_itr" localSheetId="7" hidden="1">2147483647</definedName>
    <definedName name="solver_itr" localSheetId="6" hidden="1">2147483647</definedName>
    <definedName name="solver_itr" localSheetId="4" hidden="1">2147483647</definedName>
    <definedName name="solver_itr" localSheetId="14" hidden="1">2147483647</definedName>
    <definedName name="solver_lhs1" localSheetId="6" hidden="1">'Nelson Siegel_cfrBoot'!$L$7</definedName>
    <definedName name="solver_lhs1" localSheetId="4" hidden="1">'Nelson Siegel_linearBoot'!$J$7</definedName>
    <definedName name="solver_lhs1" localSheetId="14" hidden="1">'Vasicek (Q9)'!$I$6</definedName>
    <definedName name="solver_mip" localSheetId="5" hidden="1">2147483647</definedName>
    <definedName name="solver_mip" localSheetId="12" hidden="1">2147483647</definedName>
    <definedName name="solver_mip" localSheetId="7" hidden="1">2147483647</definedName>
    <definedName name="solver_mip" localSheetId="6" hidden="1">2147483647</definedName>
    <definedName name="solver_mip" localSheetId="4" hidden="1">2147483647</definedName>
    <definedName name="solver_mip" localSheetId="14" hidden="1">2147483647</definedName>
    <definedName name="solver_mni" localSheetId="5" hidden="1">30</definedName>
    <definedName name="solver_mni" localSheetId="12" hidden="1">30</definedName>
    <definedName name="solver_mni" localSheetId="7" hidden="1">30</definedName>
    <definedName name="solver_mni" localSheetId="6" hidden="1">30</definedName>
    <definedName name="solver_mni" localSheetId="4" hidden="1">30</definedName>
    <definedName name="solver_mni" localSheetId="14" hidden="1">30</definedName>
    <definedName name="solver_mrt" localSheetId="5" hidden="1">0.075</definedName>
    <definedName name="solver_mrt" localSheetId="12" hidden="1">0.075</definedName>
    <definedName name="solver_mrt" localSheetId="7" hidden="1">0.075</definedName>
    <definedName name="solver_mrt" localSheetId="6" hidden="1">0.075</definedName>
    <definedName name="solver_mrt" localSheetId="4" hidden="1">0.075</definedName>
    <definedName name="solver_mrt" localSheetId="14" hidden="1">0.075</definedName>
    <definedName name="solver_msl" localSheetId="5" hidden="1">2</definedName>
    <definedName name="solver_msl" localSheetId="12" hidden="1">2</definedName>
    <definedName name="solver_msl" localSheetId="7" hidden="1">2</definedName>
    <definedName name="solver_msl" localSheetId="6" hidden="1">2</definedName>
    <definedName name="solver_msl" localSheetId="4" hidden="1">2</definedName>
    <definedName name="solver_msl" localSheetId="14" hidden="1">2</definedName>
    <definedName name="solver_neg" localSheetId="5" hidden="1">2</definedName>
    <definedName name="solver_neg" localSheetId="12" hidden="1">2</definedName>
    <definedName name="solver_neg" localSheetId="7" hidden="1">1</definedName>
    <definedName name="solver_neg" localSheetId="6" hidden="1">2</definedName>
    <definedName name="solver_neg" localSheetId="4" hidden="1">2</definedName>
    <definedName name="solver_neg" localSheetId="14" hidden="1">2</definedName>
    <definedName name="solver_nod" localSheetId="5" hidden="1">2147483647</definedName>
    <definedName name="solver_nod" localSheetId="12" hidden="1">2147483647</definedName>
    <definedName name="solver_nod" localSheetId="7" hidden="1">2147483647</definedName>
    <definedName name="solver_nod" localSheetId="6" hidden="1">2147483647</definedName>
    <definedName name="solver_nod" localSheetId="4" hidden="1">2147483647</definedName>
    <definedName name="solver_nod" localSheetId="14" hidden="1">2147483647</definedName>
    <definedName name="solver_num" localSheetId="5" hidden="1">0</definedName>
    <definedName name="solver_num" localSheetId="12" hidden="1">0</definedName>
    <definedName name="solver_num" localSheetId="7" hidden="1">0</definedName>
    <definedName name="solver_num" localSheetId="6" hidden="1">1</definedName>
    <definedName name="solver_num" localSheetId="4" hidden="1">1</definedName>
    <definedName name="solver_num" localSheetId="14" hidden="1">1</definedName>
    <definedName name="solver_nwt" localSheetId="5" hidden="1">1</definedName>
    <definedName name="solver_nwt" localSheetId="12" hidden="1">1</definedName>
    <definedName name="solver_nwt" localSheetId="7" hidden="1">1</definedName>
    <definedName name="solver_nwt" localSheetId="6" hidden="1">1</definedName>
    <definedName name="solver_nwt" localSheetId="4" hidden="1">1</definedName>
    <definedName name="solver_nwt" localSheetId="14" hidden="1">1</definedName>
    <definedName name="solver_opt" localSheetId="5" hidden="1">Bootstraping_CFR!$Q$8</definedName>
    <definedName name="solver_opt" localSheetId="12" hidden="1">'IRS Hedge (6)'!$I$61</definedName>
    <definedName name="solver_opt" localSheetId="7" hidden="1">Merton!$J$3</definedName>
    <definedName name="solver_opt" localSheetId="6" hidden="1">'Nelson Siegel_cfrBoot'!$L$8</definedName>
    <definedName name="solver_opt" localSheetId="4" hidden="1">'Nelson Siegel_linearBoot'!$J$8</definedName>
    <definedName name="solver_opt" localSheetId="14" hidden="1">'Vasicek (Q9)'!$I$7</definedName>
    <definedName name="solver_pre" localSheetId="5" hidden="1">0.000001</definedName>
    <definedName name="solver_pre" localSheetId="12" hidden="1">0.000001</definedName>
    <definedName name="solver_pre" localSheetId="7" hidden="1">0.000001</definedName>
    <definedName name="solver_pre" localSheetId="6" hidden="1">0.000001</definedName>
    <definedName name="solver_pre" localSheetId="4" hidden="1">0.000001</definedName>
    <definedName name="solver_pre" localSheetId="14" hidden="1">0.000001</definedName>
    <definedName name="solver_rbv" localSheetId="5" hidden="1">2</definedName>
    <definedName name="solver_rbv" localSheetId="12" hidden="1">2</definedName>
    <definedName name="solver_rbv" localSheetId="7" hidden="1">1</definedName>
    <definedName name="solver_rbv" localSheetId="6" hidden="1">1</definedName>
    <definedName name="solver_rbv" localSheetId="4" hidden="1">1</definedName>
    <definedName name="solver_rbv" localSheetId="14" hidden="1">1</definedName>
    <definedName name="solver_rel1" localSheetId="6" hidden="1">3</definedName>
    <definedName name="solver_rel1" localSheetId="4" hidden="1">3</definedName>
    <definedName name="solver_rel1" localSheetId="14" hidden="1">3</definedName>
    <definedName name="solver_rhs1" localSheetId="6" hidden="1">0</definedName>
    <definedName name="solver_rhs1" localSheetId="4" hidden="1">0</definedName>
    <definedName name="solver_rhs1" localSheetId="14" hidden="1">0</definedName>
    <definedName name="solver_rlx" localSheetId="5" hidden="1">2</definedName>
    <definedName name="solver_rlx" localSheetId="12" hidden="1">2</definedName>
    <definedName name="solver_rlx" localSheetId="7" hidden="1">2</definedName>
    <definedName name="solver_rlx" localSheetId="6" hidden="1">2</definedName>
    <definedName name="solver_rlx" localSheetId="4" hidden="1">2</definedName>
    <definedName name="solver_rlx" localSheetId="14" hidden="1">2</definedName>
    <definedName name="solver_rsd" localSheetId="5" hidden="1">0</definedName>
    <definedName name="solver_rsd" localSheetId="12" hidden="1">0</definedName>
    <definedName name="solver_rsd" localSheetId="7" hidden="1">0</definedName>
    <definedName name="solver_rsd" localSheetId="6" hidden="1">0</definedName>
    <definedName name="solver_rsd" localSheetId="4" hidden="1">0</definedName>
    <definedName name="solver_rsd" localSheetId="14" hidden="1">0</definedName>
    <definedName name="solver_scl" localSheetId="5" hidden="1">2</definedName>
    <definedName name="solver_scl" localSheetId="12" hidden="1">2</definedName>
    <definedName name="solver_scl" localSheetId="7" hidden="1">1</definedName>
    <definedName name="solver_scl" localSheetId="6" hidden="1">1</definedName>
    <definedName name="solver_scl" localSheetId="4" hidden="1">1</definedName>
    <definedName name="solver_scl" localSheetId="14" hidden="1">1</definedName>
    <definedName name="solver_sho" localSheetId="5" hidden="1">2</definedName>
    <definedName name="solver_sho" localSheetId="12" hidden="1">2</definedName>
    <definedName name="solver_sho" localSheetId="7" hidden="1">2</definedName>
    <definedName name="solver_sho" localSheetId="6" hidden="1">2</definedName>
    <definedName name="solver_sho" localSheetId="4" hidden="1">2</definedName>
    <definedName name="solver_sho" localSheetId="14" hidden="1">2</definedName>
    <definedName name="solver_ssz" localSheetId="5" hidden="1">100</definedName>
    <definedName name="solver_ssz" localSheetId="12" hidden="1">100</definedName>
    <definedName name="solver_ssz" localSheetId="7" hidden="1">100</definedName>
    <definedName name="solver_ssz" localSheetId="6" hidden="1">100</definedName>
    <definedName name="solver_ssz" localSheetId="4" hidden="1">100</definedName>
    <definedName name="solver_ssz" localSheetId="14" hidden="1">100</definedName>
    <definedName name="solver_tim" localSheetId="5" hidden="1">2147483647</definedName>
    <definedName name="solver_tim" localSheetId="12" hidden="1">2147483647</definedName>
    <definedName name="solver_tim" localSheetId="7" hidden="1">2147483647</definedName>
    <definedName name="solver_tim" localSheetId="6" hidden="1">2147483647</definedName>
    <definedName name="solver_tim" localSheetId="4" hidden="1">2147483647</definedName>
    <definedName name="solver_tim" localSheetId="14" hidden="1">2147483647</definedName>
    <definedName name="solver_tol" localSheetId="5" hidden="1">0.01</definedName>
    <definedName name="solver_tol" localSheetId="12" hidden="1">0.01</definedName>
    <definedName name="solver_tol" localSheetId="7" hidden="1">0.01</definedName>
    <definedName name="solver_tol" localSheetId="6" hidden="1">0.01</definedName>
    <definedName name="solver_tol" localSheetId="4" hidden="1">0.01</definedName>
    <definedName name="solver_tol" localSheetId="14" hidden="1">0.01</definedName>
    <definedName name="solver_typ" localSheetId="5" hidden="1">3</definedName>
    <definedName name="solver_typ" localSheetId="12" hidden="1">3</definedName>
    <definedName name="solver_typ" localSheetId="7" hidden="1">2</definedName>
    <definedName name="solver_typ" localSheetId="6" hidden="1">2</definedName>
    <definedName name="solver_typ" localSheetId="4" hidden="1">2</definedName>
    <definedName name="solver_typ" localSheetId="14" hidden="1">2</definedName>
    <definedName name="solver_val" localSheetId="5" hidden="1">0</definedName>
    <definedName name="solver_val" localSheetId="12" hidden="1">0</definedName>
    <definedName name="solver_val" localSheetId="7" hidden="1">0</definedName>
    <definedName name="solver_val" localSheetId="6" hidden="1">0</definedName>
    <definedName name="solver_val" localSheetId="4" hidden="1">0</definedName>
    <definedName name="solver_val" localSheetId="14" hidden="1">0</definedName>
    <definedName name="solver_ver" localSheetId="5" hidden="1">3</definedName>
    <definedName name="solver_ver" localSheetId="12" hidden="1">3</definedName>
    <definedName name="solver_ver" localSheetId="7" hidden="1">3</definedName>
    <definedName name="solver_ver" localSheetId="6" hidden="1">3</definedName>
    <definedName name="solver_ver" localSheetId="4" hidden="1">3</definedName>
    <definedName name="solver_ver" localSheetId="1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18" l="1"/>
  <c r="E8" i="18"/>
  <c r="D9" i="18"/>
  <c r="C9" i="18"/>
  <c r="D8" i="18"/>
  <c r="C8" i="18"/>
  <c r="B9" i="18"/>
  <c r="B8" i="18"/>
  <c r="J5" i="18"/>
  <c r="I5" i="18"/>
  <c r="H5" i="18"/>
  <c r="G5" i="18"/>
  <c r="F5" i="18"/>
  <c r="E5" i="18"/>
  <c r="B5" i="18"/>
  <c r="B4" i="18"/>
  <c r="D4" i="18"/>
  <c r="C4" i="18"/>
  <c r="J4" i="18"/>
  <c r="I4" i="18"/>
  <c r="H4" i="18"/>
  <c r="G4" i="18"/>
  <c r="E4" i="18"/>
  <c r="I12" i="17" l="1"/>
  <c r="J17" i="17" s="1"/>
  <c r="I13" i="17" s="1"/>
  <c r="F4" i="18" l="1"/>
  <c r="D13" i="17"/>
  <c r="E13" i="17"/>
  <c r="F109" i="1" l="1"/>
  <c r="H109" i="1"/>
  <c r="D38" i="15"/>
  <c r="F38" i="15"/>
  <c r="D105" i="15"/>
  <c r="F105" i="15"/>
  <c r="C69" i="15" l="1"/>
  <c r="C14" i="15"/>
  <c r="B79" i="9" l="1"/>
  <c r="B78" i="9"/>
  <c r="B77" i="9"/>
  <c r="B76" i="9"/>
  <c r="F6" i="17" l="1"/>
  <c r="E25" i="5"/>
  <c r="E13" i="5"/>
  <c r="E14" i="5"/>
  <c r="E15" i="5"/>
  <c r="E16" i="5"/>
  <c r="E17" i="5"/>
  <c r="E18" i="5"/>
  <c r="E19" i="5"/>
  <c r="E20" i="5"/>
  <c r="E21" i="5"/>
  <c r="E22" i="5"/>
  <c r="E23" i="5"/>
  <c r="E24" i="5"/>
  <c r="E12" i="5"/>
  <c r="E11" i="5"/>
  <c r="E10" i="5"/>
  <c r="E9" i="5"/>
  <c r="E8" i="5"/>
  <c r="E7" i="5"/>
  <c r="O7" i="17" l="1"/>
  <c r="Q7" i="17" s="1"/>
  <c r="O6" i="17"/>
  <c r="Q6" i="17" s="1"/>
  <c r="F7" i="17" l="1"/>
  <c r="H7" i="17" s="1"/>
  <c r="F8" i="17"/>
  <c r="H8" i="17" s="1"/>
  <c r="F9" i="17"/>
  <c r="H9" i="17" s="1"/>
  <c r="H6" i="17"/>
  <c r="U81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87" i="9"/>
  <c r="E86" i="9"/>
  <c r="B81" i="9"/>
  <c r="B87" i="9" s="1"/>
  <c r="T83" i="9"/>
  <c r="U82" i="9"/>
  <c r="U83" i="9"/>
  <c r="T82" i="9"/>
  <c r="C87" i="9" l="1"/>
  <c r="V81" i="9"/>
  <c r="B90" i="9"/>
  <c r="B82" i="9"/>
  <c r="B586" i="9"/>
  <c r="B578" i="9"/>
  <c r="B570" i="9"/>
  <c r="B562" i="9"/>
  <c r="B554" i="9"/>
  <c r="B546" i="9"/>
  <c r="B538" i="9"/>
  <c r="B530" i="9"/>
  <c r="B522" i="9"/>
  <c r="B514" i="9"/>
  <c r="B506" i="9"/>
  <c r="B498" i="9"/>
  <c r="B490" i="9"/>
  <c r="B482" i="9"/>
  <c r="B474" i="9"/>
  <c r="B466" i="9"/>
  <c r="B458" i="9"/>
  <c r="B450" i="9"/>
  <c r="B442" i="9"/>
  <c r="B434" i="9"/>
  <c r="B426" i="9"/>
  <c r="B418" i="9"/>
  <c r="B410" i="9"/>
  <c r="B402" i="9"/>
  <c r="B394" i="9"/>
  <c r="B386" i="9"/>
  <c r="B378" i="9"/>
  <c r="B370" i="9"/>
  <c r="B362" i="9"/>
  <c r="B354" i="9"/>
  <c r="B346" i="9"/>
  <c r="B338" i="9"/>
  <c r="B330" i="9"/>
  <c r="B322" i="9"/>
  <c r="B314" i="9"/>
  <c r="B306" i="9"/>
  <c r="B298" i="9"/>
  <c r="B290" i="9"/>
  <c r="B282" i="9"/>
  <c r="B274" i="9"/>
  <c r="B266" i="9"/>
  <c r="B258" i="9"/>
  <c r="B250" i="9"/>
  <c r="B242" i="9"/>
  <c r="B234" i="9"/>
  <c r="B226" i="9"/>
  <c r="B218" i="9"/>
  <c r="B210" i="9"/>
  <c r="B202" i="9"/>
  <c r="B194" i="9"/>
  <c r="B186" i="9"/>
  <c r="B178" i="9"/>
  <c r="B170" i="9"/>
  <c r="B162" i="9"/>
  <c r="B154" i="9"/>
  <c r="B146" i="9"/>
  <c r="B138" i="9"/>
  <c r="B130" i="9"/>
  <c r="B122" i="9"/>
  <c r="B114" i="9"/>
  <c r="B106" i="9"/>
  <c r="B98" i="9"/>
  <c r="B89" i="9"/>
  <c r="B585" i="9"/>
  <c r="B577" i="9"/>
  <c r="B569" i="9"/>
  <c r="B561" i="9"/>
  <c r="B553" i="9"/>
  <c r="B545" i="9"/>
  <c r="B537" i="9"/>
  <c r="B529" i="9"/>
  <c r="B521" i="9"/>
  <c r="B513" i="9"/>
  <c r="B505" i="9"/>
  <c r="B497" i="9"/>
  <c r="B489" i="9"/>
  <c r="B481" i="9"/>
  <c r="B473" i="9"/>
  <c r="B465" i="9"/>
  <c r="B457" i="9"/>
  <c r="B449" i="9"/>
  <c r="B441" i="9"/>
  <c r="B433" i="9"/>
  <c r="B425" i="9"/>
  <c r="B417" i="9"/>
  <c r="B409" i="9"/>
  <c r="B401" i="9"/>
  <c r="B393" i="9"/>
  <c r="B385" i="9"/>
  <c r="B377" i="9"/>
  <c r="B369" i="9"/>
  <c r="B361" i="9"/>
  <c r="B353" i="9"/>
  <c r="B345" i="9"/>
  <c r="B337" i="9"/>
  <c r="B329" i="9"/>
  <c r="B321" i="9"/>
  <c r="B313" i="9"/>
  <c r="B305" i="9"/>
  <c r="B297" i="9"/>
  <c r="B289" i="9"/>
  <c r="B281" i="9"/>
  <c r="B273" i="9"/>
  <c r="B265" i="9"/>
  <c r="B257" i="9"/>
  <c r="B249" i="9"/>
  <c r="B241" i="9"/>
  <c r="B233" i="9"/>
  <c r="B225" i="9"/>
  <c r="B217" i="9"/>
  <c r="B209" i="9"/>
  <c r="B201" i="9"/>
  <c r="B193" i="9"/>
  <c r="B185" i="9"/>
  <c r="B177" i="9"/>
  <c r="B169" i="9"/>
  <c r="B161" i="9"/>
  <c r="B153" i="9"/>
  <c r="B145" i="9"/>
  <c r="B137" i="9"/>
  <c r="B129" i="9"/>
  <c r="B121" i="9"/>
  <c r="B113" i="9"/>
  <c r="B105" i="9"/>
  <c r="B97" i="9"/>
  <c r="B88" i="9"/>
  <c r="B584" i="9"/>
  <c r="B576" i="9"/>
  <c r="B568" i="9"/>
  <c r="B560" i="9"/>
  <c r="B552" i="9"/>
  <c r="B544" i="9"/>
  <c r="B536" i="9"/>
  <c r="B528" i="9"/>
  <c r="B520" i="9"/>
  <c r="B512" i="9"/>
  <c r="B504" i="9"/>
  <c r="B496" i="9"/>
  <c r="B488" i="9"/>
  <c r="B480" i="9"/>
  <c r="B472" i="9"/>
  <c r="B464" i="9"/>
  <c r="B456" i="9"/>
  <c r="B448" i="9"/>
  <c r="B440" i="9"/>
  <c r="B432" i="9"/>
  <c r="B424" i="9"/>
  <c r="B416" i="9"/>
  <c r="B408" i="9"/>
  <c r="B400" i="9"/>
  <c r="B392" i="9"/>
  <c r="B384" i="9"/>
  <c r="B376" i="9"/>
  <c r="B368" i="9"/>
  <c r="B360" i="9"/>
  <c r="B352" i="9"/>
  <c r="B344" i="9"/>
  <c r="B336" i="9"/>
  <c r="B328" i="9"/>
  <c r="B320" i="9"/>
  <c r="B312" i="9"/>
  <c r="B304" i="9"/>
  <c r="B296" i="9"/>
  <c r="B288" i="9"/>
  <c r="B280" i="9"/>
  <c r="B272" i="9"/>
  <c r="B264" i="9"/>
  <c r="B256" i="9"/>
  <c r="B248" i="9"/>
  <c r="B240" i="9"/>
  <c r="B232" i="9"/>
  <c r="B224" i="9"/>
  <c r="B216" i="9"/>
  <c r="B208" i="9"/>
  <c r="B200" i="9"/>
  <c r="B192" i="9"/>
  <c r="B184" i="9"/>
  <c r="B176" i="9"/>
  <c r="B168" i="9"/>
  <c r="B160" i="9"/>
  <c r="B152" i="9"/>
  <c r="B144" i="9"/>
  <c r="B136" i="9"/>
  <c r="B128" i="9"/>
  <c r="B120" i="9"/>
  <c r="B112" i="9"/>
  <c r="B104" i="9"/>
  <c r="B96" i="9"/>
  <c r="B583" i="9"/>
  <c r="B575" i="9"/>
  <c r="B567" i="9"/>
  <c r="B559" i="9"/>
  <c r="B551" i="9"/>
  <c r="B543" i="9"/>
  <c r="B535" i="9"/>
  <c r="B527" i="9"/>
  <c r="B519" i="9"/>
  <c r="B511" i="9"/>
  <c r="B503" i="9"/>
  <c r="B495" i="9"/>
  <c r="B487" i="9"/>
  <c r="B479" i="9"/>
  <c r="B471" i="9"/>
  <c r="B463" i="9"/>
  <c r="B455" i="9"/>
  <c r="B447" i="9"/>
  <c r="B439" i="9"/>
  <c r="B431" i="9"/>
  <c r="B423" i="9"/>
  <c r="B415" i="9"/>
  <c r="B407" i="9"/>
  <c r="B399" i="9"/>
  <c r="B391" i="9"/>
  <c r="B383" i="9"/>
  <c r="B375" i="9"/>
  <c r="B367" i="9"/>
  <c r="B359" i="9"/>
  <c r="B351" i="9"/>
  <c r="B343" i="9"/>
  <c r="B335" i="9"/>
  <c r="B327" i="9"/>
  <c r="B319" i="9"/>
  <c r="B311" i="9"/>
  <c r="B303" i="9"/>
  <c r="B295" i="9"/>
  <c r="B287" i="9"/>
  <c r="B279" i="9"/>
  <c r="B271" i="9"/>
  <c r="B263" i="9"/>
  <c r="B255" i="9"/>
  <c r="B247" i="9"/>
  <c r="B239" i="9"/>
  <c r="B231" i="9"/>
  <c r="B223" i="9"/>
  <c r="B215" i="9"/>
  <c r="B207" i="9"/>
  <c r="B199" i="9"/>
  <c r="B191" i="9"/>
  <c r="B183" i="9"/>
  <c r="B175" i="9"/>
  <c r="B167" i="9"/>
  <c r="B159" i="9"/>
  <c r="B151" i="9"/>
  <c r="B143" i="9"/>
  <c r="B135" i="9"/>
  <c r="B127" i="9"/>
  <c r="B119" i="9"/>
  <c r="B111" i="9"/>
  <c r="B103" i="9"/>
  <c r="B95" i="9"/>
  <c r="B86" i="9"/>
  <c r="B582" i="9"/>
  <c r="B574" i="9"/>
  <c r="B566" i="9"/>
  <c r="B558" i="9"/>
  <c r="B550" i="9"/>
  <c r="B542" i="9"/>
  <c r="B534" i="9"/>
  <c r="B526" i="9"/>
  <c r="B518" i="9"/>
  <c r="B510" i="9"/>
  <c r="B502" i="9"/>
  <c r="B494" i="9"/>
  <c r="B486" i="9"/>
  <c r="B478" i="9"/>
  <c r="B470" i="9"/>
  <c r="B462" i="9"/>
  <c r="B454" i="9"/>
  <c r="B446" i="9"/>
  <c r="B438" i="9"/>
  <c r="B430" i="9"/>
  <c r="B422" i="9"/>
  <c r="B414" i="9"/>
  <c r="B406" i="9"/>
  <c r="B398" i="9"/>
  <c r="B390" i="9"/>
  <c r="B382" i="9"/>
  <c r="B374" i="9"/>
  <c r="B366" i="9"/>
  <c r="B358" i="9"/>
  <c r="B350" i="9"/>
  <c r="B342" i="9"/>
  <c r="B334" i="9"/>
  <c r="B326" i="9"/>
  <c r="B318" i="9"/>
  <c r="B310" i="9"/>
  <c r="B302" i="9"/>
  <c r="B294" i="9"/>
  <c r="B286" i="9"/>
  <c r="B278" i="9"/>
  <c r="B270" i="9"/>
  <c r="B262" i="9"/>
  <c r="B254" i="9"/>
  <c r="B246" i="9"/>
  <c r="B238" i="9"/>
  <c r="B230" i="9"/>
  <c r="B222" i="9"/>
  <c r="B214" i="9"/>
  <c r="B206" i="9"/>
  <c r="B198" i="9"/>
  <c r="B190" i="9"/>
  <c r="B182" i="9"/>
  <c r="B174" i="9"/>
  <c r="B166" i="9"/>
  <c r="B158" i="9"/>
  <c r="B150" i="9"/>
  <c r="B142" i="9"/>
  <c r="B134" i="9"/>
  <c r="B126" i="9"/>
  <c r="B118" i="9"/>
  <c r="B110" i="9"/>
  <c r="B102" i="9"/>
  <c r="B94" i="9"/>
  <c r="B91" i="9"/>
  <c r="B581" i="9"/>
  <c r="B573" i="9"/>
  <c r="B565" i="9"/>
  <c r="B557" i="9"/>
  <c r="B549" i="9"/>
  <c r="B541" i="9"/>
  <c r="B533" i="9"/>
  <c r="B525" i="9"/>
  <c r="B517" i="9"/>
  <c r="B509" i="9"/>
  <c r="B501" i="9"/>
  <c r="B493" i="9"/>
  <c r="B485" i="9"/>
  <c r="B477" i="9"/>
  <c r="B469" i="9"/>
  <c r="B461" i="9"/>
  <c r="B453" i="9"/>
  <c r="B445" i="9"/>
  <c r="B437" i="9"/>
  <c r="B429" i="9"/>
  <c r="B421" i="9"/>
  <c r="B413" i="9"/>
  <c r="B405" i="9"/>
  <c r="B397" i="9"/>
  <c r="B389" i="9"/>
  <c r="B381" i="9"/>
  <c r="B373" i="9"/>
  <c r="B365" i="9"/>
  <c r="B357" i="9"/>
  <c r="B349" i="9"/>
  <c r="B341" i="9"/>
  <c r="B333" i="9"/>
  <c r="B325" i="9"/>
  <c r="B317" i="9"/>
  <c r="B309" i="9"/>
  <c r="B301" i="9"/>
  <c r="B293" i="9"/>
  <c r="B285" i="9"/>
  <c r="B277" i="9"/>
  <c r="B269" i="9"/>
  <c r="B261" i="9"/>
  <c r="B253" i="9"/>
  <c r="B245" i="9"/>
  <c r="B237" i="9"/>
  <c r="B229" i="9"/>
  <c r="B221" i="9"/>
  <c r="B213" i="9"/>
  <c r="B205" i="9"/>
  <c r="B197" i="9"/>
  <c r="B189" i="9"/>
  <c r="B181" i="9"/>
  <c r="B173" i="9"/>
  <c r="B165" i="9"/>
  <c r="B157" i="9"/>
  <c r="B149" i="9"/>
  <c r="B141" i="9"/>
  <c r="B133" i="9"/>
  <c r="B125" i="9"/>
  <c r="B117" i="9"/>
  <c r="B109" i="9"/>
  <c r="B101" i="9"/>
  <c r="B93" i="9"/>
  <c r="B580" i="9"/>
  <c r="B572" i="9"/>
  <c r="B564" i="9"/>
  <c r="B556" i="9"/>
  <c r="B548" i="9"/>
  <c r="B540" i="9"/>
  <c r="B532" i="9"/>
  <c r="B524" i="9"/>
  <c r="B516" i="9"/>
  <c r="B508" i="9"/>
  <c r="B500" i="9"/>
  <c r="B492" i="9"/>
  <c r="B484" i="9"/>
  <c r="B476" i="9"/>
  <c r="B468" i="9"/>
  <c r="B460" i="9"/>
  <c r="B452" i="9"/>
  <c r="B444" i="9"/>
  <c r="B436" i="9"/>
  <c r="B428" i="9"/>
  <c r="B420" i="9"/>
  <c r="B412" i="9"/>
  <c r="B404" i="9"/>
  <c r="B396" i="9"/>
  <c r="B388" i="9"/>
  <c r="B380" i="9"/>
  <c r="B372" i="9"/>
  <c r="B364" i="9"/>
  <c r="B356" i="9"/>
  <c r="B348" i="9"/>
  <c r="B340" i="9"/>
  <c r="B332" i="9"/>
  <c r="B324" i="9"/>
  <c r="B316" i="9"/>
  <c r="B308" i="9"/>
  <c r="B300" i="9"/>
  <c r="B292" i="9"/>
  <c r="B284" i="9"/>
  <c r="B276" i="9"/>
  <c r="B268" i="9"/>
  <c r="B260" i="9"/>
  <c r="B252" i="9"/>
  <c r="B244" i="9"/>
  <c r="B236" i="9"/>
  <c r="B228" i="9"/>
  <c r="B220" i="9"/>
  <c r="B212" i="9"/>
  <c r="B204" i="9"/>
  <c r="B196" i="9"/>
  <c r="B188" i="9"/>
  <c r="B180" i="9"/>
  <c r="B172" i="9"/>
  <c r="B164" i="9"/>
  <c r="B156" i="9"/>
  <c r="B148" i="9"/>
  <c r="B140" i="9"/>
  <c r="B132" i="9"/>
  <c r="B124" i="9"/>
  <c r="B116" i="9"/>
  <c r="B108" i="9"/>
  <c r="B100" i="9"/>
  <c r="B92" i="9"/>
  <c r="B579" i="9"/>
  <c r="B571" i="9"/>
  <c r="B563" i="9"/>
  <c r="B555" i="9"/>
  <c r="B547" i="9"/>
  <c r="B539" i="9"/>
  <c r="B531" i="9"/>
  <c r="B523" i="9"/>
  <c r="B515" i="9"/>
  <c r="B507" i="9"/>
  <c r="B499" i="9"/>
  <c r="B491" i="9"/>
  <c r="B483" i="9"/>
  <c r="B475" i="9"/>
  <c r="B467" i="9"/>
  <c r="B459" i="9"/>
  <c r="B451" i="9"/>
  <c r="B443" i="9"/>
  <c r="B435" i="9"/>
  <c r="B427" i="9"/>
  <c r="B419" i="9"/>
  <c r="B411" i="9"/>
  <c r="B403" i="9"/>
  <c r="B395" i="9"/>
  <c r="B387" i="9"/>
  <c r="B379" i="9"/>
  <c r="B371" i="9"/>
  <c r="B363" i="9"/>
  <c r="B355" i="9"/>
  <c r="B347" i="9"/>
  <c r="B339" i="9"/>
  <c r="B331" i="9"/>
  <c r="B323" i="9"/>
  <c r="B315" i="9"/>
  <c r="B307" i="9"/>
  <c r="B299" i="9"/>
  <c r="B291" i="9"/>
  <c r="B283" i="9"/>
  <c r="B275" i="9"/>
  <c r="B267" i="9"/>
  <c r="B259" i="9"/>
  <c r="B251" i="9"/>
  <c r="B243" i="9"/>
  <c r="B235" i="9"/>
  <c r="B227" i="9"/>
  <c r="B219" i="9"/>
  <c r="B211" i="9"/>
  <c r="B203" i="9"/>
  <c r="B195" i="9"/>
  <c r="B187" i="9"/>
  <c r="B179" i="9"/>
  <c r="B171" i="9"/>
  <c r="B163" i="9"/>
  <c r="B155" i="9"/>
  <c r="B147" i="9"/>
  <c r="B139" i="9"/>
  <c r="B131" i="9"/>
  <c r="B123" i="9"/>
  <c r="B115" i="9"/>
  <c r="B107" i="9"/>
  <c r="B99" i="9"/>
  <c r="U86" i="9"/>
  <c r="T86" i="9"/>
  <c r="V82" i="9"/>
  <c r="V83" i="9"/>
  <c r="V86" i="9" l="1"/>
  <c r="W81" i="9"/>
  <c r="X81" i="9" s="1"/>
  <c r="C5" i="17"/>
  <c r="B5" i="17"/>
  <c r="E87" i="9"/>
  <c r="W82" i="9"/>
  <c r="X82" i="9"/>
  <c r="X83" i="9"/>
  <c r="W83" i="9"/>
  <c r="W86" i="9" l="1"/>
  <c r="X86" i="9"/>
  <c r="Y81" i="9"/>
  <c r="F87" i="9"/>
  <c r="C88" i="9"/>
  <c r="E88" i="9" s="1"/>
  <c r="U87" i="9"/>
  <c r="X87" i="9"/>
  <c r="W87" i="9"/>
  <c r="V87" i="9"/>
  <c r="T87" i="9"/>
  <c r="Y83" i="9"/>
  <c r="Y82" i="9"/>
  <c r="Y86" i="9" l="1"/>
  <c r="Y87" i="9"/>
  <c r="Z81" i="9"/>
  <c r="Y88" i="9"/>
  <c r="V88" i="9"/>
  <c r="X88" i="9"/>
  <c r="W88" i="9"/>
  <c r="F88" i="9"/>
  <c r="C89" i="9"/>
  <c r="E89" i="9" s="1"/>
  <c r="Y89" i="9" s="1"/>
  <c r="U88" i="9"/>
  <c r="T88" i="9"/>
  <c r="Z82" i="9"/>
  <c r="Z83" i="9"/>
  <c r="F89" i="9" l="1"/>
  <c r="Z86" i="9"/>
  <c r="Z87" i="9"/>
  <c r="Z88" i="9"/>
  <c r="AA81" i="9"/>
  <c r="W89" i="9"/>
  <c r="V89" i="9"/>
  <c r="C90" i="9"/>
  <c r="E90" i="9" s="1"/>
  <c r="U89" i="9"/>
  <c r="T89" i="9"/>
  <c r="Z89" i="9"/>
  <c r="X89" i="9"/>
  <c r="AA83" i="9"/>
  <c r="AA82" i="9"/>
  <c r="AA86" i="9" l="1"/>
  <c r="AA87" i="9"/>
  <c r="AA88" i="9"/>
  <c r="AA89" i="9"/>
  <c r="AB81" i="9"/>
  <c r="C91" i="9"/>
  <c r="E91" i="9" s="1"/>
  <c r="U90" i="9"/>
  <c r="T90" i="9"/>
  <c r="Z90" i="9"/>
  <c r="Y90" i="9"/>
  <c r="AA90" i="9"/>
  <c r="X90" i="9"/>
  <c r="W90" i="9"/>
  <c r="F90" i="9"/>
  <c r="V90" i="9"/>
  <c r="AB82" i="9"/>
  <c r="AB83" i="9"/>
  <c r="AB86" i="9" l="1"/>
  <c r="AB87" i="9"/>
  <c r="AB88" i="9"/>
  <c r="AB89" i="9"/>
  <c r="AB90" i="9"/>
  <c r="AC81" i="9"/>
  <c r="AA91" i="9"/>
  <c r="W91" i="9"/>
  <c r="V91" i="9"/>
  <c r="AB91" i="9"/>
  <c r="F91" i="9"/>
  <c r="C92" i="9"/>
  <c r="E92" i="9" s="1"/>
  <c r="U91" i="9"/>
  <c r="T91" i="9"/>
  <c r="Z91" i="9"/>
  <c r="Y91" i="9"/>
  <c r="X91" i="9"/>
  <c r="AC83" i="9"/>
  <c r="AC82" i="9"/>
  <c r="AC86" i="9" l="1"/>
  <c r="AC87" i="9"/>
  <c r="AC88" i="9"/>
  <c r="AC89" i="9"/>
  <c r="AC90" i="9"/>
  <c r="AC91" i="9"/>
  <c r="AD81" i="9"/>
  <c r="AA92" i="9"/>
  <c r="V92" i="9"/>
  <c r="AB92" i="9"/>
  <c r="F92" i="9"/>
  <c r="U92" i="9"/>
  <c r="T92" i="9"/>
  <c r="AC92" i="9"/>
  <c r="Z92" i="9"/>
  <c r="X92" i="9"/>
  <c r="Y92" i="9"/>
  <c r="W92" i="9"/>
  <c r="C93" i="9"/>
  <c r="E93" i="9" s="1"/>
  <c r="W93" i="9" s="1"/>
  <c r="AD82" i="9"/>
  <c r="AD83" i="9"/>
  <c r="AD86" i="9" l="1"/>
  <c r="AD87" i="9"/>
  <c r="AD88" i="9"/>
  <c r="AD89" i="9"/>
  <c r="AD90" i="9"/>
  <c r="AD91" i="9"/>
  <c r="AD92" i="9"/>
  <c r="V93" i="9"/>
  <c r="AB93" i="9"/>
  <c r="C94" i="9"/>
  <c r="E94" i="9" s="1"/>
  <c r="V94" i="9" s="1"/>
  <c r="U93" i="9"/>
  <c r="AD93" i="9"/>
  <c r="Y93" i="9"/>
  <c r="AC93" i="9"/>
  <c r="F93" i="9"/>
  <c r="AA93" i="9"/>
  <c r="T93" i="9"/>
  <c r="X93" i="9"/>
  <c r="Z93" i="9"/>
  <c r="F94" i="9" l="1"/>
  <c r="AD94" i="9"/>
  <c r="AB94" i="9"/>
  <c r="Z94" i="9"/>
  <c r="Y94" i="9"/>
  <c r="C95" i="9"/>
  <c r="E95" i="9" s="1"/>
  <c r="AA95" i="9" s="1"/>
  <c r="U94" i="9"/>
  <c r="T94" i="9"/>
  <c r="AC94" i="9"/>
  <c r="AA94" i="9"/>
  <c r="X94" i="9"/>
  <c r="W94" i="9"/>
  <c r="F95" i="9" l="1"/>
  <c r="Y95" i="9"/>
  <c r="C96" i="9"/>
  <c r="E96" i="9" s="1"/>
  <c r="W96" i="9" s="1"/>
  <c r="U95" i="9"/>
  <c r="T95" i="9"/>
  <c r="X95" i="9"/>
  <c r="Z95" i="9"/>
  <c r="V95" i="9"/>
  <c r="AD95" i="9"/>
  <c r="AC95" i="9"/>
  <c r="AB95" i="9"/>
  <c r="W95" i="9"/>
  <c r="F96" i="9" l="1"/>
  <c r="AB96" i="9"/>
  <c r="Y96" i="9"/>
  <c r="Z96" i="9"/>
  <c r="C97" i="9"/>
  <c r="E97" i="9" s="1"/>
  <c r="AD97" i="9" s="1"/>
  <c r="X96" i="9"/>
  <c r="U96" i="9"/>
  <c r="T96" i="9"/>
  <c r="V96" i="9"/>
  <c r="AC96" i="9"/>
  <c r="AD96" i="9"/>
  <c r="AA96" i="9"/>
  <c r="V97" i="9" l="1"/>
  <c r="F97" i="9"/>
  <c r="U97" i="9"/>
  <c r="T97" i="9"/>
  <c r="X97" i="9"/>
  <c r="AA97" i="9"/>
  <c r="AC97" i="9"/>
  <c r="Z97" i="9"/>
  <c r="C98" i="9"/>
  <c r="E98" i="9" s="1"/>
  <c r="AD98" i="9" s="1"/>
  <c r="AB97" i="9"/>
  <c r="Y97" i="9"/>
  <c r="W97" i="9"/>
  <c r="C99" i="9" l="1"/>
  <c r="E99" i="9" s="1"/>
  <c r="Y99" i="9" s="1"/>
  <c r="T98" i="9"/>
  <c r="Z98" i="9"/>
  <c r="AA98" i="9"/>
  <c r="AC98" i="9"/>
  <c r="AB98" i="9"/>
  <c r="Y98" i="9"/>
  <c r="W98" i="9"/>
  <c r="F98" i="9"/>
  <c r="V98" i="9"/>
  <c r="X98" i="9"/>
  <c r="U98" i="9"/>
  <c r="F99" i="9" l="1"/>
  <c r="Z99" i="9"/>
  <c r="X99" i="9"/>
  <c r="W99" i="9"/>
  <c r="AC99" i="9"/>
  <c r="AB99" i="9"/>
  <c r="C100" i="9"/>
  <c r="E100" i="9" s="1"/>
  <c r="AD100" i="9" s="1"/>
  <c r="U99" i="9"/>
  <c r="T99" i="9"/>
  <c r="AA99" i="9"/>
  <c r="V99" i="9"/>
  <c r="AD99" i="9"/>
  <c r="AA100" i="9" l="1"/>
  <c r="V100" i="9"/>
  <c r="AB100" i="9"/>
  <c r="F100" i="9"/>
  <c r="C101" i="9"/>
  <c r="E101" i="9" s="1"/>
  <c r="AB101" i="9" s="1"/>
  <c r="U100" i="9"/>
  <c r="T100" i="9"/>
  <c r="AC100" i="9"/>
  <c r="Y100" i="9"/>
  <c r="X100" i="9"/>
  <c r="Z100" i="9"/>
  <c r="W100" i="9"/>
  <c r="Z101" i="9" l="1"/>
  <c r="F101" i="9"/>
  <c r="Y101" i="9"/>
  <c r="X101" i="9"/>
  <c r="V101" i="9"/>
  <c r="AC101" i="9"/>
  <c r="C102" i="9"/>
  <c r="E102" i="9" s="1"/>
  <c r="Z102" i="9" s="1"/>
  <c r="U101" i="9"/>
  <c r="AA101" i="9"/>
  <c r="T101" i="9"/>
  <c r="W101" i="9"/>
  <c r="AD101" i="9"/>
  <c r="F102" i="9" l="1"/>
  <c r="W102" i="9"/>
  <c r="AD102" i="9"/>
  <c r="AC102" i="9"/>
  <c r="AA102" i="9"/>
  <c r="X102" i="9"/>
  <c r="V102" i="9"/>
  <c r="C103" i="9"/>
  <c r="E103" i="9" s="1"/>
  <c r="AC103" i="9" s="1"/>
  <c r="AB102" i="9"/>
  <c r="U102" i="9"/>
  <c r="Y102" i="9"/>
  <c r="T102" i="9"/>
  <c r="T103" i="9" l="1"/>
  <c r="W103" i="9"/>
  <c r="AD103" i="9"/>
  <c r="AB103" i="9"/>
  <c r="V103" i="9"/>
  <c r="Z103" i="9"/>
  <c r="C104" i="9"/>
  <c r="E104" i="9" s="1"/>
  <c r="W104" i="9" s="1"/>
  <c r="X103" i="9"/>
  <c r="F103" i="9"/>
  <c r="AA103" i="9"/>
  <c r="U103" i="9"/>
  <c r="Y103" i="9"/>
  <c r="AB104" i="9" l="1"/>
  <c r="AD104" i="9"/>
  <c r="AA104" i="9"/>
  <c r="F104" i="9"/>
  <c r="AC104" i="9"/>
  <c r="Z104" i="9"/>
  <c r="C105" i="9"/>
  <c r="E105" i="9" s="1"/>
  <c r="V105" i="9" s="1"/>
  <c r="U104" i="9"/>
  <c r="V104" i="9"/>
  <c r="T104" i="9"/>
  <c r="X104" i="9"/>
  <c r="Y104" i="9"/>
  <c r="AA105" i="9" l="1"/>
  <c r="C106" i="9"/>
  <c r="E106" i="9" s="1"/>
  <c r="Y106" i="9" s="1"/>
  <c r="Y105" i="9"/>
  <c r="X105" i="9"/>
  <c r="F105" i="9"/>
  <c r="W105" i="9"/>
  <c r="U105" i="9"/>
  <c r="T105" i="9"/>
  <c r="AB105" i="9"/>
  <c r="Z105" i="9"/>
  <c r="AD105" i="9"/>
  <c r="AC105" i="9"/>
  <c r="AD106" i="9" l="1"/>
  <c r="X106" i="9"/>
  <c r="V106" i="9"/>
  <c r="AC106" i="9"/>
  <c r="F106" i="9"/>
  <c r="C107" i="9"/>
  <c r="E107" i="9" s="1"/>
  <c r="Y107" i="9" s="1"/>
  <c r="U106" i="9"/>
  <c r="W106" i="9"/>
  <c r="T106" i="9"/>
  <c r="Z106" i="9"/>
  <c r="AB106" i="9"/>
  <c r="AA106" i="9"/>
  <c r="C108" i="9" l="1"/>
  <c r="E108" i="9" s="1"/>
  <c r="AC108" i="9" s="1"/>
  <c r="AA107" i="9"/>
  <c r="W107" i="9"/>
  <c r="V107" i="9"/>
  <c r="F107" i="9"/>
  <c r="AC107" i="9"/>
  <c r="U107" i="9"/>
  <c r="T107" i="9"/>
  <c r="X107" i="9"/>
  <c r="AD107" i="9"/>
  <c r="AB107" i="9"/>
  <c r="Z107" i="9"/>
  <c r="W108" i="9" l="1"/>
  <c r="AD108" i="9"/>
  <c r="V108" i="9"/>
  <c r="AB108" i="9"/>
  <c r="AA108" i="9"/>
  <c r="F108" i="9"/>
  <c r="C109" i="9"/>
  <c r="E109" i="9" s="1"/>
  <c r="W109" i="9" s="1"/>
  <c r="T108" i="9"/>
  <c r="U108" i="9"/>
  <c r="Z108" i="9"/>
  <c r="Y108" i="9"/>
  <c r="X108" i="9"/>
  <c r="Z109" i="9" l="1"/>
  <c r="AC109" i="9"/>
  <c r="AA109" i="9"/>
  <c r="C110" i="9"/>
  <c r="E110" i="9" s="1"/>
  <c r="Y110" i="9" s="1"/>
  <c r="F109" i="9"/>
  <c r="U109" i="9"/>
  <c r="T109" i="9"/>
  <c r="AB109" i="9"/>
  <c r="AD109" i="9"/>
  <c r="V109" i="9"/>
  <c r="Y109" i="9"/>
  <c r="X109" i="9"/>
  <c r="F110" i="9" l="1"/>
  <c r="C111" i="9"/>
  <c r="E111" i="9" s="1"/>
  <c r="AB111" i="9" s="1"/>
  <c r="U110" i="9"/>
  <c r="T110" i="9"/>
  <c r="X110" i="9"/>
  <c r="W110" i="9"/>
  <c r="V110" i="9"/>
  <c r="AC110" i="9"/>
  <c r="AD110" i="9"/>
  <c r="AA110" i="9"/>
  <c r="AB110" i="9"/>
  <c r="Z110" i="9"/>
  <c r="F111" i="9" l="1"/>
  <c r="Z111" i="9"/>
  <c r="AD111" i="9"/>
  <c r="AA111" i="9"/>
  <c r="Y111" i="9"/>
  <c r="C112" i="9"/>
  <c r="E112" i="9" s="1"/>
  <c r="W112" i="9" s="1"/>
  <c r="U111" i="9"/>
  <c r="X111" i="9"/>
  <c r="T111" i="9"/>
  <c r="AC111" i="9"/>
  <c r="V111" i="9"/>
  <c r="W111" i="9"/>
  <c r="F112" i="9" l="1"/>
  <c r="U112" i="9"/>
  <c r="AC112" i="9"/>
  <c r="T112" i="9"/>
  <c r="AD112" i="9"/>
  <c r="Y112" i="9"/>
  <c r="AA112" i="9"/>
  <c r="AB112" i="9"/>
  <c r="C113" i="9"/>
  <c r="E113" i="9" s="1"/>
  <c r="W113" i="9" s="1"/>
  <c r="Z112" i="9"/>
  <c r="X112" i="9"/>
  <c r="V112" i="9"/>
  <c r="C114" i="9" l="1"/>
  <c r="E114" i="9" s="1"/>
  <c r="Z114" i="9" s="1"/>
  <c r="T113" i="9"/>
  <c r="AA113" i="9"/>
  <c r="V113" i="9"/>
  <c r="AC113" i="9"/>
  <c r="AB113" i="9"/>
  <c r="Z113" i="9"/>
  <c r="AD113" i="9"/>
  <c r="X113" i="9"/>
  <c r="F113" i="9"/>
  <c r="Y113" i="9"/>
  <c r="U113" i="9"/>
  <c r="AB114" i="9" l="1"/>
  <c r="X114" i="9"/>
  <c r="AD114" i="9"/>
  <c r="AC114" i="9"/>
  <c r="V114" i="9"/>
  <c r="C115" i="9"/>
  <c r="E115" i="9" s="1"/>
  <c r="W115" i="9" s="1"/>
  <c r="U114" i="9"/>
  <c r="T114" i="9"/>
  <c r="W114" i="9"/>
  <c r="AA114" i="9"/>
  <c r="Y114" i="9"/>
  <c r="F114" i="9"/>
  <c r="AC115" i="9" l="1"/>
  <c r="AB115" i="9"/>
  <c r="F115" i="9"/>
  <c r="C116" i="9"/>
  <c r="E116" i="9" s="1"/>
  <c r="AA116" i="9" s="1"/>
  <c r="U115" i="9"/>
  <c r="T115" i="9"/>
  <c r="AD115" i="9"/>
  <c r="AA115" i="9"/>
  <c r="Z115" i="9"/>
  <c r="Y115" i="9"/>
  <c r="V115" i="9"/>
  <c r="X115" i="9"/>
  <c r="F116" i="9" l="1"/>
  <c r="C117" i="9"/>
  <c r="E117" i="9" s="1"/>
  <c r="AD117" i="9" s="1"/>
  <c r="U116" i="9"/>
  <c r="T116" i="9"/>
  <c r="W116" i="9"/>
  <c r="Y116" i="9"/>
  <c r="Z116" i="9"/>
  <c r="X116" i="9"/>
  <c r="AD116" i="9"/>
  <c r="V116" i="9"/>
  <c r="AB116" i="9"/>
  <c r="AC116" i="9"/>
  <c r="U117" i="9" l="1"/>
  <c r="Y117" i="9"/>
  <c r="AB117" i="9"/>
  <c r="AC117" i="9"/>
  <c r="C118" i="9"/>
  <c r="E118" i="9" s="1"/>
  <c r="Z118" i="9" s="1"/>
  <c r="AA117" i="9"/>
  <c r="F117" i="9"/>
  <c r="X117" i="9"/>
  <c r="T117" i="9"/>
  <c r="Z117" i="9"/>
  <c r="W117" i="9"/>
  <c r="V117" i="9"/>
  <c r="W118" i="9" l="1"/>
  <c r="Y118" i="9"/>
  <c r="F118" i="9"/>
  <c r="AC118" i="9"/>
  <c r="X118" i="9"/>
  <c r="V118" i="9"/>
  <c r="C119" i="9"/>
  <c r="E119" i="9" s="1"/>
  <c r="Y119" i="9" s="1"/>
  <c r="AD118" i="9"/>
  <c r="U118" i="9"/>
  <c r="AA118" i="9"/>
  <c r="T118" i="9"/>
  <c r="AB118" i="9"/>
  <c r="W119" i="9" l="1"/>
  <c r="AB119" i="9"/>
  <c r="AC119" i="9"/>
  <c r="AD119" i="9"/>
  <c r="Z119" i="9"/>
  <c r="V119" i="9"/>
  <c r="C120" i="9"/>
  <c r="E120" i="9" s="1"/>
  <c r="W120" i="9" s="1"/>
  <c r="F119" i="9"/>
  <c r="AA119" i="9"/>
  <c r="U119" i="9"/>
  <c r="X119" i="9"/>
  <c r="T119" i="9"/>
  <c r="F120" i="9" l="1"/>
  <c r="AB120" i="9"/>
  <c r="AA120" i="9"/>
  <c r="Z120" i="9"/>
  <c r="C121" i="9"/>
  <c r="E121" i="9" s="1"/>
  <c r="Z121" i="9" s="1"/>
  <c r="U120" i="9"/>
  <c r="V120" i="9"/>
  <c r="Y120" i="9"/>
  <c r="AC120" i="9"/>
  <c r="T120" i="9"/>
  <c r="X120" i="9"/>
  <c r="AD120" i="9"/>
  <c r="V121" i="9" l="1"/>
  <c r="AC121" i="9"/>
  <c r="Y121" i="9"/>
  <c r="W121" i="9"/>
  <c r="C122" i="9"/>
  <c r="E122" i="9" s="1"/>
  <c r="V122" i="9" s="1"/>
  <c r="F121" i="9"/>
  <c r="U121" i="9"/>
  <c r="AB121" i="9"/>
  <c r="T121" i="9"/>
  <c r="AD121" i="9"/>
  <c r="X121" i="9"/>
  <c r="AA121" i="9"/>
  <c r="AA122" i="9" l="1"/>
  <c r="U122" i="9"/>
  <c r="T122" i="9"/>
  <c r="F122" i="9"/>
  <c r="Z122" i="9"/>
  <c r="AC122" i="9"/>
  <c r="W122" i="9"/>
  <c r="C123" i="9"/>
  <c r="E123" i="9" s="1"/>
  <c r="W123" i="9" s="1"/>
  <c r="AB122" i="9"/>
  <c r="Y122" i="9"/>
  <c r="X122" i="9"/>
  <c r="AD122" i="9"/>
  <c r="AC123" i="9" l="1"/>
  <c r="AB123" i="9"/>
  <c r="C124" i="9"/>
  <c r="E124" i="9" s="1"/>
  <c r="X124" i="9" s="1"/>
  <c r="F123" i="9"/>
  <c r="U123" i="9"/>
  <c r="Z123" i="9"/>
  <c r="T123" i="9"/>
  <c r="X123" i="9"/>
  <c r="AD123" i="9"/>
  <c r="V123" i="9"/>
  <c r="Y123" i="9"/>
  <c r="AA123" i="9"/>
  <c r="AC124" i="9" l="1"/>
  <c r="AD124" i="9"/>
  <c r="V124" i="9"/>
  <c r="AB124" i="9"/>
  <c r="C125" i="9"/>
  <c r="E125" i="9" s="1"/>
  <c r="Z125" i="9" s="1"/>
  <c r="Y124" i="9"/>
  <c r="W124" i="9"/>
  <c r="F124" i="9"/>
  <c r="AA124" i="9"/>
  <c r="U124" i="9"/>
  <c r="T124" i="9"/>
  <c r="Z124" i="9"/>
  <c r="F125" i="9" l="1"/>
  <c r="AB125" i="9"/>
  <c r="Y125" i="9"/>
  <c r="X125" i="9"/>
  <c r="W125" i="9"/>
  <c r="T125" i="9"/>
  <c r="C126" i="9"/>
  <c r="E126" i="9" s="1"/>
  <c r="W126" i="9" s="1"/>
  <c r="AD125" i="9"/>
  <c r="U125" i="9"/>
  <c r="AC125" i="9"/>
  <c r="V125" i="9"/>
  <c r="AA125" i="9"/>
  <c r="F126" i="9" l="1"/>
  <c r="T126" i="9"/>
  <c r="U126" i="9"/>
  <c r="V126" i="9"/>
  <c r="AB126" i="9"/>
  <c r="Z126" i="9"/>
  <c r="Y126" i="9"/>
  <c r="AC126" i="9"/>
  <c r="AD126" i="9"/>
  <c r="X126" i="9"/>
  <c r="AA126" i="9"/>
  <c r="C127" i="9"/>
  <c r="E127" i="9" s="1"/>
  <c r="X127" i="9" s="1"/>
  <c r="AB127" i="9" l="1"/>
  <c r="AA127" i="9"/>
  <c r="Y127" i="9"/>
  <c r="C128" i="9"/>
  <c r="E128" i="9" s="1"/>
  <c r="V128" i="9" s="1"/>
  <c r="F127" i="9"/>
  <c r="U127" i="9"/>
  <c r="T127" i="9"/>
  <c r="V127" i="9"/>
  <c r="AC127" i="9"/>
  <c r="AD127" i="9"/>
  <c r="W127" i="9"/>
  <c r="Z127" i="9"/>
  <c r="T128" i="9" l="1"/>
  <c r="AD128" i="9"/>
  <c r="F128" i="9"/>
  <c r="Z128" i="9"/>
  <c r="X128" i="9"/>
  <c r="C129" i="9"/>
  <c r="E129" i="9" s="1"/>
  <c r="V129" i="9" s="1"/>
  <c r="U128" i="9"/>
  <c r="W128" i="9"/>
  <c r="AC128" i="9"/>
  <c r="AB128" i="9"/>
  <c r="Y128" i="9"/>
  <c r="AA128" i="9"/>
  <c r="U129" i="9" l="1"/>
  <c r="AB129" i="9"/>
  <c r="Z129" i="9"/>
  <c r="W129" i="9"/>
  <c r="C130" i="9"/>
  <c r="E130" i="9" s="1"/>
  <c r="W130" i="9" s="1"/>
  <c r="Y129" i="9"/>
  <c r="T129" i="9"/>
  <c r="AD129" i="9"/>
  <c r="F129" i="9"/>
  <c r="AA129" i="9"/>
  <c r="X129" i="9"/>
  <c r="AC129" i="9"/>
  <c r="AC130" i="9" l="1"/>
  <c r="AB130" i="9"/>
  <c r="Z130" i="9"/>
  <c r="X130" i="9"/>
  <c r="C131" i="9"/>
  <c r="E131" i="9" s="1"/>
  <c r="AA131" i="9" s="1"/>
  <c r="F130" i="9"/>
  <c r="V130" i="9"/>
  <c r="U130" i="9"/>
  <c r="T130" i="9"/>
  <c r="AA130" i="9"/>
  <c r="AD130" i="9"/>
  <c r="Y130" i="9"/>
  <c r="T131" i="9" l="1"/>
  <c r="AB131" i="9"/>
  <c r="V131" i="9"/>
  <c r="X131" i="9"/>
  <c r="Z131" i="9"/>
  <c r="AD131" i="9"/>
  <c r="C132" i="9"/>
  <c r="E132" i="9" s="1"/>
  <c r="AB132" i="9" s="1"/>
  <c r="F131" i="9"/>
  <c r="W131" i="9"/>
  <c r="U131" i="9"/>
  <c r="AC131" i="9"/>
  <c r="Y131" i="9"/>
  <c r="AC132" i="9" l="1"/>
  <c r="AD132" i="9"/>
  <c r="Y132" i="9"/>
  <c r="W132" i="9"/>
  <c r="X132" i="9"/>
  <c r="F132" i="9"/>
  <c r="V132" i="9"/>
  <c r="U132" i="9"/>
  <c r="AA132" i="9"/>
  <c r="C133" i="9"/>
  <c r="E133" i="9" s="1"/>
  <c r="W133" i="9" s="1"/>
  <c r="Z132" i="9"/>
  <c r="T132" i="9"/>
  <c r="V133" i="9" l="1"/>
  <c r="AB133" i="9"/>
  <c r="F133" i="9"/>
  <c r="X133" i="9"/>
  <c r="U133" i="9"/>
  <c r="AC133" i="9"/>
  <c r="Y133" i="9"/>
  <c r="C134" i="9"/>
  <c r="E134" i="9" s="1"/>
  <c r="AC134" i="9" s="1"/>
  <c r="T133" i="9"/>
  <c r="AA133" i="9"/>
  <c r="AD133" i="9"/>
  <c r="Z133" i="9"/>
  <c r="U134" i="9" l="1"/>
  <c r="AB134" i="9"/>
  <c r="C135" i="9"/>
  <c r="E135" i="9" s="1"/>
  <c r="AC135" i="9" s="1"/>
  <c r="F134" i="9"/>
  <c r="T134" i="9"/>
  <c r="W134" i="9"/>
  <c r="Y134" i="9"/>
  <c r="AD134" i="9"/>
  <c r="X134" i="9"/>
  <c r="Z134" i="9"/>
  <c r="AA134" i="9"/>
  <c r="V134" i="9"/>
  <c r="C136" i="9" l="1"/>
  <c r="E136" i="9" s="1"/>
  <c r="AD136" i="9" s="1"/>
  <c r="X135" i="9"/>
  <c r="U135" i="9"/>
  <c r="T135" i="9"/>
  <c r="W135" i="9"/>
  <c r="Z135" i="9"/>
  <c r="V135" i="9"/>
  <c r="AA135" i="9"/>
  <c r="F135" i="9"/>
  <c r="AD135" i="9"/>
  <c r="AB135" i="9"/>
  <c r="Y135" i="9"/>
  <c r="F136" i="9" l="1"/>
  <c r="V136" i="9"/>
  <c r="AA136" i="9"/>
  <c r="Z136" i="9"/>
  <c r="C137" i="9"/>
  <c r="E137" i="9" s="1"/>
  <c r="V137" i="9" s="1"/>
  <c r="U136" i="9"/>
  <c r="T136" i="9"/>
  <c r="X136" i="9"/>
  <c r="W136" i="9"/>
  <c r="AC136" i="9"/>
  <c r="AB136" i="9"/>
  <c r="Y136" i="9"/>
  <c r="T137" i="9" l="1"/>
  <c r="AB137" i="9"/>
  <c r="X137" i="9"/>
  <c r="AC137" i="9"/>
  <c r="F137" i="9"/>
  <c r="AA137" i="9"/>
  <c r="Y137" i="9"/>
  <c r="C138" i="9"/>
  <c r="E138" i="9" s="1"/>
  <c r="AB138" i="9" s="1"/>
  <c r="U137" i="9"/>
  <c r="W137" i="9"/>
  <c r="AD137" i="9"/>
  <c r="Z137" i="9"/>
  <c r="Z138" i="9" l="1"/>
  <c r="Y138" i="9"/>
  <c r="C139" i="9"/>
  <c r="E139" i="9" s="1"/>
  <c r="AA139" i="9" s="1"/>
  <c r="W138" i="9"/>
  <c r="F138" i="9"/>
  <c r="X138" i="9"/>
  <c r="AD138" i="9"/>
  <c r="U138" i="9"/>
  <c r="T138" i="9"/>
  <c r="V138" i="9"/>
  <c r="AC138" i="9"/>
  <c r="AA138" i="9"/>
  <c r="Y139" i="9" l="1"/>
  <c r="V139" i="9"/>
  <c r="W139" i="9"/>
  <c r="F139" i="9"/>
  <c r="AC139" i="9"/>
  <c r="C140" i="9"/>
  <c r="E140" i="9" s="1"/>
  <c r="AC140" i="9" s="1"/>
  <c r="AB139" i="9"/>
  <c r="U139" i="9"/>
  <c r="T139" i="9"/>
  <c r="X139" i="9"/>
  <c r="Z139" i="9"/>
  <c r="AD139" i="9"/>
  <c r="U140" i="9" l="1"/>
  <c r="Z140" i="9"/>
  <c r="Y140" i="9"/>
  <c r="AD140" i="9"/>
  <c r="V140" i="9"/>
  <c r="C141" i="9"/>
  <c r="E141" i="9" s="1"/>
  <c r="Z141" i="9" s="1"/>
  <c r="F140" i="9"/>
  <c r="T140" i="9"/>
  <c r="AB140" i="9"/>
  <c r="W140" i="9"/>
  <c r="AA140" i="9"/>
  <c r="X140" i="9"/>
  <c r="F141" i="9" l="1"/>
  <c r="Y141" i="9"/>
  <c r="U141" i="9"/>
  <c r="AC141" i="9"/>
  <c r="AA141" i="9"/>
  <c r="AD141" i="9"/>
  <c r="AB141" i="9"/>
  <c r="W141" i="9"/>
  <c r="C142" i="9"/>
  <c r="E142" i="9" s="1"/>
  <c r="AA142" i="9" s="1"/>
  <c r="T141" i="9"/>
  <c r="X141" i="9"/>
  <c r="V141" i="9"/>
  <c r="C143" i="9" l="1"/>
  <c r="E143" i="9" s="1"/>
  <c r="V143" i="9" s="1"/>
  <c r="F142" i="9"/>
  <c r="AB142" i="9"/>
  <c r="Z142" i="9"/>
  <c r="Y142" i="9"/>
  <c r="X142" i="9"/>
  <c r="AC142" i="9"/>
  <c r="AD142" i="9"/>
  <c r="W142" i="9"/>
  <c r="U142" i="9"/>
  <c r="T142" i="9"/>
  <c r="V142" i="9"/>
  <c r="U143" i="9" l="1"/>
  <c r="F143" i="9"/>
  <c r="Z143" i="9"/>
  <c r="W143" i="9"/>
  <c r="C144" i="9"/>
  <c r="E144" i="9" s="1"/>
  <c r="Z144" i="9" s="1"/>
  <c r="AA143" i="9"/>
  <c r="AB143" i="9"/>
  <c r="T143" i="9"/>
  <c r="Y143" i="9"/>
  <c r="X143" i="9"/>
  <c r="AD143" i="9"/>
  <c r="AC143" i="9"/>
  <c r="T144" i="9" l="1"/>
  <c r="AA144" i="9"/>
  <c r="X144" i="9"/>
  <c r="W144" i="9"/>
  <c r="V144" i="9"/>
  <c r="AC144" i="9"/>
  <c r="Y144" i="9"/>
  <c r="AD144" i="9"/>
  <c r="C145" i="9"/>
  <c r="E145" i="9" s="1"/>
  <c r="Y145" i="9" s="1"/>
  <c r="F144" i="9"/>
  <c r="AB144" i="9"/>
  <c r="U144" i="9"/>
  <c r="V145" i="9" l="1"/>
  <c r="AD145" i="9"/>
  <c r="C146" i="9"/>
  <c r="E146" i="9" s="1"/>
  <c r="U146" i="9" s="1"/>
  <c r="U145" i="9"/>
  <c r="T145" i="9"/>
  <c r="X145" i="9"/>
  <c r="AC145" i="9"/>
  <c r="AB145" i="9"/>
  <c r="AA145" i="9"/>
  <c r="Z145" i="9"/>
  <c r="W145" i="9"/>
  <c r="F145" i="9"/>
  <c r="Y146" i="9" l="1"/>
  <c r="Z146" i="9"/>
  <c r="W146" i="9"/>
  <c r="AB146" i="9"/>
  <c r="X146" i="9"/>
  <c r="C147" i="9"/>
  <c r="E147" i="9" s="1"/>
  <c r="W147" i="9" s="1"/>
  <c r="T146" i="9"/>
  <c r="AA146" i="9"/>
  <c r="AD146" i="9"/>
  <c r="V146" i="9"/>
  <c r="AC146" i="9"/>
  <c r="F146" i="9"/>
  <c r="T147" i="9" l="1"/>
  <c r="AA147" i="9"/>
  <c r="X147" i="9"/>
  <c r="V147" i="9"/>
  <c r="AC147" i="9"/>
  <c r="AB147" i="9"/>
  <c r="C148" i="9"/>
  <c r="E148" i="9" s="1"/>
  <c r="AA148" i="9" s="1"/>
  <c r="U147" i="9"/>
  <c r="Y147" i="9"/>
  <c r="F147" i="9"/>
  <c r="AD147" i="9"/>
  <c r="Z147" i="9"/>
  <c r="X148" i="9" l="1"/>
  <c r="AC148" i="9"/>
  <c r="W148" i="9"/>
  <c r="Z148" i="9"/>
  <c r="Y148" i="9"/>
  <c r="C149" i="9"/>
  <c r="E149" i="9" s="1"/>
  <c r="X149" i="9" s="1"/>
  <c r="AD148" i="9"/>
  <c r="V148" i="9"/>
  <c r="T148" i="9"/>
  <c r="U148" i="9"/>
  <c r="F148" i="9"/>
  <c r="AB148" i="9"/>
  <c r="Y149" i="9" l="1"/>
  <c r="AC149" i="9"/>
  <c r="V149" i="9"/>
  <c r="AA149" i="9"/>
  <c r="U149" i="9"/>
  <c r="C150" i="9"/>
  <c r="E150" i="9" s="1"/>
  <c r="W150" i="9" s="1"/>
  <c r="T149" i="9"/>
  <c r="F149" i="9"/>
  <c r="AD149" i="9"/>
  <c r="Z149" i="9"/>
  <c r="AB149" i="9"/>
  <c r="W149" i="9"/>
  <c r="F150" i="9" l="1"/>
  <c r="X150" i="9"/>
  <c r="V150" i="9"/>
  <c r="AB150" i="9"/>
  <c r="Z150" i="9"/>
  <c r="Y150" i="9"/>
  <c r="C151" i="9"/>
  <c r="E151" i="9" s="1"/>
  <c r="Z151" i="9" s="1"/>
  <c r="T150" i="9"/>
  <c r="U150" i="9"/>
  <c r="AD150" i="9"/>
  <c r="AA150" i="9"/>
  <c r="AC150" i="9"/>
  <c r="AB151" i="9" l="1"/>
  <c r="C152" i="9"/>
  <c r="E152" i="9" s="1"/>
  <c r="AA152" i="9" s="1"/>
  <c r="V151" i="9"/>
  <c r="AC151" i="9"/>
  <c r="AA151" i="9"/>
  <c r="X151" i="9"/>
  <c r="F151" i="9"/>
  <c r="T151" i="9"/>
  <c r="Y151" i="9"/>
  <c r="AD151" i="9"/>
  <c r="W151" i="9"/>
  <c r="U151" i="9"/>
  <c r="AC152" i="9" l="1"/>
  <c r="V152" i="9"/>
  <c r="C153" i="9"/>
  <c r="E153" i="9" s="1"/>
  <c r="Z153" i="9" s="1"/>
  <c r="Z152" i="9"/>
  <c r="F152" i="9"/>
  <c r="X152" i="9"/>
  <c r="AB152" i="9"/>
  <c r="W152" i="9"/>
  <c r="T152" i="9"/>
  <c r="Y152" i="9"/>
  <c r="U152" i="9"/>
  <c r="AD152" i="9"/>
  <c r="X153" i="9" l="1"/>
  <c r="Y153" i="9"/>
  <c r="W153" i="9"/>
  <c r="V153" i="9"/>
  <c r="AD153" i="9"/>
  <c r="F153" i="9"/>
  <c r="C154" i="9"/>
  <c r="E154" i="9" s="1"/>
  <c r="X154" i="9" s="1"/>
  <c r="AB153" i="9"/>
  <c r="U153" i="9"/>
  <c r="T153" i="9"/>
  <c r="AC153" i="9"/>
  <c r="AA153" i="9"/>
  <c r="U154" i="9" l="1"/>
  <c r="T154" i="9"/>
  <c r="AD154" i="9"/>
  <c r="V154" i="9"/>
  <c r="AC154" i="9"/>
  <c r="W154" i="9"/>
  <c r="AB154" i="9"/>
  <c r="Y154" i="9"/>
  <c r="C155" i="9"/>
  <c r="E155" i="9" s="1"/>
  <c r="W155" i="9" s="1"/>
  <c r="AA154" i="9"/>
  <c r="Z154" i="9"/>
  <c r="F154" i="9"/>
  <c r="AB155" i="9" l="1"/>
  <c r="F155" i="9"/>
  <c r="T155" i="9"/>
  <c r="Y155" i="9"/>
  <c r="X155" i="9"/>
  <c r="AD155" i="9"/>
  <c r="AC155" i="9"/>
  <c r="AA155" i="9"/>
  <c r="Z155" i="9"/>
  <c r="C156" i="9"/>
  <c r="E156" i="9" s="1"/>
  <c r="AA156" i="9" s="1"/>
  <c r="V155" i="9"/>
  <c r="U155" i="9"/>
  <c r="C157" i="9" l="1"/>
  <c r="E157" i="9" s="1"/>
  <c r="V157" i="9" s="1"/>
  <c r="AC156" i="9"/>
  <c r="X156" i="9"/>
  <c r="U156" i="9"/>
  <c r="V156" i="9"/>
  <c r="Y156" i="9"/>
  <c r="F156" i="9"/>
  <c r="AB156" i="9"/>
  <c r="W156" i="9"/>
  <c r="AD156" i="9"/>
  <c r="T156" i="9"/>
  <c r="Z156" i="9"/>
  <c r="T157" i="9" l="1"/>
  <c r="X157" i="9"/>
  <c r="AB157" i="9"/>
  <c r="Y157" i="9"/>
  <c r="AD157" i="9"/>
  <c r="AA157" i="9"/>
  <c r="C158" i="9"/>
  <c r="E158" i="9" s="1"/>
  <c r="AA158" i="9" s="1"/>
  <c r="U157" i="9"/>
  <c r="F157" i="9"/>
  <c r="AC157" i="9"/>
  <c r="Z157" i="9"/>
  <c r="W157" i="9"/>
  <c r="F158" i="9" l="1"/>
  <c r="U158" i="9"/>
  <c r="AC158" i="9"/>
  <c r="W158" i="9"/>
  <c r="AB158" i="9"/>
  <c r="C159" i="9"/>
  <c r="E159" i="9" s="1"/>
  <c r="AA159" i="9" s="1"/>
  <c r="AD158" i="9"/>
  <c r="T158" i="9"/>
  <c r="Z158" i="9"/>
  <c r="X158" i="9"/>
  <c r="Y158" i="9"/>
  <c r="V158" i="9"/>
  <c r="AB159" i="9" l="1"/>
  <c r="X159" i="9"/>
  <c r="V159" i="9"/>
  <c r="AC159" i="9"/>
  <c r="AD159" i="9"/>
  <c r="T159" i="9"/>
  <c r="Z159" i="9"/>
  <c r="C160" i="9"/>
  <c r="E160" i="9" s="1"/>
  <c r="AC160" i="9" s="1"/>
  <c r="F159" i="9"/>
  <c r="W159" i="9"/>
  <c r="Y159" i="9"/>
  <c r="U159" i="9"/>
  <c r="U160" i="9" l="1"/>
  <c r="T160" i="9"/>
  <c r="AB160" i="9"/>
  <c r="AA160" i="9"/>
  <c r="Y160" i="9"/>
  <c r="F160" i="9"/>
  <c r="Z160" i="9"/>
  <c r="C161" i="9"/>
  <c r="E161" i="9" s="1"/>
  <c r="AA161" i="9" s="1"/>
  <c r="W160" i="9"/>
  <c r="AD160" i="9"/>
  <c r="X160" i="9"/>
  <c r="V160" i="9"/>
  <c r="AC161" i="9" l="1"/>
  <c r="V161" i="9"/>
  <c r="C162" i="9"/>
  <c r="E162" i="9" s="1"/>
  <c r="AC162" i="9" s="1"/>
  <c r="Y161" i="9"/>
  <c r="U161" i="9"/>
  <c r="T161" i="9"/>
  <c r="W161" i="9"/>
  <c r="AB161" i="9"/>
  <c r="F161" i="9"/>
  <c r="Z161" i="9"/>
  <c r="X161" i="9"/>
  <c r="AD161" i="9"/>
  <c r="Z162" i="9" l="1"/>
  <c r="C163" i="9"/>
  <c r="E163" i="9" s="1"/>
  <c r="X163" i="9" s="1"/>
  <c r="Y162" i="9"/>
  <c r="W162" i="9"/>
  <c r="U162" i="9"/>
  <c r="AD162" i="9"/>
  <c r="AA162" i="9"/>
  <c r="F162" i="9"/>
  <c r="T162" i="9"/>
  <c r="X162" i="9"/>
  <c r="V162" i="9"/>
  <c r="AB162" i="9"/>
  <c r="F163" i="9" l="1"/>
  <c r="U163" i="9"/>
  <c r="Y163" i="9"/>
  <c r="AB163" i="9"/>
  <c r="AA163" i="9"/>
  <c r="V163" i="9"/>
  <c r="C164" i="9"/>
  <c r="E164" i="9" s="1"/>
  <c r="Y164" i="9" s="1"/>
  <c r="W163" i="9"/>
  <c r="Z163" i="9"/>
  <c r="AC163" i="9"/>
  <c r="T163" i="9"/>
  <c r="AD163" i="9"/>
  <c r="AC164" i="9" l="1"/>
  <c r="Z164" i="9"/>
  <c r="AD164" i="9"/>
  <c r="U164" i="9"/>
  <c r="T164" i="9"/>
  <c r="V164" i="9"/>
  <c r="F164" i="9"/>
  <c r="W164" i="9"/>
  <c r="AB164" i="9"/>
  <c r="C165" i="9"/>
  <c r="E165" i="9" s="1"/>
  <c r="AD165" i="9" s="1"/>
  <c r="X164" i="9"/>
  <c r="AA164" i="9"/>
  <c r="F165" i="9" l="1"/>
  <c r="U165" i="9"/>
  <c r="AB165" i="9"/>
  <c r="C166" i="9"/>
  <c r="E166" i="9" s="1"/>
  <c r="X166" i="9" s="1"/>
  <c r="AC165" i="9"/>
  <c r="W165" i="9"/>
  <c r="AA165" i="9"/>
  <c r="X165" i="9"/>
  <c r="Y165" i="9"/>
  <c r="V165" i="9"/>
  <c r="T165" i="9"/>
  <c r="Z165" i="9"/>
  <c r="U166" i="9" l="1"/>
  <c r="AC166" i="9"/>
  <c r="AA166" i="9"/>
  <c r="W166" i="9"/>
  <c r="V166" i="9"/>
  <c r="C167" i="9"/>
  <c r="E167" i="9" s="1"/>
  <c r="W167" i="9" s="1"/>
  <c r="AD166" i="9"/>
  <c r="T166" i="9"/>
  <c r="F166" i="9"/>
  <c r="AB166" i="9"/>
  <c r="Z166" i="9"/>
  <c r="Y166" i="9"/>
  <c r="T167" i="9" l="1"/>
  <c r="Z167" i="9"/>
  <c r="AA167" i="9"/>
  <c r="Y167" i="9"/>
  <c r="X167" i="9"/>
  <c r="V167" i="9"/>
  <c r="AD167" i="9"/>
  <c r="AC167" i="9"/>
  <c r="F167" i="9"/>
  <c r="AB167" i="9"/>
  <c r="C168" i="9"/>
  <c r="E168" i="9" s="1"/>
  <c r="Z168" i="9" s="1"/>
  <c r="U167" i="9"/>
  <c r="X168" i="9" l="1"/>
  <c r="C169" i="9"/>
  <c r="E169" i="9" s="1"/>
  <c r="Z169" i="9" s="1"/>
  <c r="AA168" i="9"/>
  <c r="AC168" i="9"/>
  <c r="F168" i="9"/>
  <c r="AD168" i="9"/>
  <c r="Y168" i="9"/>
  <c r="AB168" i="9"/>
  <c r="W168" i="9"/>
  <c r="U168" i="9"/>
  <c r="V168" i="9"/>
  <c r="T168" i="9"/>
  <c r="V169" i="9" l="1"/>
  <c r="AB169" i="9"/>
  <c r="U169" i="9"/>
  <c r="X169" i="9"/>
  <c r="C170" i="9"/>
  <c r="E170" i="9" s="1"/>
  <c r="Y170" i="9" s="1"/>
  <c r="AA169" i="9"/>
  <c r="Y169" i="9"/>
  <c r="AD169" i="9"/>
  <c r="W169" i="9"/>
  <c r="F169" i="9"/>
  <c r="T169" i="9"/>
  <c r="AC169" i="9"/>
  <c r="AB170" i="9" l="1"/>
  <c r="Z170" i="9"/>
  <c r="X170" i="9"/>
  <c r="AD170" i="9"/>
  <c r="V170" i="9"/>
  <c r="T170" i="9"/>
  <c r="C171" i="9"/>
  <c r="E171" i="9" s="1"/>
  <c r="AA171" i="9" s="1"/>
  <c r="U170" i="9"/>
  <c r="AC170" i="9"/>
  <c r="AA170" i="9"/>
  <c r="W170" i="9"/>
  <c r="F170" i="9"/>
  <c r="W171" i="9" l="1"/>
  <c r="F171" i="9"/>
  <c r="Z171" i="9"/>
  <c r="T171" i="9"/>
  <c r="AB171" i="9"/>
  <c r="AC171" i="9"/>
  <c r="X171" i="9"/>
  <c r="C172" i="9"/>
  <c r="E172" i="9" s="1"/>
  <c r="Z172" i="9" s="1"/>
  <c r="Y171" i="9"/>
  <c r="V171" i="9"/>
  <c r="AD171" i="9"/>
  <c r="U171" i="9"/>
  <c r="C173" i="9" l="1"/>
  <c r="E173" i="9" s="1"/>
  <c r="AB173" i="9" s="1"/>
  <c r="U172" i="9"/>
  <c r="W172" i="9"/>
  <c r="Y172" i="9"/>
  <c r="AC172" i="9"/>
  <c r="F172" i="9"/>
  <c r="T172" i="9"/>
  <c r="V172" i="9"/>
  <c r="AD172" i="9"/>
  <c r="X172" i="9"/>
  <c r="AB172" i="9"/>
  <c r="AA172" i="9"/>
  <c r="AC173" i="9" l="1"/>
  <c r="W173" i="9"/>
  <c r="Z173" i="9"/>
  <c r="X173" i="9"/>
  <c r="AD173" i="9"/>
  <c r="F173" i="9"/>
  <c r="C174" i="9"/>
  <c r="E174" i="9" s="1"/>
  <c r="AB174" i="9" s="1"/>
  <c r="AA173" i="9"/>
  <c r="U173" i="9"/>
  <c r="T173" i="9"/>
  <c r="V173" i="9"/>
  <c r="Y173" i="9"/>
  <c r="F174" i="9" l="1"/>
  <c r="C175" i="9"/>
  <c r="E175" i="9" s="1"/>
  <c r="AC175" i="9" s="1"/>
  <c r="U174" i="9"/>
  <c r="T174" i="9"/>
  <c r="AD174" i="9"/>
  <c r="AA174" i="9"/>
  <c r="AC174" i="9"/>
  <c r="Y174" i="9"/>
  <c r="W174" i="9"/>
  <c r="X174" i="9"/>
  <c r="Z174" i="9"/>
  <c r="V174" i="9"/>
  <c r="V175" i="9" l="1"/>
  <c r="Z175" i="9"/>
  <c r="W175" i="9"/>
  <c r="AB175" i="9"/>
  <c r="C176" i="9"/>
  <c r="E176" i="9" s="1"/>
  <c r="X176" i="9" s="1"/>
  <c r="AA175" i="9"/>
  <c r="U175" i="9"/>
  <c r="Y175" i="9"/>
  <c r="T175" i="9"/>
  <c r="X175" i="9"/>
  <c r="F175" i="9"/>
  <c r="AD175" i="9"/>
  <c r="C177" i="9" l="1"/>
  <c r="E177" i="9" s="1"/>
  <c r="Z177" i="9" s="1"/>
  <c r="U176" i="9"/>
  <c r="T176" i="9"/>
  <c r="AA176" i="9"/>
  <c r="V176" i="9"/>
  <c r="W176" i="9"/>
  <c r="Z176" i="9"/>
  <c r="F176" i="9"/>
  <c r="AD176" i="9"/>
  <c r="AB176" i="9"/>
  <c r="Y176" i="9"/>
  <c r="AC176" i="9"/>
  <c r="AB177" i="9" l="1"/>
  <c r="T177" i="9"/>
  <c r="X177" i="9"/>
  <c r="V177" i="9"/>
  <c r="AC177" i="9"/>
  <c r="Y177" i="9"/>
  <c r="C178" i="9"/>
  <c r="E178" i="9" s="1"/>
  <c r="W178" i="9" s="1"/>
  <c r="U177" i="9"/>
  <c r="F177" i="9"/>
  <c r="AA177" i="9"/>
  <c r="AD177" i="9"/>
  <c r="W177" i="9"/>
  <c r="C179" i="9" l="1"/>
  <c r="E179" i="9" s="1"/>
  <c r="Y179" i="9" s="1"/>
  <c r="AC178" i="9"/>
  <c r="AB178" i="9"/>
  <c r="F178" i="9"/>
  <c r="AA178" i="9"/>
  <c r="U178" i="9"/>
  <c r="X178" i="9"/>
  <c r="AD178" i="9"/>
  <c r="Y178" i="9"/>
  <c r="V178" i="9"/>
  <c r="T178" i="9"/>
  <c r="Z178" i="9"/>
  <c r="T179" i="9" l="1"/>
  <c r="X179" i="9"/>
  <c r="W179" i="9"/>
  <c r="C180" i="9"/>
  <c r="E180" i="9" s="1"/>
  <c r="Z180" i="9" s="1"/>
  <c r="V179" i="9"/>
  <c r="AA179" i="9"/>
  <c r="F179" i="9"/>
  <c r="U179" i="9"/>
  <c r="AD179" i="9"/>
  <c r="AB179" i="9"/>
  <c r="AC179" i="9"/>
  <c r="Z179" i="9"/>
  <c r="Y180" i="9" l="1"/>
  <c r="F180" i="9"/>
  <c r="AD180" i="9"/>
  <c r="AB180" i="9"/>
  <c r="X180" i="9"/>
  <c r="V180" i="9"/>
  <c r="C181" i="9"/>
  <c r="E181" i="9" s="1"/>
  <c r="AD181" i="9" s="1"/>
  <c r="U180" i="9"/>
  <c r="T180" i="9"/>
  <c r="W180" i="9"/>
  <c r="AC180" i="9"/>
  <c r="AA180" i="9"/>
  <c r="F181" i="9" l="1"/>
  <c r="W181" i="9"/>
  <c r="Y181" i="9"/>
  <c r="AC181" i="9"/>
  <c r="U181" i="9"/>
  <c r="T181" i="9"/>
  <c r="AB181" i="9"/>
  <c r="AA181" i="9"/>
  <c r="V181" i="9"/>
  <c r="Z181" i="9"/>
  <c r="X181" i="9"/>
  <c r="C182" i="9"/>
  <c r="E182" i="9" s="1"/>
  <c r="AB182" i="9" s="1"/>
  <c r="Z182" i="9" l="1"/>
  <c r="AD182" i="9"/>
  <c r="AC182" i="9"/>
  <c r="Y182" i="9"/>
  <c r="W182" i="9"/>
  <c r="F182" i="9"/>
  <c r="C183" i="9"/>
  <c r="E183" i="9" s="1"/>
  <c r="AA183" i="9" s="1"/>
  <c r="V182" i="9"/>
  <c r="U182" i="9"/>
  <c r="X182" i="9"/>
  <c r="AA182" i="9"/>
  <c r="T182" i="9"/>
  <c r="C184" i="9" l="1"/>
  <c r="E184" i="9" s="1"/>
  <c r="AC184" i="9" s="1"/>
  <c r="F183" i="9"/>
  <c r="W183" i="9"/>
  <c r="V183" i="9"/>
  <c r="AB183" i="9"/>
  <c r="AD183" i="9"/>
  <c r="X183" i="9"/>
  <c r="AC183" i="9"/>
  <c r="Z183" i="9"/>
  <c r="U183" i="9"/>
  <c r="T183" i="9"/>
  <c r="Y183" i="9"/>
  <c r="C185" i="9" l="1"/>
  <c r="E185" i="9" s="1"/>
  <c r="AB185" i="9" s="1"/>
  <c r="F184" i="9"/>
  <c r="T184" i="9"/>
  <c r="W184" i="9"/>
  <c r="AD184" i="9"/>
  <c r="V184" i="9"/>
  <c r="Y184" i="9"/>
  <c r="Z184" i="9"/>
  <c r="U184" i="9"/>
  <c r="AB184" i="9"/>
  <c r="AA184" i="9"/>
  <c r="X184" i="9"/>
  <c r="C186" i="9" l="1"/>
  <c r="E186" i="9" s="1"/>
  <c r="Z186" i="9" s="1"/>
  <c r="U185" i="9"/>
  <c r="V185" i="9"/>
  <c r="Z185" i="9"/>
  <c r="AC185" i="9"/>
  <c r="X185" i="9"/>
  <c r="F185" i="9"/>
  <c r="W185" i="9"/>
  <c r="T185" i="9"/>
  <c r="AA185" i="9"/>
  <c r="AD185" i="9"/>
  <c r="Y185" i="9"/>
  <c r="C187" i="9" l="1"/>
  <c r="E187" i="9" s="1"/>
  <c r="AD187" i="9" s="1"/>
  <c r="AC186" i="9"/>
  <c r="W186" i="9"/>
  <c r="F186" i="9"/>
  <c r="U186" i="9"/>
  <c r="X186" i="9"/>
  <c r="AD186" i="9"/>
  <c r="V186" i="9"/>
  <c r="AA186" i="9"/>
  <c r="T186" i="9"/>
  <c r="AB186" i="9"/>
  <c r="Y186" i="9"/>
  <c r="Y187" i="9" l="1"/>
  <c r="X187" i="9"/>
  <c r="U187" i="9"/>
  <c r="T187" i="9"/>
  <c r="AB187" i="9"/>
  <c r="W187" i="9"/>
  <c r="F187" i="9"/>
  <c r="C188" i="9"/>
  <c r="E188" i="9" s="1"/>
  <c r="V188" i="9" s="1"/>
  <c r="Z187" i="9"/>
  <c r="V187" i="9"/>
  <c r="AC187" i="9"/>
  <c r="AA187" i="9"/>
  <c r="Y188" i="9" l="1"/>
  <c r="AB188" i="9"/>
  <c r="AC188" i="9"/>
  <c r="AA188" i="9"/>
  <c r="W188" i="9"/>
  <c r="C189" i="9"/>
  <c r="E189" i="9" s="1"/>
  <c r="Z189" i="9" s="1"/>
  <c r="Z188" i="9"/>
  <c r="X188" i="9"/>
  <c r="F188" i="9"/>
  <c r="AD188" i="9"/>
  <c r="U188" i="9"/>
  <c r="T188" i="9"/>
  <c r="U189" i="9" l="1"/>
  <c r="F189" i="9"/>
  <c r="X189" i="9"/>
  <c r="W189" i="9"/>
  <c r="AD189" i="9"/>
  <c r="C190" i="9"/>
  <c r="E190" i="9" s="1"/>
  <c r="AC190" i="9" s="1"/>
  <c r="AB189" i="9"/>
  <c r="Y189" i="9"/>
  <c r="V189" i="9"/>
  <c r="T189" i="9"/>
  <c r="AC189" i="9"/>
  <c r="AA189" i="9"/>
  <c r="T190" i="9" l="1"/>
  <c r="W190" i="9"/>
  <c r="AD190" i="9"/>
  <c r="AA190" i="9"/>
  <c r="AB190" i="9"/>
  <c r="C191" i="9"/>
  <c r="E191" i="9" s="1"/>
  <c r="Z191" i="9" s="1"/>
  <c r="Z190" i="9"/>
  <c r="U190" i="9"/>
  <c r="F190" i="9"/>
  <c r="Y190" i="9"/>
  <c r="X190" i="9"/>
  <c r="V190" i="9"/>
  <c r="T191" i="9" l="1"/>
  <c r="U191" i="9"/>
  <c r="W191" i="9"/>
  <c r="X191" i="9"/>
  <c r="AB191" i="9"/>
  <c r="AA191" i="9"/>
  <c r="AC191" i="9"/>
  <c r="AD191" i="9"/>
  <c r="V191" i="9"/>
  <c r="Y191" i="9"/>
  <c r="F191" i="9"/>
  <c r="C192" i="9"/>
  <c r="E192" i="9" s="1"/>
  <c r="AC192" i="9" s="1"/>
  <c r="AB192" i="9" l="1"/>
  <c r="Y192" i="9"/>
  <c r="Z192" i="9"/>
  <c r="F192" i="9"/>
  <c r="T192" i="9"/>
  <c r="AA192" i="9"/>
  <c r="U192" i="9"/>
  <c r="AD192" i="9"/>
  <c r="W192" i="9"/>
  <c r="X192" i="9"/>
  <c r="V192" i="9"/>
  <c r="C193" i="9"/>
  <c r="E193" i="9" s="1"/>
  <c r="W193" i="9" s="1"/>
  <c r="F193" i="9" l="1"/>
  <c r="Y193" i="9"/>
  <c r="V193" i="9"/>
  <c r="AD193" i="9"/>
  <c r="X193" i="9"/>
  <c r="AB193" i="9"/>
  <c r="C194" i="9"/>
  <c r="E194" i="9" s="1"/>
  <c r="AA194" i="9" s="1"/>
  <c r="U193" i="9"/>
  <c r="T193" i="9"/>
  <c r="Z193" i="9"/>
  <c r="AA193" i="9"/>
  <c r="AC193" i="9"/>
  <c r="F194" i="9" l="1"/>
  <c r="AC194" i="9"/>
  <c r="U194" i="9"/>
  <c r="V194" i="9"/>
  <c r="T194" i="9"/>
  <c r="Z194" i="9"/>
  <c r="Y194" i="9"/>
  <c r="X194" i="9"/>
  <c r="W194" i="9"/>
  <c r="AD194" i="9"/>
  <c r="AB194" i="9"/>
  <c r="C195" i="9"/>
  <c r="E195" i="9" s="1"/>
  <c r="Y195" i="9" s="1"/>
  <c r="W195" i="9" l="1"/>
  <c r="AC195" i="9"/>
  <c r="AB195" i="9"/>
  <c r="X195" i="9"/>
  <c r="Z195" i="9"/>
  <c r="F195" i="9"/>
  <c r="V195" i="9"/>
  <c r="AD195" i="9"/>
  <c r="AA195" i="9"/>
  <c r="C196" i="9"/>
  <c r="E196" i="9" s="1"/>
  <c r="AA196" i="9" s="1"/>
  <c r="U195" i="9"/>
  <c r="T195" i="9"/>
  <c r="F196" i="9" l="1"/>
  <c r="U196" i="9"/>
  <c r="AB196" i="9"/>
  <c r="Y196" i="9"/>
  <c r="C197" i="9"/>
  <c r="E197" i="9" s="1"/>
  <c r="Z197" i="9" s="1"/>
  <c r="W196" i="9"/>
  <c r="T196" i="9"/>
  <c r="AD196" i="9"/>
  <c r="AC196" i="9"/>
  <c r="V196" i="9"/>
  <c r="X196" i="9"/>
  <c r="Z196" i="9"/>
  <c r="F197" i="9" l="1"/>
  <c r="U197" i="9"/>
  <c r="T197" i="9"/>
  <c r="C198" i="9"/>
  <c r="E198" i="9" s="1"/>
  <c r="W198" i="9" s="1"/>
  <c r="AA197" i="9"/>
  <c r="V197" i="9"/>
  <c r="W197" i="9"/>
  <c r="AC197" i="9"/>
  <c r="AD197" i="9"/>
  <c r="Y197" i="9"/>
  <c r="AB197" i="9"/>
  <c r="X197" i="9"/>
  <c r="U198" i="9" l="1"/>
  <c r="T198" i="9"/>
  <c r="AB198" i="9"/>
  <c r="AC198" i="9"/>
  <c r="AA198" i="9"/>
  <c r="Y198" i="9"/>
  <c r="C199" i="9"/>
  <c r="E199" i="9" s="1"/>
  <c r="AD199" i="9" s="1"/>
  <c r="F198" i="9"/>
  <c r="AD198" i="9"/>
  <c r="Z198" i="9"/>
  <c r="X198" i="9"/>
  <c r="V198" i="9"/>
  <c r="T199" i="9" l="1"/>
  <c r="C200" i="9"/>
  <c r="E200" i="9" s="1"/>
  <c r="V200" i="9" s="1"/>
  <c r="V199" i="9"/>
  <c r="W199" i="9"/>
  <c r="Y199" i="9"/>
  <c r="Z199" i="9"/>
  <c r="AA199" i="9"/>
  <c r="F199" i="9"/>
  <c r="AC199" i="9"/>
  <c r="U199" i="9"/>
  <c r="AB199" i="9"/>
  <c r="X199" i="9"/>
  <c r="AD200" i="9" l="1"/>
  <c r="F200" i="9"/>
  <c r="C201" i="9"/>
  <c r="E201" i="9" s="1"/>
  <c r="Z201" i="9" s="1"/>
  <c r="X200" i="9"/>
  <c r="U200" i="9"/>
  <c r="T200" i="9"/>
  <c r="AB200" i="9"/>
  <c r="Z200" i="9"/>
  <c r="AC200" i="9"/>
  <c r="AA200" i="9"/>
  <c r="W200" i="9"/>
  <c r="Y200" i="9"/>
  <c r="F201" i="9" l="1"/>
  <c r="AB201" i="9"/>
  <c r="X201" i="9"/>
  <c r="V201" i="9"/>
  <c r="AC201" i="9"/>
  <c r="U201" i="9"/>
  <c r="AD201" i="9"/>
  <c r="C202" i="9"/>
  <c r="E202" i="9" s="1"/>
  <c r="X202" i="9" s="1"/>
  <c r="T201" i="9"/>
  <c r="AA201" i="9"/>
  <c r="W201" i="9"/>
  <c r="Y201" i="9"/>
  <c r="C203" i="9" l="1"/>
  <c r="E203" i="9" s="1"/>
  <c r="AD203" i="9" s="1"/>
  <c r="T202" i="9"/>
  <c r="F202" i="9"/>
  <c r="V202" i="9"/>
  <c r="AB202" i="9"/>
  <c r="Y202" i="9"/>
  <c r="AD202" i="9"/>
  <c r="AA202" i="9"/>
  <c r="AC202" i="9"/>
  <c r="Z202" i="9"/>
  <c r="U202" i="9"/>
  <c r="W202" i="9"/>
  <c r="C204" i="9" l="1"/>
  <c r="E204" i="9" s="1"/>
  <c r="AB204" i="9" s="1"/>
  <c r="AA203" i="9"/>
  <c r="F203" i="9"/>
  <c r="Z203" i="9"/>
  <c r="U203" i="9"/>
  <c r="V203" i="9"/>
  <c r="X203" i="9"/>
  <c r="AC203" i="9"/>
  <c r="AB203" i="9"/>
  <c r="T203" i="9"/>
  <c r="Y203" i="9"/>
  <c r="W203" i="9"/>
  <c r="T204" i="9" l="1"/>
  <c r="W204" i="9"/>
  <c r="Z204" i="9"/>
  <c r="U204" i="9"/>
  <c r="Y204" i="9"/>
  <c r="AD204" i="9"/>
  <c r="C205" i="9"/>
  <c r="E205" i="9" s="1"/>
  <c r="V205" i="9" s="1"/>
  <c r="F204" i="9"/>
  <c r="AA204" i="9"/>
  <c r="X204" i="9"/>
  <c r="V204" i="9"/>
  <c r="AC204" i="9"/>
  <c r="F205" i="9" l="1"/>
  <c r="X205" i="9"/>
  <c r="AC205" i="9"/>
  <c r="Z205" i="9"/>
  <c r="AB205" i="9"/>
  <c r="C206" i="9"/>
  <c r="E206" i="9" s="1"/>
  <c r="V206" i="9" s="1"/>
  <c r="U205" i="9"/>
  <c r="T205" i="9"/>
  <c r="W205" i="9"/>
  <c r="AD205" i="9"/>
  <c r="Y205" i="9"/>
  <c r="AA205" i="9"/>
  <c r="F206" i="9" l="1"/>
  <c r="T206" i="9"/>
  <c r="W206" i="9"/>
  <c r="Z206" i="9"/>
  <c r="AA206" i="9"/>
  <c r="C207" i="9"/>
  <c r="E207" i="9" s="1"/>
  <c r="AA207" i="9" s="1"/>
  <c r="U206" i="9"/>
  <c r="AD206" i="9"/>
  <c r="AB206" i="9"/>
  <c r="Y206" i="9"/>
  <c r="AC206" i="9"/>
  <c r="X206" i="9"/>
  <c r="W207" i="9" l="1"/>
  <c r="F207" i="9"/>
  <c r="AC207" i="9"/>
  <c r="Z207" i="9"/>
  <c r="X207" i="9"/>
  <c r="C208" i="9"/>
  <c r="E208" i="9" s="1"/>
  <c r="AB208" i="9" s="1"/>
  <c r="V207" i="9"/>
  <c r="U207" i="9"/>
  <c r="T207" i="9"/>
  <c r="AD207" i="9"/>
  <c r="Y207" i="9"/>
  <c r="AB207" i="9"/>
  <c r="U208" i="9" l="1"/>
  <c r="AA208" i="9"/>
  <c r="V208" i="9"/>
  <c r="Z208" i="9"/>
  <c r="AC208" i="9"/>
  <c r="F208" i="9"/>
  <c r="C209" i="9"/>
  <c r="E209" i="9" s="1"/>
  <c r="AA209" i="9" s="1"/>
  <c r="X208" i="9"/>
  <c r="T208" i="9"/>
  <c r="AD208" i="9"/>
  <c r="W208" i="9"/>
  <c r="Y208" i="9"/>
  <c r="C210" i="9" l="1"/>
  <c r="E210" i="9" s="1"/>
  <c r="AC210" i="9" s="1"/>
  <c r="T209" i="9"/>
  <c r="V209" i="9"/>
  <c r="W209" i="9"/>
  <c r="AB209" i="9"/>
  <c r="AC209" i="9"/>
  <c r="X209" i="9"/>
  <c r="U209" i="9"/>
  <c r="AD209" i="9"/>
  <c r="F209" i="9"/>
  <c r="Z209" i="9"/>
  <c r="Y209" i="9"/>
  <c r="AA210" i="9" l="1"/>
  <c r="W210" i="9"/>
  <c r="Y210" i="9"/>
  <c r="C211" i="9"/>
  <c r="E211" i="9" s="1"/>
  <c r="AD211" i="9" s="1"/>
  <c r="T210" i="9"/>
  <c r="X210" i="9"/>
  <c r="V210" i="9"/>
  <c r="AB210" i="9"/>
  <c r="U210" i="9"/>
  <c r="AD210" i="9"/>
  <c r="Z210" i="9"/>
  <c r="F210" i="9"/>
  <c r="B6" i="17" l="1"/>
  <c r="X211" i="9"/>
  <c r="AB211" i="9"/>
  <c r="Z211" i="9"/>
  <c r="Y211" i="9"/>
  <c r="W211" i="9"/>
  <c r="F211" i="9"/>
  <c r="C6" i="17" s="1"/>
  <c r="I6" i="17" s="1"/>
  <c r="AA211" i="9"/>
  <c r="C212" i="9"/>
  <c r="E212" i="9" s="1"/>
  <c r="AC212" i="9" s="1"/>
  <c r="U211" i="9"/>
  <c r="T211" i="9"/>
  <c r="V211" i="9"/>
  <c r="AC211" i="9"/>
  <c r="AA212" i="9" l="1"/>
  <c r="X212" i="9"/>
  <c r="F212" i="9"/>
  <c r="AD212" i="9"/>
  <c r="U212" i="9"/>
  <c r="AB212" i="9"/>
  <c r="V212" i="9"/>
  <c r="Z212" i="9"/>
  <c r="T212" i="9"/>
  <c r="W212" i="9"/>
  <c r="Y212" i="9"/>
  <c r="C213" i="9"/>
  <c r="E213" i="9" s="1"/>
  <c r="AD213" i="9" s="1"/>
  <c r="Z213" i="9" l="1"/>
  <c r="V213" i="9"/>
  <c r="AB213" i="9"/>
  <c r="W213" i="9"/>
  <c r="AC213" i="9"/>
  <c r="C214" i="9"/>
  <c r="E214" i="9" s="1"/>
  <c r="AB214" i="9" s="1"/>
  <c r="F213" i="9"/>
  <c r="T213" i="9"/>
  <c r="U213" i="9"/>
  <c r="Y213" i="9"/>
  <c r="AA213" i="9"/>
  <c r="X213" i="9"/>
  <c r="AC214" i="9" l="1"/>
  <c r="Z214" i="9"/>
  <c r="F214" i="9"/>
  <c r="Y214" i="9"/>
  <c r="X214" i="9"/>
  <c r="W214" i="9"/>
  <c r="C215" i="9"/>
  <c r="E215" i="9" s="1"/>
  <c r="Z215" i="9" s="1"/>
  <c r="T214" i="9"/>
  <c r="AD214" i="9"/>
  <c r="U214" i="9"/>
  <c r="V214" i="9"/>
  <c r="AA214" i="9"/>
  <c r="F215" i="9" l="1"/>
  <c r="AC215" i="9"/>
  <c r="V215" i="9"/>
  <c r="W215" i="9"/>
  <c r="AD215" i="9"/>
  <c r="Y215" i="9"/>
  <c r="U215" i="9"/>
  <c r="AB215" i="9"/>
  <c r="C216" i="9"/>
  <c r="E216" i="9" s="1"/>
  <c r="V216" i="9" s="1"/>
  <c r="X215" i="9"/>
  <c r="T215" i="9"/>
  <c r="AA215" i="9"/>
  <c r="Y216" i="9" l="1"/>
  <c r="W216" i="9"/>
  <c r="C217" i="9"/>
  <c r="E217" i="9" s="1"/>
  <c r="AB217" i="9" s="1"/>
  <c r="AD216" i="9"/>
  <c r="T216" i="9"/>
  <c r="AA216" i="9"/>
  <c r="X216" i="9"/>
  <c r="AB216" i="9"/>
  <c r="F216" i="9"/>
  <c r="Z216" i="9"/>
  <c r="U216" i="9"/>
  <c r="AC216" i="9"/>
  <c r="C218" i="9" l="1"/>
  <c r="E218" i="9" s="1"/>
  <c r="AB218" i="9" s="1"/>
  <c r="V217" i="9"/>
  <c r="X217" i="9"/>
  <c r="AC217" i="9"/>
  <c r="AA217" i="9"/>
  <c r="T217" i="9"/>
  <c r="AD217" i="9"/>
  <c r="Y217" i="9"/>
  <c r="Z217" i="9"/>
  <c r="U217" i="9"/>
  <c r="W217" i="9"/>
  <c r="F217" i="9"/>
  <c r="T218" i="9" l="1"/>
  <c r="W218" i="9"/>
  <c r="AC218" i="9"/>
  <c r="X218" i="9"/>
  <c r="AA218" i="9"/>
  <c r="C219" i="9"/>
  <c r="E219" i="9" s="1"/>
  <c r="X219" i="9" s="1"/>
  <c r="Z218" i="9"/>
  <c r="U218" i="9"/>
  <c r="F218" i="9"/>
  <c r="V218" i="9"/>
  <c r="Y218" i="9"/>
  <c r="AD218" i="9"/>
  <c r="C220" i="9" l="1"/>
  <c r="E220" i="9" s="1"/>
  <c r="Y220" i="9" s="1"/>
  <c r="AA219" i="9"/>
  <c r="AD219" i="9"/>
  <c r="AB219" i="9"/>
  <c r="Y219" i="9"/>
  <c r="W219" i="9"/>
  <c r="T219" i="9"/>
  <c r="F219" i="9"/>
  <c r="U219" i="9"/>
  <c r="V219" i="9"/>
  <c r="Z219" i="9"/>
  <c r="AC219" i="9"/>
  <c r="AB220" i="9" l="1"/>
  <c r="AA220" i="9"/>
  <c r="AD220" i="9"/>
  <c r="AC220" i="9"/>
  <c r="F220" i="9"/>
  <c r="X220" i="9"/>
  <c r="V220" i="9"/>
  <c r="C221" i="9"/>
  <c r="E221" i="9" s="1"/>
  <c r="AB221" i="9" s="1"/>
  <c r="T220" i="9"/>
  <c r="W220" i="9"/>
  <c r="U220" i="9"/>
  <c r="Z220" i="9"/>
  <c r="Z221" i="9" l="1"/>
  <c r="X221" i="9"/>
  <c r="W221" i="9"/>
  <c r="U221" i="9"/>
  <c r="T221" i="9"/>
  <c r="F221" i="9"/>
  <c r="C222" i="9"/>
  <c r="E222" i="9" s="1"/>
  <c r="X222" i="9" s="1"/>
  <c r="V221" i="9"/>
  <c r="AA221" i="9"/>
  <c r="AC221" i="9"/>
  <c r="Y221" i="9"/>
  <c r="AD221" i="9"/>
  <c r="Y222" i="9" l="1"/>
  <c r="Z222" i="9"/>
  <c r="W222" i="9"/>
  <c r="AA222" i="9"/>
  <c r="AD222" i="9"/>
  <c r="F222" i="9"/>
  <c r="C223" i="9"/>
  <c r="E223" i="9" s="1"/>
  <c r="Y223" i="9" s="1"/>
  <c r="U222" i="9"/>
  <c r="V222" i="9"/>
  <c r="T222" i="9"/>
  <c r="AC222" i="9"/>
  <c r="AB222" i="9"/>
  <c r="U223" i="9" l="1"/>
  <c r="C224" i="9"/>
  <c r="E224" i="9" s="1"/>
  <c r="V224" i="9" s="1"/>
  <c r="F223" i="9"/>
  <c r="V223" i="9"/>
  <c r="Z223" i="9"/>
  <c r="X223" i="9"/>
  <c r="AC223" i="9"/>
  <c r="AA223" i="9"/>
  <c r="T223" i="9"/>
  <c r="AD223" i="9"/>
  <c r="W223" i="9"/>
  <c r="AB223" i="9"/>
  <c r="AC224" i="9" l="1"/>
  <c r="Y224" i="9"/>
  <c r="AB224" i="9"/>
  <c r="Z224" i="9"/>
  <c r="C225" i="9"/>
  <c r="E225" i="9" s="1"/>
  <c r="AA225" i="9" s="1"/>
  <c r="U224" i="9"/>
  <c r="F224" i="9"/>
  <c r="T224" i="9"/>
  <c r="W224" i="9"/>
  <c r="AD224" i="9"/>
  <c r="AA224" i="9"/>
  <c r="X224" i="9"/>
  <c r="F225" i="9" l="1"/>
  <c r="Y225" i="9"/>
  <c r="C226" i="9"/>
  <c r="E226" i="9" s="1"/>
  <c r="AB226" i="9" s="1"/>
  <c r="T225" i="9"/>
  <c r="X225" i="9"/>
  <c r="AC225" i="9"/>
  <c r="W225" i="9"/>
  <c r="V225" i="9"/>
  <c r="Z225" i="9"/>
  <c r="AD225" i="9"/>
  <c r="U225" i="9"/>
  <c r="AB225" i="9"/>
  <c r="W226" i="9" l="1"/>
  <c r="AC226" i="9"/>
  <c r="X226" i="9"/>
  <c r="Z226" i="9"/>
  <c r="AA226" i="9"/>
  <c r="F226" i="9"/>
  <c r="C227" i="9"/>
  <c r="E227" i="9" s="1"/>
  <c r="Y227" i="9" s="1"/>
  <c r="T226" i="9"/>
  <c r="V226" i="9"/>
  <c r="U226" i="9"/>
  <c r="Y226" i="9"/>
  <c r="AD226" i="9"/>
  <c r="C228" i="9" l="1"/>
  <c r="E228" i="9" s="1"/>
  <c r="W228" i="9" s="1"/>
  <c r="Z227" i="9"/>
  <c r="AC227" i="9"/>
  <c r="AA227" i="9"/>
  <c r="AB227" i="9"/>
  <c r="F227" i="9"/>
  <c r="W227" i="9"/>
  <c r="X227" i="9"/>
  <c r="V227" i="9"/>
  <c r="U227" i="9"/>
  <c r="AD227" i="9"/>
  <c r="T227" i="9"/>
  <c r="AB228" i="9" l="1"/>
  <c r="F228" i="9"/>
  <c r="C229" i="9"/>
  <c r="E229" i="9" s="1"/>
  <c r="Y229" i="9" s="1"/>
  <c r="X228" i="9"/>
  <c r="AD228" i="9"/>
  <c r="U228" i="9"/>
  <c r="AA228" i="9"/>
  <c r="AC228" i="9"/>
  <c r="T228" i="9"/>
  <c r="Z228" i="9"/>
  <c r="Y228" i="9"/>
  <c r="V228" i="9"/>
  <c r="Z229" i="9" l="1"/>
  <c r="X229" i="9"/>
  <c r="W229" i="9"/>
  <c r="AC229" i="9"/>
  <c r="C230" i="9"/>
  <c r="E230" i="9" s="1"/>
  <c r="V230" i="9" s="1"/>
  <c r="U229" i="9"/>
  <c r="T229" i="9"/>
  <c r="V229" i="9"/>
  <c r="AD229" i="9"/>
  <c r="AB229" i="9"/>
  <c r="AA229" i="9"/>
  <c r="F229" i="9"/>
  <c r="W230" i="9" l="1"/>
  <c r="AB230" i="9"/>
  <c r="AC230" i="9"/>
  <c r="F230" i="9"/>
  <c r="X230" i="9"/>
  <c r="C231" i="9"/>
  <c r="E231" i="9" s="1"/>
  <c r="V231" i="9" s="1"/>
  <c r="U230" i="9"/>
  <c r="AD230" i="9"/>
  <c r="Z230" i="9"/>
  <c r="AA230" i="9"/>
  <c r="Y230" i="9"/>
  <c r="T230" i="9"/>
  <c r="F231" i="9" l="1"/>
  <c r="T231" i="9"/>
  <c r="AA231" i="9"/>
  <c r="Y231" i="9"/>
  <c r="AD231" i="9"/>
  <c r="Z231" i="9"/>
  <c r="AB231" i="9"/>
  <c r="W231" i="9"/>
  <c r="X231" i="9"/>
  <c r="C232" i="9"/>
  <c r="E232" i="9" s="1"/>
  <c r="W232" i="9" s="1"/>
  <c r="U231" i="9"/>
  <c r="AC231" i="9"/>
  <c r="Y232" i="9" l="1"/>
  <c r="F232" i="9"/>
  <c r="U232" i="9"/>
  <c r="T232" i="9"/>
  <c r="Z232" i="9"/>
  <c r="AD232" i="9"/>
  <c r="C233" i="9"/>
  <c r="E233" i="9" s="1"/>
  <c r="W233" i="9" s="1"/>
  <c r="V232" i="9"/>
  <c r="AB232" i="9"/>
  <c r="X232" i="9"/>
  <c r="AA232" i="9"/>
  <c r="AC232" i="9"/>
  <c r="C234" i="9" l="1"/>
  <c r="E234" i="9" s="1"/>
  <c r="AA234" i="9" s="1"/>
  <c r="AA233" i="9"/>
  <c r="Z233" i="9"/>
  <c r="V233" i="9"/>
  <c r="U233" i="9"/>
  <c r="T233" i="9"/>
  <c r="X233" i="9"/>
  <c r="F233" i="9"/>
  <c r="AD233" i="9"/>
  <c r="AB233" i="9"/>
  <c r="Y233" i="9"/>
  <c r="AC233" i="9"/>
  <c r="F234" i="9" l="1"/>
  <c r="V234" i="9"/>
  <c r="X234" i="9"/>
  <c r="Z234" i="9"/>
  <c r="C235" i="9"/>
  <c r="E235" i="9" s="1"/>
  <c r="X235" i="9" s="1"/>
  <c r="AD234" i="9"/>
  <c r="U234" i="9"/>
  <c r="T234" i="9"/>
  <c r="AC234" i="9"/>
  <c r="Y234" i="9"/>
  <c r="AB234" i="9"/>
  <c r="W234" i="9"/>
  <c r="U235" i="9" l="1"/>
  <c r="AB235" i="9"/>
  <c r="AD235" i="9"/>
  <c r="Z235" i="9"/>
  <c r="V235" i="9"/>
  <c r="C236" i="9"/>
  <c r="E236" i="9" s="1"/>
  <c r="AC236" i="9" s="1"/>
  <c r="F235" i="9"/>
  <c r="T235" i="9"/>
  <c r="AA235" i="9"/>
  <c r="AC235" i="9"/>
  <c r="Y235" i="9"/>
  <c r="W235" i="9"/>
  <c r="F236" i="9" l="1"/>
  <c r="AA236" i="9"/>
  <c r="Y236" i="9"/>
  <c r="X236" i="9"/>
  <c r="AD236" i="9"/>
  <c r="T236" i="9"/>
  <c r="Z236" i="9"/>
  <c r="C237" i="9"/>
  <c r="E237" i="9" s="1"/>
  <c r="Z237" i="9" s="1"/>
  <c r="U236" i="9"/>
  <c r="W236" i="9"/>
  <c r="V236" i="9"/>
  <c r="AB236" i="9"/>
  <c r="Y237" i="9" l="1"/>
  <c r="C238" i="9"/>
  <c r="E238" i="9" s="1"/>
  <c r="Z238" i="9" s="1"/>
  <c r="F237" i="9"/>
  <c r="V237" i="9"/>
  <c r="AB237" i="9"/>
  <c r="T237" i="9"/>
  <c r="AA237" i="9"/>
  <c r="AC237" i="9"/>
  <c r="X237" i="9"/>
  <c r="AD237" i="9"/>
  <c r="U237" i="9"/>
  <c r="W237" i="9"/>
  <c r="F238" i="9" l="1"/>
  <c r="X238" i="9"/>
  <c r="V238" i="9"/>
  <c r="AD238" i="9"/>
  <c r="AB238" i="9"/>
  <c r="U238" i="9"/>
  <c r="T238" i="9"/>
  <c r="W238" i="9"/>
  <c r="Y238" i="9"/>
  <c r="AA238" i="9"/>
  <c r="AC238" i="9"/>
  <c r="C239" i="9"/>
  <c r="E239" i="9" s="1"/>
  <c r="X239" i="9" s="1"/>
  <c r="AD239" i="9" l="1"/>
  <c r="C240" i="9"/>
  <c r="E240" i="9" s="1"/>
  <c r="AD240" i="9" s="1"/>
  <c r="Y239" i="9"/>
  <c r="T239" i="9"/>
  <c r="AB239" i="9"/>
  <c r="V239" i="9"/>
  <c r="F239" i="9"/>
  <c r="AC239" i="9"/>
  <c r="U239" i="9"/>
  <c r="W239" i="9"/>
  <c r="AA239" i="9"/>
  <c r="Z239" i="9"/>
  <c r="F240" i="9" l="1"/>
  <c r="W240" i="9"/>
  <c r="AA240" i="9"/>
  <c r="Z240" i="9"/>
  <c r="AB240" i="9"/>
  <c r="C241" i="9"/>
  <c r="E241" i="9" s="1"/>
  <c r="X241" i="9" s="1"/>
  <c r="U240" i="9"/>
  <c r="T240" i="9"/>
  <c r="Y240" i="9"/>
  <c r="V240" i="9"/>
  <c r="AC240" i="9"/>
  <c r="X240" i="9"/>
  <c r="C242" i="9" l="1"/>
  <c r="E242" i="9" s="1"/>
  <c r="W242" i="9" s="1"/>
  <c r="F241" i="9"/>
  <c r="U241" i="9"/>
  <c r="AA241" i="9"/>
  <c r="Y241" i="9"/>
  <c r="T241" i="9"/>
  <c r="Z241" i="9"/>
  <c r="AD241" i="9"/>
  <c r="AB241" i="9"/>
  <c r="W241" i="9"/>
  <c r="V241" i="9"/>
  <c r="AC241" i="9"/>
  <c r="V242" i="9" l="1"/>
  <c r="AD242" i="9"/>
  <c r="AA242" i="9"/>
  <c r="Z242" i="9"/>
  <c r="X242" i="9"/>
  <c r="U242" i="9"/>
  <c r="C243" i="9"/>
  <c r="E243" i="9" s="1"/>
  <c r="X243" i="9" s="1"/>
  <c r="F242" i="9"/>
  <c r="T242" i="9"/>
  <c r="Y242" i="9"/>
  <c r="AC242" i="9"/>
  <c r="AB242" i="9"/>
  <c r="W243" i="9" l="1"/>
  <c r="F243" i="9"/>
  <c r="C244" i="9"/>
  <c r="E244" i="9" s="1"/>
  <c r="W244" i="9" s="1"/>
  <c r="U243" i="9"/>
  <c r="T243" i="9"/>
  <c r="V243" i="9"/>
  <c r="AC243" i="9"/>
  <c r="AD243" i="9"/>
  <c r="AB243" i="9"/>
  <c r="Y243" i="9"/>
  <c r="AA243" i="9"/>
  <c r="Z243" i="9"/>
  <c r="X244" i="9" l="1"/>
  <c r="AC244" i="9"/>
  <c r="AD244" i="9"/>
  <c r="V244" i="9"/>
  <c r="C245" i="9"/>
  <c r="E245" i="9" s="1"/>
  <c r="AD245" i="9" s="1"/>
  <c r="F244" i="9"/>
  <c r="U244" i="9"/>
  <c r="T244" i="9"/>
  <c r="AB244" i="9"/>
  <c r="Y244" i="9"/>
  <c r="AA244" i="9"/>
  <c r="Z244" i="9"/>
  <c r="AB245" i="9" l="1"/>
  <c r="V245" i="9"/>
  <c r="F245" i="9"/>
  <c r="AA245" i="9"/>
  <c r="W245" i="9"/>
  <c r="AC245" i="9"/>
  <c r="C246" i="9"/>
  <c r="E246" i="9" s="1"/>
  <c r="AB246" i="9" s="1"/>
  <c r="Y245" i="9"/>
  <c r="U245" i="9"/>
  <c r="T245" i="9"/>
  <c r="X245" i="9"/>
  <c r="Z245" i="9"/>
  <c r="U246" i="9" l="1"/>
  <c r="Y246" i="9"/>
  <c r="Z246" i="9"/>
  <c r="X246" i="9"/>
  <c r="AC246" i="9"/>
  <c r="C247" i="9"/>
  <c r="E247" i="9" s="1"/>
  <c r="Y247" i="9" s="1"/>
  <c r="W246" i="9"/>
  <c r="AA246" i="9"/>
  <c r="F246" i="9"/>
  <c r="AD246" i="9"/>
  <c r="T246" i="9"/>
  <c r="V246" i="9"/>
  <c r="F247" i="9" l="1"/>
  <c r="AB247" i="9"/>
  <c r="U247" i="9"/>
  <c r="V247" i="9"/>
  <c r="T247" i="9"/>
  <c r="AA247" i="9"/>
  <c r="AC247" i="9"/>
  <c r="Z247" i="9"/>
  <c r="W247" i="9"/>
  <c r="C248" i="9"/>
  <c r="E248" i="9" s="1"/>
  <c r="X248" i="9" s="1"/>
  <c r="X247" i="9"/>
  <c r="AD247" i="9"/>
  <c r="W248" i="9" l="1"/>
  <c r="V248" i="9"/>
  <c r="AD248" i="9"/>
  <c r="Y248" i="9"/>
  <c r="F248" i="9"/>
  <c r="C249" i="9"/>
  <c r="E249" i="9" s="1"/>
  <c r="AB249" i="9" s="1"/>
  <c r="U248" i="9"/>
  <c r="T248" i="9"/>
  <c r="AB248" i="9"/>
  <c r="AA248" i="9"/>
  <c r="Z248" i="9"/>
  <c r="AC248" i="9"/>
  <c r="C250" i="9" l="1"/>
  <c r="E250" i="9" s="1"/>
  <c r="AA250" i="9" s="1"/>
  <c r="AD249" i="9"/>
  <c r="Z249" i="9"/>
  <c r="V249" i="9"/>
  <c r="X249" i="9"/>
  <c r="F249" i="9"/>
  <c r="AC249" i="9"/>
  <c r="W249" i="9"/>
  <c r="U249" i="9"/>
  <c r="AA249" i="9"/>
  <c r="T249" i="9"/>
  <c r="Y249" i="9"/>
  <c r="F250" i="9" l="1"/>
  <c r="Y250" i="9"/>
  <c r="V250" i="9"/>
  <c r="AC250" i="9"/>
  <c r="Z250" i="9"/>
  <c r="X250" i="9"/>
  <c r="C251" i="9"/>
  <c r="E251" i="9" s="1"/>
  <c r="AD251" i="9" s="1"/>
  <c r="U250" i="9"/>
  <c r="T250" i="9"/>
  <c r="AD250" i="9"/>
  <c r="W250" i="9"/>
  <c r="AB250" i="9"/>
  <c r="U251" i="9" l="1"/>
  <c r="Y251" i="9"/>
  <c r="W251" i="9"/>
  <c r="C252" i="9"/>
  <c r="E252" i="9" s="1"/>
  <c r="U252" i="9" s="1"/>
  <c r="T251" i="9"/>
  <c r="F251" i="9"/>
  <c r="AC251" i="9"/>
  <c r="Z251" i="9"/>
  <c r="V251" i="9"/>
  <c r="AB251" i="9"/>
  <c r="AA251" i="9"/>
  <c r="X251" i="9"/>
  <c r="W252" i="9" l="1"/>
  <c r="AC252" i="9"/>
  <c r="F252" i="9"/>
  <c r="Z252" i="9"/>
  <c r="AB252" i="9"/>
  <c r="C253" i="9"/>
  <c r="E253" i="9" s="1"/>
  <c r="W253" i="9" s="1"/>
  <c r="X252" i="9"/>
  <c r="T252" i="9"/>
  <c r="Y252" i="9"/>
  <c r="AD252" i="9"/>
  <c r="AA252" i="9"/>
  <c r="V252" i="9"/>
  <c r="AD253" i="9" l="1"/>
  <c r="AA253" i="9"/>
  <c r="AC253" i="9"/>
  <c r="T253" i="9"/>
  <c r="Y253" i="9"/>
  <c r="V253" i="9"/>
  <c r="AB253" i="9"/>
  <c r="C254" i="9"/>
  <c r="E254" i="9" s="1"/>
  <c r="Y254" i="9" s="1"/>
  <c r="U253" i="9"/>
  <c r="Z253" i="9"/>
  <c r="X253" i="9"/>
  <c r="F253" i="9"/>
  <c r="T254" i="9" l="1"/>
  <c r="V254" i="9"/>
  <c r="U254" i="9"/>
  <c r="W254" i="9"/>
  <c r="AD254" i="9"/>
  <c r="AA254" i="9"/>
  <c r="AC254" i="9"/>
  <c r="F254" i="9"/>
  <c r="AB254" i="9"/>
  <c r="X254" i="9"/>
  <c r="Z254" i="9"/>
  <c r="C255" i="9"/>
  <c r="E255" i="9" s="1"/>
  <c r="W255" i="9" s="1"/>
  <c r="F255" i="9" l="1"/>
  <c r="Z255" i="9"/>
  <c r="AD255" i="9"/>
  <c r="AC255" i="9"/>
  <c r="T255" i="9"/>
  <c r="AA255" i="9"/>
  <c r="AB255" i="9"/>
  <c r="Y255" i="9"/>
  <c r="X255" i="9"/>
  <c r="V255" i="9"/>
  <c r="U255" i="9"/>
  <c r="C256" i="9"/>
  <c r="E256" i="9" s="1"/>
  <c r="AC256" i="9" s="1"/>
  <c r="F256" i="9" l="1"/>
  <c r="AA256" i="9"/>
  <c r="AD256" i="9"/>
  <c r="Z256" i="9"/>
  <c r="Y256" i="9"/>
  <c r="X256" i="9"/>
  <c r="V256" i="9"/>
  <c r="AB256" i="9"/>
  <c r="W256" i="9"/>
  <c r="U256" i="9"/>
  <c r="C257" i="9"/>
  <c r="E257" i="9" s="1"/>
  <c r="AB257" i="9" s="1"/>
  <c r="T256" i="9"/>
  <c r="F257" i="9" l="1"/>
  <c r="Z257" i="9"/>
  <c r="AD257" i="9"/>
  <c r="W257" i="9"/>
  <c r="T257" i="9"/>
  <c r="C258" i="9"/>
  <c r="E258" i="9" s="1"/>
  <c r="AA258" i="9" s="1"/>
  <c r="U257" i="9"/>
  <c r="AA257" i="9"/>
  <c r="V257" i="9"/>
  <c r="Y257" i="9"/>
  <c r="X257" i="9"/>
  <c r="AC257" i="9"/>
  <c r="AB258" i="9" l="1"/>
  <c r="AC258" i="9"/>
  <c r="U258" i="9"/>
  <c r="W258" i="9"/>
  <c r="C259" i="9"/>
  <c r="E259" i="9" s="1"/>
  <c r="AC259" i="9" s="1"/>
  <c r="Y258" i="9"/>
  <c r="T258" i="9"/>
  <c r="Z258" i="9"/>
  <c r="X258" i="9"/>
  <c r="F258" i="9"/>
  <c r="AD258" i="9"/>
  <c r="V258" i="9"/>
  <c r="AA259" i="9" l="1"/>
  <c r="Y259" i="9"/>
  <c r="V259" i="9"/>
  <c r="W259" i="9"/>
  <c r="X259" i="9"/>
  <c r="F259" i="9"/>
  <c r="AD259" i="9"/>
  <c r="U259" i="9"/>
  <c r="T259" i="9"/>
  <c r="Z259" i="9"/>
  <c r="AB259" i="9"/>
  <c r="C260" i="9"/>
  <c r="E260" i="9" s="1"/>
  <c r="AB260" i="9" s="1"/>
  <c r="Y260" i="9" l="1"/>
  <c r="X260" i="9"/>
  <c r="F260" i="9"/>
  <c r="U260" i="9"/>
  <c r="V260" i="9"/>
  <c r="AC260" i="9"/>
  <c r="AA260" i="9"/>
  <c r="W260" i="9"/>
  <c r="T260" i="9"/>
  <c r="AD260" i="9"/>
  <c r="Z260" i="9"/>
  <c r="C261" i="9"/>
  <c r="E261" i="9" s="1"/>
  <c r="V261" i="9" s="1"/>
  <c r="AA261" i="9" l="1"/>
  <c r="W261" i="9"/>
  <c r="Z261" i="9"/>
  <c r="U261" i="9"/>
  <c r="AD261" i="9"/>
  <c r="T261" i="9"/>
  <c r="C262" i="9"/>
  <c r="E262" i="9" s="1"/>
  <c r="Y262" i="9" s="1"/>
  <c r="AB261" i="9"/>
  <c r="X261" i="9"/>
  <c r="AC261" i="9"/>
  <c r="Y261" i="9"/>
  <c r="F261" i="9"/>
  <c r="F262" i="9" l="1"/>
  <c r="AD262" i="9"/>
  <c r="C263" i="9"/>
  <c r="E263" i="9" s="1"/>
  <c r="Y263" i="9" s="1"/>
  <c r="AA262" i="9"/>
  <c r="U262" i="9"/>
  <c r="T262" i="9"/>
  <c r="AB262" i="9"/>
  <c r="X262" i="9"/>
  <c r="AC262" i="9"/>
  <c r="W262" i="9"/>
  <c r="V262" i="9"/>
  <c r="Z262" i="9"/>
  <c r="F263" i="9" l="1"/>
  <c r="U263" i="9"/>
  <c r="W263" i="9"/>
  <c r="AD263" i="9"/>
  <c r="AB263" i="9"/>
  <c r="T263" i="9"/>
  <c r="AC263" i="9"/>
  <c r="AA263" i="9"/>
  <c r="V263" i="9"/>
  <c r="X263" i="9"/>
  <c r="Z263" i="9"/>
  <c r="C264" i="9"/>
  <c r="E264" i="9" s="1"/>
  <c r="U264" i="9" s="1"/>
  <c r="V264" i="9" l="1"/>
  <c r="AC264" i="9"/>
  <c r="AA264" i="9"/>
  <c r="C265" i="9"/>
  <c r="E265" i="9" s="1"/>
  <c r="AC265" i="9" s="1"/>
  <c r="T264" i="9"/>
  <c r="X264" i="9"/>
  <c r="F264" i="9"/>
  <c r="AB264" i="9"/>
  <c r="Z264" i="9"/>
  <c r="AD264" i="9"/>
  <c r="W264" i="9"/>
  <c r="Y264" i="9"/>
  <c r="C266" i="9" l="1"/>
  <c r="E266" i="9" s="1"/>
  <c r="Y266" i="9" s="1"/>
  <c r="F265" i="9"/>
  <c r="Z265" i="9"/>
  <c r="U265" i="9"/>
  <c r="T265" i="9"/>
  <c r="AA265" i="9"/>
  <c r="Y265" i="9"/>
  <c r="AB265" i="9"/>
  <c r="X265" i="9"/>
  <c r="AD265" i="9"/>
  <c r="V265" i="9"/>
  <c r="W265" i="9"/>
  <c r="W266" i="9" l="1"/>
  <c r="AB266" i="9"/>
  <c r="AD266" i="9"/>
  <c r="Z266" i="9"/>
  <c r="X266" i="9"/>
  <c r="C267" i="9"/>
  <c r="E267" i="9" s="1"/>
  <c r="AC267" i="9" s="1"/>
  <c r="F266" i="9"/>
  <c r="U266" i="9"/>
  <c r="T266" i="9"/>
  <c r="AA266" i="9"/>
  <c r="V266" i="9"/>
  <c r="AC266" i="9"/>
  <c r="Y267" i="9" l="1"/>
  <c r="W267" i="9"/>
  <c r="F267" i="9"/>
  <c r="T267" i="9"/>
  <c r="AD267" i="9"/>
  <c r="Z267" i="9"/>
  <c r="AB267" i="9"/>
  <c r="AA267" i="9"/>
  <c r="X267" i="9"/>
  <c r="C268" i="9"/>
  <c r="E268" i="9" s="1"/>
  <c r="AA268" i="9" s="1"/>
  <c r="V267" i="9"/>
  <c r="U267" i="9"/>
  <c r="V268" i="9" l="1"/>
  <c r="AB268" i="9"/>
  <c r="AC268" i="9"/>
  <c r="Z268" i="9"/>
  <c r="W268" i="9"/>
  <c r="C269" i="9"/>
  <c r="E269" i="9" s="1"/>
  <c r="AB269" i="9" s="1"/>
  <c r="X268" i="9"/>
  <c r="T268" i="9"/>
  <c r="Y268" i="9"/>
  <c r="F268" i="9"/>
  <c r="U268" i="9"/>
  <c r="AD268" i="9"/>
  <c r="Z269" i="9" l="1"/>
  <c r="T269" i="9"/>
  <c r="AC269" i="9"/>
  <c r="V269" i="9"/>
  <c r="AD269" i="9"/>
  <c r="AA269" i="9"/>
  <c r="Y269" i="9"/>
  <c r="X269" i="9"/>
  <c r="C270" i="9"/>
  <c r="E270" i="9" s="1"/>
  <c r="Y270" i="9" s="1"/>
  <c r="U269" i="9"/>
  <c r="W269" i="9"/>
  <c r="F269" i="9"/>
  <c r="Z270" i="9" l="1"/>
  <c r="AA270" i="9"/>
  <c r="X270" i="9"/>
  <c r="AD270" i="9"/>
  <c r="V270" i="9"/>
  <c r="F270" i="9"/>
  <c r="C271" i="9"/>
  <c r="E271" i="9" s="1"/>
  <c r="AC271" i="9" s="1"/>
  <c r="U270" i="9"/>
  <c r="T270" i="9"/>
  <c r="AB270" i="9"/>
  <c r="W270" i="9"/>
  <c r="AC270" i="9"/>
  <c r="F271" i="9" l="1"/>
  <c r="X271" i="9"/>
  <c r="Z271" i="9"/>
  <c r="W271" i="9"/>
  <c r="V271" i="9"/>
  <c r="C272" i="9"/>
  <c r="E272" i="9" s="1"/>
  <c r="V272" i="9" s="1"/>
  <c r="AB271" i="9"/>
  <c r="AD271" i="9"/>
  <c r="U271" i="9"/>
  <c r="Y271" i="9"/>
  <c r="AA271" i="9"/>
  <c r="T271" i="9"/>
  <c r="C273" i="9" l="1"/>
  <c r="E273" i="9" s="1"/>
  <c r="Z273" i="9" s="1"/>
  <c r="AD272" i="9"/>
  <c r="F272" i="9"/>
  <c r="U272" i="9"/>
  <c r="AA272" i="9"/>
  <c r="AB272" i="9"/>
  <c r="AC272" i="9"/>
  <c r="Z272" i="9"/>
  <c r="W272" i="9"/>
  <c r="Y272" i="9"/>
  <c r="X272" i="9"/>
  <c r="T272" i="9"/>
  <c r="V273" i="9" l="1"/>
  <c r="AA273" i="9"/>
  <c r="AC273" i="9"/>
  <c r="Y273" i="9"/>
  <c r="U273" i="9"/>
  <c r="C274" i="9"/>
  <c r="E274" i="9" s="1"/>
  <c r="Z274" i="9" s="1"/>
  <c r="T273" i="9"/>
  <c r="F273" i="9"/>
  <c r="W273" i="9"/>
  <c r="AB273" i="9"/>
  <c r="X273" i="9"/>
  <c r="AD273" i="9"/>
  <c r="F274" i="9" l="1"/>
  <c r="Y274" i="9"/>
  <c r="AA274" i="9"/>
  <c r="AC274" i="9"/>
  <c r="V274" i="9"/>
  <c r="U274" i="9"/>
  <c r="X274" i="9"/>
  <c r="T274" i="9"/>
  <c r="C275" i="9"/>
  <c r="E275" i="9" s="1"/>
  <c r="V275" i="9" s="1"/>
  <c r="AB274" i="9"/>
  <c r="W274" i="9"/>
  <c r="AD274" i="9"/>
  <c r="F275" i="9" l="1"/>
  <c r="Y275" i="9"/>
  <c r="C276" i="9"/>
  <c r="E276" i="9" s="1"/>
  <c r="Z276" i="9" s="1"/>
  <c r="AD275" i="9"/>
  <c r="Z275" i="9"/>
  <c r="W275" i="9"/>
  <c r="AC275" i="9"/>
  <c r="X275" i="9"/>
  <c r="U275" i="9"/>
  <c r="AB275" i="9"/>
  <c r="AA275" i="9"/>
  <c r="T275" i="9"/>
  <c r="W276" i="9" l="1"/>
  <c r="X276" i="9"/>
  <c r="V276" i="9"/>
  <c r="AD276" i="9"/>
  <c r="C277" i="9"/>
  <c r="E277" i="9" s="1"/>
  <c r="AC277" i="9" s="1"/>
  <c r="T276" i="9"/>
  <c r="F276" i="9"/>
  <c r="Y276" i="9"/>
  <c r="AA276" i="9"/>
  <c r="AB276" i="9"/>
  <c r="AC276" i="9"/>
  <c r="U276" i="9"/>
  <c r="F277" i="9" l="1"/>
  <c r="U277" i="9"/>
  <c r="X277" i="9"/>
  <c r="AD277" i="9"/>
  <c r="Z277" i="9"/>
  <c r="V277" i="9"/>
  <c r="AA277" i="9"/>
  <c r="C278" i="9"/>
  <c r="E278" i="9" s="1"/>
  <c r="AB277" i="9"/>
  <c r="T277" i="9"/>
  <c r="Y277" i="9"/>
  <c r="W277" i="9"/>
  <c r="F278" i="9" l="1"/>
  <c r="C279" i="9"/>
  <c r="E279" i="9" s="1"/>
  <c r="AD279" i="9" s="1"/>
  <c r="AB278" i="9"/>
  <c r="X278" i="9"/>
  <c r="V278" i="9"/>
  <c r="Z278" i="9"/>
  <c r="AD278" i="9"/>
  <c r="AC278" i="9"/>
  <c r="U278" i="9"/>
  <c r="T278" i="9"/>
  <c r="Y278" i="9"/>
  <c r="W278" i="9"/>
  <c r="AA278" i="9"/>
  <c r="C280" i="9" l="1"/>
  <c r="E280" i="9" s="1"/>
  <c r="X280" i="9" s="1"/>
  <c r="F279" i="9"/>
  <c r="Y279" i="9"/>
  <c r="X279" i="9"/>
  <c r="V279" i="9"/>
  <c r="AB279" i="9"/>
  <c r="T279" i="9"/>
  <c r="AA279" i="9"/>
  <c r="W279" i="9"/>
  <c r="Z279" i="9"/>
  <c r="U279" i="9"/>
  <c r="AC279" i="9"/>
  <c r="AC280" i="9" l="1"/>
  <c r="AD280" i="9"/>
  <c r="T280" i="9"/>
  <c r="U280" i="9"/>
  <c r="Z280" i="9"/>
  <c r="F280" i="9"/>
  <c r="W280" i="9"/>
  <c r="AB280" i="9"/>
  <c r="AA280" i="9"/>
  <c r="V280" i="9"/>
  <c r="Y280" i="9"/>
  <c r="C281" i="9"/>
  <c r="E281" i="9" s="1"/>
  <c r="AD281" i="9" s="1"/>
  <c r="F281" i="9" l="1"/>
  <c r="AC281" i="9"/>
  <c r="Z281" i="9"/>
  <c r="AA281" i="9"/>
  <c r="U281" i="9"/>
  <c r="X281" i="9"/>
  <c r="C282" i="9"/>
  <c r="E282" i="9" s="1"/>
  <c r="AD282" i="9" s="1"/>
  <c r="T281" i="9"/>
  <c r="V281" i="9"/>
  <c r="Y281" i="9"/>
  <c r="W281" i="9"/>
  <c r="AB281" i="9"/>
  <c r="F282" i="9" l="1"/>
  <c r="AA282" i="9"/>
  <c r="V282" i="9"/>
  <c r="T282" i="9"/>
  <c r="Z282" i="9"/>
  <c r="AB282" i="9"/>
  <c r="W282" i="9"/>
  <c r="C283" i="9"/>
  <c r="E283" i="9" s="1"/>
  <c r="AD283" i="9" s="1"/>
  <c r="X282" i="9"/>
  <c r="AC282" i="9"/>
  <c r="Y282" i="9"/>
  <c r="U282" i="9"/>
  <c r="F283" i="9" l="1"/>
  <c r="U283" i="9"/>
  <c r="T283" i="9"/>
  <c r="W283" i="9"/>
  <c r="AB283" i="9"/>
  <c r="X283" i="9"/>
  <c r="V283" i="9"/>
  <c r="AA283" i="9"/>
  <c r="Z283" i="9"/>
  <c r="Y283" i="9"/>
  <c r="AC283" i="9"/>
  <c r="C284" i="9"/>
  <c r="E284" i="9" s="1"/>
  <c r="AC284" i="9" s="1"/>
  <c r="Z284" i="9" l="1"/>
  <c r="X284" i="9"/>
  <c r="T284" i="9"/>
  <c r="V284" i="9"/>
  <c r="C285" i="9"/>
  <c r="E285" i="9" s="1"/>
  <c r="V285" i="9" s="1"/>
  <c r="U284" i="9"/>
  <c r="W284" i="9"/>
  <c r="AB284" i="9"/>
  <c r="Y284" i="9"/>
  <c r="AA284" i="9"/>
  <c r="AD284" i="9"/>
  <c r="F284" i="9"/>
  <c r="F285" i="9" l="1"/>
  <c r="Z285" i="9"/>
  <c r="AD285" i="9"/>
  <c r="T285" i="9"/>
  <c r="AA285" i="9"/>
  <c r="W285" i="9"/>
  <c r="U285" i="9"/>
  <c r="Y285" i="9"/>
  <c r="AC285" i="9"/>
  <c r="X285" i="9"/>
  <c r="AB285" i="9"/>
  <c r="C286" i="9"/>
  <c r="E286" i="9" s="1"/>
  <c r="W286" i="9" s="1"/>
  <c r="C287" i="9" l="1"/>
  <c r="E287" i="9" s="1"/>
  <c r="AA287" i="9" s="1"/>
  <c r="V286" i="9"/>
  <c r="X286" i="9"/>
  <c r="AB286" i="9"/>
  <c r="F286" i="9"/>
  <c r="U286" i="9"/>
  <c r="T286" i="9"/>
  <c r="AC286" i="9"/>
  <c r="AA286" i="9"/>
  <c r="Y286" i="9"/>
  <c r="AD286" i="9"/>
  <c r="Z286" i="9"/>
  <c r="Z287" i="9" l="1"/>
  <c r="W287" i="9"/>
  <c r="F287" i="9"/>
  <c r="AD287" i="9"/>
  <c r="AB287" i="9"/>
  <c r="Y287" i="9"/>
  <c r="C288" i="9"/>
  <c r="E288" i="9" s="1"/>
  <c r="AB288" i="9" s="1"/>
  <c r="U287" i="9"/>
  <c r="T287" i="9"/>
  <c r="AC287" i="9"/>
  <c r="X287" i="9"/>
  <c r="V287" i="9"/>
  <c r="F288" i="9" l="1"/>
  <c r="AD288" i="9"/>
  <c r="V288" i="9"/>
  <c r="Z288" i="9"/>
  <c r="W288" i="9"/>
  <c r="T288" i="9"/>
  <c r="AC288" i="9"/>
  <c r="C289" i="9"/>
  <c r="E289" i="9" s="1"/>
  <c r="AC289" i="9" s="1"/>
  <c r="Y288" i="9"/>
  <c r="U288" i="9"/>
  <c r="AA288" i="9"/>
  <c r="X288" i="9"/>
  <c r="AA289" i="9" l="1"/>
  <c r="F289" i="9"/>
  <c r="U289" i="9"/>
  <c r="T289" i="9"/>
  <c r="W289" i="9"/>
  <c r="V289" i="9"/>
  <c r="X289" i="9"/>
  <c r="AB289" i="9"/>
  <c r="Y289" i="9"/>
  <c r="AD289" i="9"/>
  <c r="Z289" i="9"/>
  <c r="C290" i="9"/>
  <c r="E290" i="9" s="1"/>
  <c r="AB290" i="9" s="1"/>
  <c r="C291" i="9" l="1"/>
  <c r="E291" i="9" s="1"/>
  <c r="W291" i="9" s="1"/>
  <c r="X290" i="9"/>
  <c r="U290" i="9"/>
  <c r="AD290" i="9"/>
  <c r="Z290" i="9"/>
  <c r="V290" i="9"/>
  <c r="W290" i="9"/>
  <c r="AC290" i="9"/>
  <c r="AA290" i="9"/>
  <c r="Y290" i="9"/>
  <c r="T290" i="9"/>
  <c r="F290" i="9"/>
  <c r="V291" i="9" l="1"/>
  <c r="AD291" i="9"/>
  <c r="Z291" i="9"/>
  <c r="X291" i="9"/>
  <c r="AC291" i="9"/>
  <c r="F291" i="9"/>
  <c r="C292" i="9"/>
  <c r="E292" i="9" s="1"/>
  <c r="AA292" i="9" s="1"/>
  <c r="U291" i="9"/>
  <c r="T291" i="9"/>
  <c r="AA291" i="9"/>
  <c r="Y291" i="9"/>
  <c r="AB291" i="9"/>
  <c r="C293" i="9" l="1"/>
  <c r="E293" i="9" s="1"/>
  <c r="W293" i="9" s="1"/>
  <c r="U292" i="9"/>
  <c r="W292" i="9"/>
  <c r="T292" i="9"/>
  <c r="AB292" i="9"/>
  <c r="F292" i="9"/>
  <c r="AC292" i="9"/>
  <c r="V292" i="9"/>
  <c r="Z292" i="9"/>
  <c r="AD292" i="9"/>
  <c r="Y292" i="9"/>
  <c r="X292" i="9"/>
  <c r="F293" i="9" l="1"/>
  <c r="AC293" i="9"/>
  <c r="AD293" i="9"/>
  <c r="V293" i="9"/>
  <c r="AA293" i="9"/>
  <c r="U293" i="9"/>
  <c r="C294" i="9"/>
  <c r="E294" i="9" s="1"/>
  <c r="AC294" i="9" s="1"/>
  <c r="T293" i="9"/>
  <c r="AB293" i="9"/>
  <c r="X293" i="9"/>
  <c r="Z293" i="9"/>
  <c r="Y293" i="9"/>
  <c r="Z294" i="9" l="1"/>
  <c r="F294" i="9"/>
  <c r="C295" i="9"/>
  <c r="E295" i="9" s="1"/>
  <c r="AA295" i="9" s="1"/>
  <c r="U294" i="9"/>
  <c r="AD294" i="9"/>
  <c r="Y294" i="9"/>
  <c r="T294" i="9"/>
  <c r="V294" i="9"/>
  <c r="AB294" i="9"/>
  <c r="W294" i="9"/>
  <c r="X294" i="9"/>
  <c r="AA294" i="9"/>
  <c r="AC295" i="9" l="1"/>
  <c r="Z295" i="9"/>
  <c r="V295" i="9"/>
  <c r="AB295" i="9"/>
  <c r="C296" i="9"/>
  <c r="E296" i="9" s="1"/>
  <c r="V296" i="9" s="1"/>
  <c r="F295" i="9"/>
  <c r="AD295" i="9"/>
  <c r="U295" i="9"/>
  <c r="T295" i="9"/>
  <c r="W295" i="9"/>
  <c r="X295" i="9"/>
  <c r="Y295" i="9"/>
  <c r="F296" i="9" l="1"/>
  <c r="T296" i="9"/>
  <c r="Y296" i="9"/>
  <c r="AC296" i="9"/>
  <c r="Z296" i="9"/>
  <c r="AD296" i="9"/>
  <c r="AB296" i="9"/>
  <c r="W296" i="9"/>
  <c r="C297" i="9"/>
  <c r="E297" i="9" s="1"/>
  <c r="V297" i="9" s="1"/>
  <c r="U296" i="9"/>
  <c r="AA296" i="9"/>
  <c r="X296" i="9"/>
  <c r="T297" i="9" l="1"/>
  <c r="AC297" i="9"/>
  <c r="U297" i="9"/>
  <c r="Y297" i="9"/>
  <c r="AA297" i="9"/>
  <c r="W297" i="9"/>
  <c r="AB297" i="9"/>
  <c r="Z297" i="9"/>
  <c r="X297" i="9"/>
  <c r="C298" i="9"/>
  <c r="E298" i="9" s="1"/>
  <c r="X298" i="9" s="1"/>
  <c r="AD297" i="9"/>
  <c r="F297" i="9"/>
  <c r="AB298" i="9" l="1"/>
  <c r="V298" i="9"/>
  <c r="C299" i="9"/>
  <c r="E299" i="9" s="1"/>
  <c r="AB299" i="9" s="1"/>
  <c r="AC298" i="9"/>
  <c r="U298" i="9"/>
  <c r="Z298" i="9"/>
  <c r="T298" i="9"/>
  <c r="AD298" i="9"/>
  <c r="AA298" i="9"/>
  <c r="Y298" i="9"/>
  <c r="F298" i="9"/>
  <c r="W298" i="9"/>
  <c r="F299" i="9" l="1"/>
  <c r="AA299" i="9"/>
  <c r="Y299" i="9"/>
  <c r="AD299" i="9"/>
  <c r="U299" i="9"/>
  <c r="T299" i="9"/>
  <c r="W299" i="9"/>
  <c r="V299" i="9"/>
  <c r="AC299" i="9"/>
  <c r="Z299" i="9"/>
  <c r="X299" i="9"/>
  <c r="C300" i="9"/>
  <c r="E300" i="9" s="1"/>
  <c r="AC300" i="9" s="1"/>
  <c r="F300" i="9" l="1"/>
  <c r="C301" i="9"/>
  <c r="E301" i="9" s="1"/>
  <c r="V301" i="9" s="1"/>
  <c r="U300" i="9"/>
  <c r="AB300" i="9"/>
  <c r="V300" i="9"/>
  <c r="Y300" i="9"/>
  <c r="W300" i="9"/>
  <c r="AA300" i="9"/>
  <c r="Z300" i="9"/>
  <c r="X300" i="9"/>
  <c r="T300" i="9"/>
  <c r="AD300" i="9"/>
  <c r="X301" i="9" l="1"/>
  <c r="Z301" i="9"/>
  <c r="Y301" i="9"/>
  <c r="W301" i="9"/>
  <c r="U301" i="9"/>
  <c r="F301" i="9"/>
  <c r="T301" i="9"/>
  <c r="AC301" i="9"/>
  <c r="AA301" i="9"/>
  <c r="AB301" i="9"/>
  <c r="AD301" i="9"/>
  <c r="C302" i="9"/>
  <c r="E302" i="9" s="1"/>
  <c r="AC302" i="9" s="1"/>
  <c r="Y302" i="9" l="1"/>
  <c r="X302" i="9"/>
  <c r="AD302" i="9"/>
  <c r="V302" i="9"/>
  <c r="F302" i="9"/>
  <c r="C303" i="9"/>
  <c r="E303" i="9" s="1"/>
  <c r="V303" i="9" s="1"/>
  <c r="U302" i="9"/>
  <c r="T302" i="9"/>
  <c r="Z302" i="9"/>
  <c r="AB302" i="9"/>
  <c r="AA302" i="9"/>
  <c r="W302" i="9"/>
  <c r="F303" i="9" l="1"/>
  <c r="X303" i="9"/>
  <c r="T303" i="9"/>
  <c r="U303" i="9"/>
  <c r="W303" i="9"/>
  <c r="AC303" i="9"/>
  <c r="Z303" i="9"/>
  <c r="AD303" i="9"/>
  <c r="AB303" i="9"/>
  <c r="AA303" i="9"/>
  <c r="Y303" i="9"/>
  <c r="C304" i="9"/>
  <c r="E304" i="9" s="1"/>
  <c r="AC304" i="9" s="1"/>
  <c r="C305" i="9" l="1"/>
  <c r="E305" i="9" s="1"/>
  <c r="AB305" i="9" s="1"/>
  <c r="F304" i="9"/>
  <c r="W304" i="9"/>
  <c r="AA304" i="9"/>
  <c r="AD304" i="9"/>
  <c r="AB304" i="9"/>
  <c r="U304" i="9"/>
  <c r="V304" i="9"/>
  <c r="T304" i="9"/>
  <c r="Y304" i="9"/>
  <c r="Z304" i="9"/>
  <c r="X304" i="9"/>
  <c r="AD305" i="9" l="1"/>
  <c r="AC305" i="9"/>
  <c r="V305" i="9"/>
  <c r="AA305" i="9"/>
  <c r="X305" i="9"/>
  <c r="F305" i="9"/>
  <c r="C306" i="9"/>
  <c r="E306" i="9" s="1"/>
  <c r="Z306" i="9" s="1"/>
  <c r="U305" i="9"/>
  <c r="T305" i="9"/>
  <c r="W305" i="9"/>
  <c r="Y305" i="9"/>
  <c r="Z305" i="9"/>
  <c r="W306" i="9" l="1"/>
  <c r="F306" i="9"/>
  <c r="C307" i="9"/>
  <c r="E307" i="9" s="1"/>
  <c r="X307" i="9" s="1"/>
  <c r="X306" i="9"/>
  <c r="U306" i="9"/>
  <c r="AD306" i="9"/>
  <c r="V306" i="9"/>
  <c r="Y306" i="9"/>
  <c r="AA306" i="9"/>
  <c r="AB306" i="9"/>
  <c r="AC306" i="9"/>
  <c r="T306" i="9"/>
  <c r="AA307" i="9" l="1"/>
  <c r="Y307" i="9"/>
  <c r="AD307" i="9"/>
  <c r="V307" i="9"/>
  <c r="F307" i="9"/>
  <c r="C308" i="9"/>
  <c r="E308" i="9" s="1"/>
  <c r="AC308" i="9" s="1"/>
  <c r="U307" i="9"/>
  <c r="T307" i="9"/>
  <c r="AC307" i="9"/>
  <c r="Z307" i="9"/>
  <c r="AB307" i="9"/>
  <c r="W307" i="9"/>
  <c r="F308" i="9" l="1"/>
  <c r="U308" i="9"/>
  <c r="T308" i="9"/>
  <c r="AD308" i="9"/>
  <c r="AB308" i="9"/>
  <c r="Y308" i="9"/>
  <c r="AA308" i="9"/>
  <c r="C309" i="9"/>
  <c r="E309" i="9" s="1"/>
  <c r="W309" i="9" s="1"/>
  <c r="W308" i="9"/>
  <c r="Z308" i="9"/>
  <c r="X308" i="9"/>
  <c r="V308" i="9"/>
  <c r="AA309" i="9" l="1"/>
  <c r="X309" i="9"/>
  <c r="C310" i="9"/>
  <c r="E310" i="9" s="1"/>
  <c r="Y310" i="9" s="1"/>
  <c r="Y309" i="9"/>
  <c r="Z309" i="9"/>
  <c r="T309" i="9"/>
  <c r="F309" i="9"/>
  <c r="V309" i="9"/>
  <c r="AD309" i="9"/>
  <c r="AB309" i="9"/>
  <c r="AC309" i="9"/>
  <c r="U309" i="9"/>
  <c r="F310" i="9" l="1"/>
  <c r="X310" i="9"/>
  <c r="AD310" i="9"/>
  <c r="AA310" i="9"/>
  <c r="V310" i="9"/>
  <c r="C311" i="9"/>
  <c r="E311" i="9" s="1"/>
  <c r="V311" i="9" s="1"/>
  <c r="U310" i="9"/>
  <c r="T310" i="9"/>
  <c r="AB310" i="9"/>
  <c r="Z310" i="9"/>
  <c r="AC310" i="9"/>
  <c r="W310" i="9"/>
  <c r="AB311" i="9" l="1"/>
  <c r="AD311" i="9"/>
  <c r="F311" i="9"/>
  <c r="W311" i="9"/>
  <c r="C312" i="9"/>
  <c r="E312" i="9" s="1"/>
  <c r="W312" i="9" s="1"/>
  <c r="X311" i="9"/>
  <c r="U311" i="9"/>
  <c r="T311" i="9"/>
  <c r="AA311" i="9"/>
  <c r="Z311" i="9"/>
  <c r="Y311" i="9"/>
  <c r="AC311" i="9"/>
  <c r="V312" i="9" l="1"/>
  <c r="U312" i="9"/>
  <c r="C313" i="9"/>
  <c r="E313" i="9" s="1"/>
  <c r="AD313" i="9" s="1"/>
  <c r="AD312" i="9"/>
  <c r="AB312" i="9"/>
  <c r="Y312" i="9"/>
  <c r="T312" i="9"/>
  <c r="AC312" i="9"/>
  <c r="AA312" i="9"/>
  <c r="Z312" i="9"/>
  <c r="X312" i="9"/>
  <c r="F312" i="9"/>
  <c r="U313" i="9" l="1"/>
  <c r="V313" i="9"/>
  <c r="AC313" i="9"/>
  <c r="AA313" i="9"/>
  <c r="F313" i="9"/>
  <c r="C314" i="9"/>
  <c r="E314" i="9" s="1"/>
  <c r="AA314" i="9" s="1"/>
  <c r="X313" i="9"/>
  <c r="T313" i="9"/>
  <c r="Y313" i="9"/>
  <c r="W313" i="9"/>
  <c r="AB313" i="9"/>
  <c r="Z313" i="9"/>
  <c r="Y314" i="9" l="1"/>
  <c r="C315" i="9"/>
  <c r="E315" i="9" s="1"/>
  <c r="X315" i="9" s="1"/>
  <c r="T314" i="9"/>
  <c r="F314" i="9"/>
  <c r="Z314" i="9"/>
  <c r="U314" i="9"/>
  <c r="AD314" i="9"/>
  <c r="V314" i="9"/>
  <c r="AC314" i="9"/>
  <c r="AB314" i="9"/>
  <c r="W314" i="9"/>
  <c r="X314" i="9"/>
  <c r="F315" i="9" l="1"/>
  <c r="T315" i="9"/>
  <c r="Y315" i="9"/>
  <c r="AC315" i="9"/>
  <c r="AD315" i="9"/>
  <c r="V315" i="9"/>
  <c r="C316" i="9"/>
  <c r="E316" i="9" s="1"/>
  <c r="AC316" i="9" s="1"/>
  <c r="W315" i="9"/>
  <c r="U315" i="9"/>
  <c r="Z315" i="9"/>
  <c r="AB315" i="9"/>
  <c r="AA315" i="9"/>
  <c r="V316" i="9" l="1"/>
  <c r="U316" i="9"/>
  <c r="T316" i="9"/>
  <c r="F316" i="9"/>
  <c r="AB316" i="9"/>
  <c r="Y316" i="9"/>
  <c r="C317" i="9"/>
  <c r="E317" i="9" s="1"/>
  <c r="Z317" i="9" s="1"/>
  <c r="AA316" i="9"/>
  <c r="W316" i="9"/>
  <c r="X316" i="9"/>
  <c r="Z316" i="9"/>
  <c r="AD316" i="9"/>
  <c r="Y317" i="9" l="1"/>
  <c r="T317" i="9"/>
  <c r="AB317" i="9"/>
  <c r="W317" i="9"/>
  <c r="AC317" i="9"/>
  <c r="AA317" i="9"/>
  <c r="U317" i="9"/>
  <c r="AD317" i="9"/>
  <c r="X317" i="9"/>
  <c r="V317" i="9"/>
  <c r="F317" i="9"/>
  <c r="C318" i="9"/>
  <c r="E318" i="9" s="1"/>
  <c r="Y318" i="9" s="1"/>
  <c r="AD318" i="9" l="1"/>
  <c r="V318" i="9"/>
  <c r="T318" i="9"/>
  <c r="C319" i="9"/>
  <c r="E319" i="9" s="1"/>
  <c r="AB319" i="9" s="1"/>
  <c r="AA318" i="9"/>
  <c r="U318" i="9"/>
  <c r="F318" i="9"/>
  <c r="AB318" i="9"/>
  <c r="Z318" i="9"/>
  <c r="X318" i="9"/>
  <c r="AC318" i="9"/>
  <c r="W318" i="9"/>
  <c r="F319" i="9" l="1"/>
  <c r="C320" i="9"/>
  <c r="E320" i="9" s="1"/>
  <c r="AA320" i="9" s="1"/>
  <c r="W319" i="9"/>
  <c r="AC319" i="9"/>
  <c r="T319" i="9"/>
  <c r="U319" i="9"/>
  <c r="AD319" i="9"/>
  <c r="V319" i="9"/>
  <c r="Z319" i="9"/>
  <c r="AA319" i="9"/>
  <c r="Y319" i="9"/>
  <c r="X319" i="9"/>
  <c r="V320" i="9" l="1"/>
  <c r="AB320" i="9"/>
  <c r="Y320" i="9"/>
  <c r="U320" i="9"/>
  <c r="C321" i="9"/>
  <c r="E321" i="9" s="1"/>
  <c r="AB321" i="9" s="1"/>
  <c r="T320" i="9"/>
  <c r="F320" i="9"/>
  <c r="Z320" i="9"/>
  <c r="X320" i="9"/>
  <c r="AC320" i="9"/>
  <c r="W320" i="9"/>
  <c r="AD320" i="9"/>
  <c r="F321" i="9" l="1"/>
  <c r="T321" i="9"/>
  <c r="AD321" i="9"/>
  <c r="V321" i="9"/>
  <c r="AC321" i="9"/>
  <c r="Z321" i="9"/>
  <c r="AA321" i="9"/>
  <c r="C322" i="9"/>
  <c r="E322" i="9" s="1"/>
  <c r="Y322" i="9" s="1"/>
  <c r="U321" i="9"/>
  <c r="Y321" i="9"/>
  <c r="X321" i="9"/>
  <c r="W321" i="9"/>
  <c r="T322" i="9" l="1"/>
  <c r="U322" i="9"/>
  <c r="X322" i="9"/>
  <c r="W322" i="9"/>
  <c r="AB322" i="9"/>
  <c r="V322" i="9"/>
  <c r="AD322" i="9"/>
  <c r="F322" i="9"/>
  <c r="Z322" i="9"/>
  <c r="AA322" i="9"/>
  <c r="AC322" i="9"/>
  <c r="C323" i="9"/>
  <c r="E323" i="9" s="1"/>
  <c r="AB323" i="9" s="1"/>
  <c r="F323" i="9" l="1"/>
  <c r="C324" i="9"/>
  <c r="E324" i="9" s="1"/>
  <c r="W324" i="9" s="1"/>
  <c r="Y323" i="9"/>
  <c r="AA323" i="9"/>
  <c r="U323" i="9"/>
  <c r="V323" i="9"/>
  <c r="Z323" i="9"/>
  <c r="X323" i="9"/>
  <c r="T323" i="9"/>
  <c r="AD323" i="9"/>
  <c r="AC323" i="9"/>
  <c r="W323" i="9"/>
  <c r="Z324" i="9" l="1"/>
  <c r="AA324" i="9"/>
  <c r="AC324" i="9"/>
  <c r="X324" i="9"/>
  <c r="F324" i="9"/>
  <c r="U324" i="9"/>
  <c r="V324" i="9"/>
  <c r="T324" i="9"/>
  <c r="Y324" i="9"/>
  <c r="AD324" i="9"/>
  <c r="AB324" i="9"/>
  <c r="C325" i="9"/>
  <c r="E325" i="9" s="1"/>
  <c r="V325" i="9" s="1"/>
  <c r="AD325" i="9" l="1"/>
  <c r="Y325" i="9"/>
  <c r="F325" i="9"/>
  <c r="Z325" i="9"/>
  <c r="C326" i="9"/>
  <c r="E326" i="9" s="1"/>
  <c r="Y326" i="9" s="1"/>
  <c r="AA325" i="9"/>
  <c r="W325" i="9"/>
  <c r="U325" i="9"/>
  <c r="T325" i="9"/>
  <c r="AC325" i="9"/>
  <c r="AB325" i="9"/>
  <c r="X325" i="9"/>
  <c r="X326" i="9" l="1"/>
  <c r="F326" i="9"/>
  <c r="V326" i="9"/>
  <c r="AD326" i="9"/>
  <c r="AB326" i="9"/>
  <c r="AC326" i="9"/>
  <c r="W326" i="9"/>
  <c r="U326" i="9"/>
  <c r="T326" i="9"/>
  <c r="AA326" i="9"/>
  <c r="Z326" i="9"/>
  <c r="C327" i="9"/>
  <c r="E327" i="9" s="1"/>
  <c r="V327" i="9" s="1"/>
  <c r="AB327" i="9" l="1"/>
  <c r="F327" i="9"/>
  <c r="C328" i="9"/>
  <c r="E328" i="9" s="1"/>
  <c r="W328" i="9" s="1"/>
  <c r="X327" i="9"/>
  <c r="AC327" i="9"/>
  <c r="T327" i="9"/>
  <c r="Y327" i="9"/>
  <c r="W327" i="9"/>
  <c r="U327" i="9"/>
  <c r="AD327" i="9"/>
  <c r="AA327" i="9"/>
  <c r="Z327" i="9"/>
  <c r="F328" i="9" l="1"/>
  <c r="U328" i="9"/>
  <c r="AD328" i="9"/>
  <c r="V328" i="9"/>
  <c r="C329" i="9"/>
  <c r="E329" i="9" s="1"/>
  <c r="W329" i="9" s="1"/>
  <c r="T328" i="9"/>
  <c r="Z328" i="9"/>
  <c r="AB328" i="9"/>
  <c r="Y328" i="9"/>
  <c r="X328" i="9"/>
  <c r="AC328" i="9"/>
  <c r="AA328" i="9"/>
  <c r="AB329" i="9" l="1"/>
  <c r="Z329" i="9"/>
  <c r="AD329" i="9"/>
  <c r="V329" i="9"/>
  <c r="AC329" i="9"/>
  <c r="AA329" i="9"/>
  <c r="T329" i="9"/>
  <c r="F329" i="9"/>
  <c r="C330" i="9"/>
  <c r="E330" i="9" s="1"/>
  <c r="AA330" i="9" s="1"/>
  <c r="U329" i="9"/>
  <c r="X329" i="9"/>
  <c r="Y329" i="9"/>
  <c r="W330" i="9" l="1"/>
  <c r="U330" i="9"/>
  <c r="C331" i="9"/>
  <c r="E331" i="9" s="1"/>
  <c r="AB331" i="9" s="1"/>
  <c r="X330" i="9"/>
  <c r="T330" i="9"/>
  <c r="AB330" i="9"/>
  <c r="F330" i="9"/>
  <c r="Z330" i="9"/>
  <c r="AD330" i="9"/>
  <c r="Y330" i="9"/>
  <c r="AC330" i="9"/>
  <c r="V330" i="9"/>
  <c r="F331" i="9" l="1"/>
  <c r="C332" i="9"/>
  <c r="E332" i="9" s="1"/>
  <c r="V332" i="9" s="1"/>
  <c r="AA331" i="9"/>
  <c r="Y331" i="9"/>
  <c r="AD331" i="9"/>
  <c r="U331" i="9"/>
  <c r="V331" i="9"/>
  <c r="T331" i="9"/>
  <c r="W331" i="9"/>
  <c r="AC331" i="9"/>
  <c r="Z331" i="9"/>
  <c r="X331" i="9"/>
  <c r="Y332" i="9" l="1"/>
  <c r="W332" i="9"/>
  <c r="AA332" i="9"/>
  <c r="Z332" i="9"/>
  <c r="X332" i="9"/>
  <c r="AC332" i="9"/>
  <c r="C333" i="9"/>
  <c r="E333" i="9" s="1"/>
  <c r="W333" i="9" s="1"/>
  <c r="F332" i="9"/>
  <c r="U332" i="9"/>
  <c r="T332" i="9"/>
  <c r="AD332" i="9"/>
  <c r="AB332" i="9"/>
  <c r="F333" i="9" l="1"/>
  <c r="AC333" i="9"/>
  <c r="AD333" i="9"/>
  <c r="X333" i="9"/>
  <c r="AA333" i="9"/>
  <c r="V333" i="9"/>
  <c r="Y333" i="9"/>
  <c r="AB333" i="9"/>
  <c r="U333" i="9"/>
  <c r="C334" i="9"/>
  <c r="E334" i="9" s="1"/>
  <c r="W334" i="9" s="1"/>
  <c r="Z333" i="9"/>
  <c r="T333" i="9"/>
  <c r="AB334" i="9" l="1"/>
  <c r="Y334" i="9"/>
  <c r="AD334" i="9"/>
  <c r="AC334" i="9"/>
  <c r="U334" i="9"/>
  <c r="X334" i="9"/>
  <c r="C335" i="9"/>
  <c r="E335" i="9" s="1"/>
  <c r="AC335" i="9" s="1"/>
  <c r="F334" i="9"/>
  <c r="T334" i="9"/>
  <c r="V334" i="9"/>
  <c r="Z334" i="9"/>
  <c r="AA334" i="9"/>
  <c r="F335" i="9" l="1"/>
  <c r="C336" i="9"/>
  <c r="E336" i="9" s="1"/>
  <c r="AA335" i="9"/>
  <c r="Y335" i="9"/>
  <c r="AD335" i="9"/>
  <c r="AB335" i="9"/>
  <c r="V335" i="9"/>
  <c r="Z335" i="9"/>
  <c r="X335" i="9"/>
  <c r="U335" i="9"/>
  <c r="W335" i="9"/>
  <c r="T335" i="9"/>
  <c r="AA336" i="9" l="1"/>
  <c r="B7" i="17"/>
  <c r="V336" i="9"/>
  <c r="AB336" i="9"/>
  <c r="Y336" i="9"/>
  <c r="C337" i="9"/>
  <c r="E337" i="9" s="1"/>
  <c r="X337" i="9" s="1"/>
  <c r="T336" i="9"/>
  <c r="F336" i="9"/>
  <c r="U336" i="9"/>
  <c r="W336" i="9"/>
  <c r="Z336" i="9"/>
  <c r="X336" i="9"/>
  <c r="AD336" i="9"/>
  <c r="AC336" i="9"/>
  <c r="G337" i="9" l="1"/>
  <c r="C7" i="17"/>
  <c r="I7" i="17" s="1"/>
  <c r="C338" i="9"/>
  <c r="E338" i="9" s="1"/>
  <c r="AA338" i="9" s="1"/>
  <c r="U337" i="9"/>
  <c r="T337" i="9"/>
  <c r="Y337" i="9"/>
  <c r="W337" i="9"/>
  <c r="AB337" i="9"/>
  <c r="F337" i="9"/>
  <c r="Z337" i="9"/>
  <c r="AD337" i="9"/>
  <c r="V337" i="9"/>
  <c r="AC337" i="9"/>
  <c r="AA337" i="9"/>
  <c r="G338" i="9" l="1"/>
  <c r="Y338" i="9"/>
  <c r="F338" i="9"/>
  <c r="AC338" i="9"/>
  <c r="W338" i="9"/>
  <c r="AB338" i="9"/>
  <c r="Z338" i="9"/>
  <c r="U338" i="9"/>
  <c r="C339" i="9"/>
  <c r="E339" i="9" s="1"/>
  <c r="AB339" i="9" s="1"/>
  <c r="T338" i="9"/>
  <c r="X338" i="9"/>
  <c r="V338" i="9"/>
  <c r="AD338" i="9"/>
  <c r="G339" i="9" l="1"/>
  <c r="V339" i="9"/>
  <c r="AD339" i="9"/>
  <c r="F339" i="9"/>
  <c r="C340" i="9"/>
  <c r="E340" i="9" s="1"/>
  <c r="W340" i="9" s="1"/>
  <c r="AC339" i="9"/>
  <c r="U339" i="9"/>
  <c r="T339" i="9"/>
  <c r="AA339" i="9"/>
  <c r="W339" i="9"/>
  <c r="Y339" i="9"/>
  <c r="Z339" i="9"/>
  <c r="X339" i="9"/>
  <c r="G340" i="9" l="1"/>
  <c r="Z340" i="9"/>
  <c r="T340" i="9"/>
  <c r="AA340" i="9"/>
  <c r="V340" i="9"/>
  <c r="U340" i="9"/>
  <c r="X340" i="9"/>
  <c r="AD340" i="9"/>
  <c r="AB340" i="9"/>
  <c r="Y340" i="9"/>
  <c r="F340" i="9"/>
  <c r="AC340" i="9"/>
  <c r="C341" i="9"/>
  <c r="E341" i="9" s="1"/>
  <c r="AD341" i="9" s="1"/>
  <c r="G341" i="9" l="1"/>
  <c r="Z341" i="9"/>
  <c r="T341" i="9"/>
  <c r="Y341" i="9"/>
  <c r="C342" i="9"/>
  <c r="E342" i="9" s="1"/>
  <c r="AA342" i="9" s="1"/>
  <c r="W341" i="9"/>
  <c r="U341" i="9"/>
  <c r="AC341" i="9"/>
  <c r="X341" i="9"/>
  <c r="V341" i="9"/>
  <c r="AB341" i="9"/>
  <c r="AA341" i="9"/>
  <c r="F341" i="9"/>
  <c r="G342" i="9" l="1"/>
  <c r="W342" i="9"/>
  <c r="Y342" i="9"/>
  <c r="C343" i="9"/>
  <c r="E343" i="9" s="1"/>
  <c r="AD343" i="9" s="1"/>
  <c r="F342" i="9"/>
  <c r="AB342" i="9"/>
  <c r="U342" i="9"/>
  <c r="Z342" i="9"/>
  <c r="X342" i="9"/>
  <c r="AD342" i="9"/>
  <c r="T342" i="9"/>
  <c r="AC342" i="9"/>
  <c r="V342" i="9"/>
  <c r="G343" i="9" l="1"/>
  <c r="X343" i="9"/>
  <c r="W343" i="9"/>
  <c r="AC343" i="9"/>
  <c r="F343" i="9"/>
  <c r="Z343" i="9"/>
  <c r="U343" i="9"/>
  <c r="C344" i="9"/>
  <c r="E344" i="9" s="1"/>
  <c r="AD344" i="9" s="1"/>
  <c r="T343" i="9"/>
  <c r="AA343" i="9"/>
  <c r="AB343" i="9"/>
  <c r="Y343" i="9"/>
  <c r="V343" i="9"/>
  <c r="G344" i="9" l="1"/>
  <c r="V344" i="9"/>
  <c r="Y344" i="9"/>
  <c r="AB344" i="9"/>
  <c r="U344" i="9"/>
  <c r="Z344" i="9"/>
  <c r="T344" i="9"/>
  <c r="X344" i="9"/>
  <c r="AC344" i="9"/>
  <c r="AA344" i="9"/>
  <c r="W344" i="9"/>
  <c r="F344" i="9"/>
  <c r="C345" i="9"/>
  <c r="E345" i="9" s="1"/>
  <c r="AD345" i="9" s="1"/>
  <c r="G345" i="9" l="1"/>
  <c r="F345" i="9"/>
  <c r="U345" i="9"/>
  <c r="T345" i="9"/>
  <c r="V345" i="9"/>
  <c r="AC345" i="9"/>
  <c r="X345" i="9"/>
  <c r="Y345" i="9"/>
  <c r="AA345" i="9"/>
  <c r="W345" i="9"/>
  <c r="AB345" i="9"/>
  <c r="Z345" i="9"/>
  <c r="C346" i="9"/>
  <c r="E346" i="9" s="1"/>
  <c r="AB346" i="9" s="1"/>
  <c r="G346" i="9" l="1"/>
  <c r="Z346" i="9"/>
  <c r="W346" i="9"/>
  <c r="V346" i="9"/>
  <c r="AA346" i="9"/>
  <c r="Y346" i="9"/>
  <c r="F346" i="9"/>
  <c r="C347" i="9"/>
  <c r="E347" i="9" s="1"/>
  <c r="AB347" i="9" s="1"/>
  <c r="AC346" i="9"/>
  <c r="T346" i="9"/>
  <c r="AD346" i="9"/>
  <c r="X346" i="9"/>
  <c r="U346" i="9"/>
  <c r="G347" i="9" l="1"/>
  <c r="F347" i="9"/>
  <c r="U347" i="9"/>
  <c r="AD347" i="9"/>
  <c r="V347" i="9"/>
  <c r="AC347" i="9"/>
  <c r="X347" i="9"/>
  <c r="AA347" i="9"/>
  <c r="Y347" i="9"/>
  <c r="T347" i="9"/>
  <c r="W347" i="9"/>
  <c r="Z347" i="9"/>
  <c r="C348" i="9"/>
  <c r="E348" i="9" s="1"/>
  <c r="W348" i="9" s="1"/>
  <c r="G348" i="9" l="1"/>
  <c r="C349" i="9"/>
  <c r="E349" i="9" s="1"/>
  <c r="X349" i="9" s="1"/>
  <c r="U348" i="9"/>
  <c r="AA348" i="9"/>
  <c r="T348" i="9"/>
  <c r="AB348" i="9"/>
  <c r="Z348" i="9"/>
  <c r="AD348" i="9"/>
  <c r="Y348" i="9"/>
  <c r="X348" i="9"/>
  <c r="AC348" i="9"/>
  <c r="V348" i="9"/>
  <c r="F348" i="9"/>
  <c r="G349" i="9" l="1"/>
  <c r="Z349" i="9"/>
  <c r="V349" i="9"/>
  <c r="Y349" i="9"/>
  <c r="W349" i="9"/>
  <c r="AB349" i="9"/>
  <c r="F349" i="9"/>
  <c r="C350" i="9"/>
  <c r="E350" i="9" s="1"/>
  <c r="X350" i="9" s="1"/>
  <c r="U349" i="9"/>
  <c r="T349" i="9"/>
  <c r="AC349" i="9"/>
  <c r="AA349" i="9"/>
  <c r="AD349" i="9"/>
  <c r="G350" i="9" l="1"/>
  <c r="U350" i="9"/>
  <c r="AD350" i="9"/>
  <c r="T350" i="9"/>
  <c r="AA350" i="9"/>
  <c r="V350" i="9"/>
  <c r="AB350" i="9"/>
  <c r="W350" i="9"/>
  <c r="Z350" i="9"/>
  <c r="AC350" i="9"/>
  <c r="Y350" i="9"/>
  <c r="F350" i="9"/>
  <c r="C351" i="9"/>
  <c r="E351" i="9" s="1"/>
  <c r="AB351" i="9" s="1"/>
  <c r="G351" i="9" l="1"/>
  <c r="F351" i="9"/>
  <c r="U351" i="9"/>
  <c r="AA351" i="9"/>
  <c r="V351" i="9"/>
  <c r="Z351" i="9"/>
  <c r="X351" i="9"/>
  <c r="W351" i="9"/>
  <c r="T351" i="9"/>
  <c r="C352" i="9"/>
  <c r="E352" i="9" s="1"/>
  <c r="AA352" i="9" s="1"/>
  <c r="AC351" i="9"/>
  <c r="Y351" i="9"/>
  <c r="AD351" i="9"/>
  <c r="G352" i="9" l="1"/>
  <c r="W352" i="9"/>
  <c r="AD352" i="9"/>
  <c r="V352" i="9"/>
  <c r="AB352" i="9"/>
  <c r="F352" i="9"/>
  <c r="Y352" i="9"/>
  <c r="C353" i="9"/>
  <c r="E353" i="9" s="1"/>
  <c r="AA353" i="9" s="1"/>
  <c r="U352" i="9"/>
  <c r="T352" i="9"/>
  <c r="Z352" i="9"/>
  <c r="X352" i="9"/>
  <c r="AC352" i="9"/>
  <c r="G353" i="9" l="1"/>
  <c r="AB353" i="9"/>
  <c r="C354" i="9"/>
  <c r="E354" i="9" s="1"/>
  <c r="Y354" i="9" s="1"/>
  <c r="AD353" i="9"/>
  <c r="V353" i="9"/>
  <c r="U353" i="9"/>
  <c r="X353" i="9"/>
  <c r="Y353" i="9"/>
  <c r="Z353" i="9"/>
  <c r="F353" i="9"/>
  <c r="AC353" i="9"/>
  <c r="W353" i="9"/>
  <c r="T353" i="9"/>
  <c r="G354" i="9" l="1"/>
  <c r="AC354" i="9"/>
  <c r="W354" i="9"/>
  <c r="Z354" i="9"/>
  <c r="AB354" i="9"/>
  <c r="C355" i="9"/>
  <c r="E355" i="9" s="1"/>
  <c r="V355" i="9" s="1"/>
  <c r="F354" i="9"/>
  <c r="U354" i="9"/>
  <c r="T354" i="9"/>
  <c r="X354" i="9"/>
  <c r="V354" i="9"/>
  <c r="AD354" i="9"/>
  <c r="AA354" i="9"/>
  <c r="G355" i="9" l="1"/>
  <c r="U355" i="9"/>
  <c r="AB355" i="9"/>
  <c r="W355" i="9"/>
  <c r="C356" i="9"/>
  <c r="E356" i="9" s="1"/>
  <c r="AA356" i="9" s="1"/>
  <c r="AA355" i="9"/>
  <c r="Y355" i="9"/>
  <c r="Z355" i="9"/>
  <c r="X355" i="9"/>
  <c r="AD355" i="9"/>
  <c r="T355" i="9"/>
  <c r="F355" i="9"/>
  <c r="AC355" i="9"/>
  <c r="G356" i="9" l="1"/>
  <c r="Z356" i="9"/>
  <c r="AC356" i="9"/>
  <c r="AD356" i="9"/>
  <c r="U356" i="9"/>
  <c r="T356" i="9"/>
  <c r="V356" i="9"/>
  <c r="F356" i="9"/>
  <c r="X356" i="9"/>
  <c r="AB356" i="9"/>
  <c r="Y356" i="9"/>
  <c r="W356" i="9"/>
  <c r="C357" i="9"/>
  <c r="E357" i="9" s="1"/>
  <c r="AD357" i="9" s="1"/>
  <c r="G357" i="9" l="1"/>
  <c r="C358" i="9"/>
  <c r="E358" i="9" s="1"/>
  <c r="W358" i="9" s="1"/>
  <c r="Z357" i="9"/>
  <c r="T357" i="9"/>
  <c r="W357" i="9"/>
  <c r="Y357" i="9"/>
  <c r="F357" i="9"/>
  <c r="AC357" i="9"/>
  <c r="AB357" i="9"/>
  <c r="AA357" i="9"/>
  <c r="U357" i="9"/>
  <c r="X357" i="9"/>
  <c r="V357" i="9"/>
  <c r="G358" i="9" l="1"/>
  <c r="F358" i="9"/>
  <c r="Y358" i="9"/>
  <c r="X358" i="9"/>
  <c r="AD358" i="9"/>
  <c r="V358" i="9"/>
  <c r="AA358" i="9"/>
  <c r="C359" i="9"/>
  <c r="E359" i="9" s="1"/>
  <c r="X359" i="9" s="1"/>
  <c r="U358" i="9"/>
  <c r="T358" i="9"/>
  <c r="AB358" i="9"/>
  <c r="Z358" i="9"/>
  <c r="AC358" i="9"/>
  <c r="G359" i="9" l="1"/>
  <c r="W359" i="9"/>
  <c r="Z359" i="9"/>
  <c r="AC359" i="9"/>
  <c r="U359" i="9"/>
  <c r="T359" i="9"/>
  <c r="AA359" i="9"/>
  <c r="Y359" i="9"/>
  <c r="V359" i="9"/>
  <c r="AD359" i="9"/>
  <c r="F359" i="9"/>
  <c r="AB359" i="9"/>
  <c r="C360" i="9"/>
  <c r="E360" i="9" s="1"/>
  <c r="AA360" i="9" s="1"/>
  <c r="G360" i="9" l="1"/>
  <c r="F360" i="9"/>
  <c r="W360" i="9"/>
  <c r="U360" i="9"/>
  <c r="AD360" i="9"/>
  <c r="V360" i="9"/>
  <c r="C361" i="9"/>
  <c r="E361" i="9" s="1"/>
  <c r="Z361" i="9" s="1"/>
  <c r="T360" i="9"/>
  <c r="AB360" i="9"/>
  <c r="Z360" i="9"/>
  <c r="Y360" i="9"/>
  <c r="AC360" i="9"/>
  <c r="X360" i="9"/>
  <c r="G361" i="9" l="1"/>
  <c r="F361" i="9"/>
  <c r="C362" i="9"/>
  <c r="E362" i="9" s="1"/>
  <c r="V362" i="9" s="1"/>
  <c r="AD361" i="9"/>
  <c r="AC361" i="9"/>
  <c r="AA361" i="9"/>
  <c r="V361" i="9"/>
  <c r="T361" i="9"/>
  <c r="X361" i="9"/>
  <c r="U361" i="9"/>
  <c r="Y361" i="9"/>
  <c r="W361" i="9"/>
  <c r="AB361" i="9"/>
  <c r="G362" i="9" l="1"/>
  <c r="AC362" i="9"/>
  <c r="Z362" i="9"/>
  <c r="W362" i="9"/>
  <c r="AB362" i="9"/>
  <c r="C363" i="9"/>
  <c r="E363" i="9" s="1"/>
  <c r="AD363" i="9" s="1"/>
  <c r="F362" i="9"/>
  <c r="U362" i="9"/>
  <c r="T362" i="9"/>
  <c r="AD362" i="9"/>
  <c r="X362" i="9"/>
  <c r="AA362" i="9"/>
  <c r="Y362" i="9"/>
  <c r="G363" i="9" l="1"/>
  <c r="V363" i="9"/>
  <c r="C364" i="9"/>
  <c r="E364" i="9" s="1"/>
  <c r="V364" i="9" s="1"/>
  <c r="F363" i="9"/>
  <c r="W363" i="9"/>
  <c r="AC363" i="9"/>
  <c r="Z363" i="9"/>
  <c r="X363" i="9"/>
  <c r="AB363" i="9"/>
  <c r="AA363" i="9"/>
  <c r="U363" i="9"/>
  <c r="Y363" i="9"/>
  <c r="T363" i="9"/>
  <c r="G364" i="9" l="1"/>
  <c r="AD364" i="9"/>
  <c r="W364" i="9"/>
  <c r="Z364" i="9"/>
  <c r="AA364" i="9"/>
  <c r="X364" i="9"/>
  <c r="F364" i="9"/>
  <c r="C365" i="9"/>
  <c r="E365" i="9" s="1"/>
  <c r="X365" i="9" s="1"/>
  <c r="Y364" i="9"/>
  <c r="U364" i="9"/>
  <c r="T364" i="9"/>
  <c r="AB364" i="9"/>
  <c r="AC364" i="9"/>
  <c r="G365" i="9" l="1"/>
  <c r="F365" i="9"/>
  <c r="U365" i="9"/>
  <c r="T365" i="9"/>
  <c r="V365" i="9"/>
  <c r="Y365" i="9"/>
  <c r="C366" i="9"/>
  <c r="E366" i="9" s="1"/>
  <c r="X366" i="9" s="1"/>
  <c r="Z365" i="9"/>
  <c r="AD365" i="9"/>
  <c r="W365" i="9"/>
  <c r="AC365" i="9"/>
  <c r="AB365" i="9"/>
  <c r="AA365" i="9"/>
  <c r="G366" i="9" l="1"/>
  <c r="AD366" i="9"/>
  <c r="V366" i="9"/>
  <c r="F366" i="9"/>
  <c r="AB366" i="9"/>
  <c r="Y366" i="9"/>
  <c r="U366" i="9"/>
  <c r="T366" i="9"/>
  <c r="AA366" i="9"/>
  <c r="Z366" i="9"/>
  <c r="W366" i="9"/>
  <c r="AC366" i="9"/>
  <c r="C367" i="9"/>
  <c r="E367" i="9" s="1"/>
  <c r="X367" i="9" s="1"/>
  <c r="G367" i="9" l="1"/>
  <c r="W367" i="9"/>
  <c r="U367" i="9"/>
  <c r="AA367" i="9"/>
  <c r="AC367" i="9"/>
  <c r="Z367" i="9"/>
  <c r="T367" i="9"/>
  <c r="Y367" i="9"/>
  <c r="F367" i="9"/>
  <c r="AD367" i="9"/>
  <c r="V367" i="9"/>
  <c r="AB367" i="9"/>
  <c r="C368" i="9"/>
  <c r="E368" i="9" s="1"/>
  <c r="AB368" i="9" s="1"/>
  <c r="G368" i="9" l="1"/>
  <c r="Z368" i="9"/>
  <c r="Y368" i="9"/>
  <c r="F368" i="9"/>
  <c r="AC368" i="9"/>
  <c r="X368" i="9"/>
  <c r="W368" i="9"/>
  <c r="AD368" i="9"/>
  <c r="U368" i="9"/>
  <c r="V368" i="9"/>
  <c r="AA368" i="9"/>
  <c r="C369" i="9"/>
  <c r="E369" i="9" s="1"/>
  <c r="W369" i="9" s="1"/>
  <c r="T368" i="9"/>
  <c r="G369" i="9" l="1"/>
  <c r="AD369" i="9"/>
  <c r="C370" i="9"/>
  <c r="E370" i="9" s="1"/>
  <c r="Y370" i="9" s="1"/>
  <c r="AC369" i="9"/>
  <c r="V369" i="9"/>
  <c r="AA369" i="9"/>
  <c r="T369" i="9"/>
  <c r="Y369" i="9"/>
  <c r="AB369" i="9"/>
  <c r="F369" i="9"/>
  <c r="U369" i="9"/>
  <c r="Z369" i="9"/>
  <c r="X369" i="9"/>
  <c r="G370" i="9" l="1"/>
  <c r="AC370" i="9"/>
  <c r="AB370" i="9"/>
  <c r="Z370" i="9"/>
  <c r="W370" i="9"/>
  <c r="C371" i="9"/>
  <c r="E371" i="9" s="1"/>
  <c r="AD371" i="9" s="1"/>
  <c r="U370" i="9"/>
  <c r="T370" i="9"/>
  <c r="X370" i="9"/>
  <c r="V370" i="9"/>
  <c r="AD370" i="9"/>
  <c r="AA370" i="9"/>
  <c r="F370" i="9"/>
  <c r="G371" i="9" l="1"/>
  <c r="F371" i="9"/>
  <c r="V371" i="9"/>
  <c r="T371" i="9"/>
  <c r="AC371" i="9"/>
  <c r="X371" i="9"/>
  <c r="W371" i="9"/>
  <c r="Z371" i="9"/>
  <c r="AB371" i="9"/>
  <c r="C372" i="9"/>
  <c r="E372" i="9" s="1"/>
  <c r="V372" i="9" s="1"/>
  <c r="AA371" i="9"/>
  <c r="U371" i="9"/>
  <c r="Y371" i="9"/>
  <c r="G372" i="9" l="1"/>
  <c r="Z372" i="9"/>
  <c r="AA372" i="9"/>
  <c r="F372" i="9"/>
  <c r="C373" i="9"/>
  <c r="E373" i="9" s="1"/>
  <c r="X373" i="9" s="1"/>
  <c r="U372" i="9"/>
  <c r="Y372" i="9"/>
  <c r="T372" i="9"/>
  <c r="W372" i="9"/>
  <c r="AC372" i="9"/>
  <c r="X372" i="9"/>
  <c r="AD372" i="9"/>
  <c r="AB372" i="9"/>
  <c r="G373" i="9" l="1"/>
  <c r="Z373" i="9"/>
  <c r="F373" i="9"/>
  <c r="T373" i="9"/>
  <c r="U373" i="9"/>
  <c r="AB373" i="9"/>
  <c r="AC373" i="9"/>
  <c r="Y373" i="9"/>
  <c r="V373" i="9"/>
  <c r="W373" i="9"/>
  <c r="AD373" i="9"/>
  <c r="AA373" i="9"/>
  <c r="C374" i="9"/>
  <c r="E374" i="9" s="1"/>
  <c r="Z374" i="9" s="1"/>
  <c r="G374" i="9" l="1"/>
  <c r="Y374" i="9"/>
  <c r="V374" i="9"/>
  <c r="U374" i="9"/>
  <c r="X374" i="9"/>
  <c r="AD374" i="9"/>
  <c r="F374" i="9"/>
  <c r="C375" i="9"/>
  <c r="E375" i="9" s="1"/>
  <c r="AD375" i="9" s="1"/>
  <c r="W374" i="9"/>
  <c r="AA374" i="9"/>
  <c r="T374" i="9"/>
  <c r="AC374" i="9"/>
  <c r="AB374" i="9"/>
  <c r="G375" i="9" l="1"/>
  <c r="X375" i="9"/>
  <c r="AC375" i="9"/>
  <c r="U375" i="9"/>
  <c r="Y375" i="9"/>
  <c r="Z375" i="9"/>
  <c r="AB375" i="9"/>
  <c r="W375" i="9"/>
  <c r="T375" i="9"/>
  <c r="AA375" i="9"/>
  <c r="F375" i="9"/>
  <c r="V375" i="9"/>
  <c r="C376" i="9"/>
  <c r="E376" i="9" s="1"/>
  <c r="W376" i="9" s="1"/>
  <c r="G376" i="9" l="1"/>
  <c r="C377" i="9"/>
  <c r="E377" i="9" s="1"/>
  <c r="AB377" i="9" s="1"/>
  <c r="AD376" i="9"/>
  <c r="AB376" i="9"/>
  <c r="U376" i="9"/>
  <c r="T376" i="9"/>
  <c r="Z376" i="9"/>
  <c r="Y376" i="9"/>
  <c r="V376" i="9"/>
  <c r="X376" i="9"/>
  <c r="AC376" i="9"/>
  <c r="AA376" i="9"/>
  <c r="F376" i="9"/>
  <c r="G377" i="9" l="1"/>
  <c r="AD377" i="9"/>
  <c r="V377" i="9"/>
  <c r="AC377" i="9"/>
  <c r="F377" i="9"/>
  <c r="AA377" i="9"/>
  <c r="X377" i="9"/>
  <c r="C378" i="9"/>
  <c r="E378" i="9" s="1"/>
  <c r="AC378" i="9" s="1"/>
  <c r="U377" i="9"/>
  <c r="T377" i="9"/>
  <c r="Z377" i="9"/>
  <c r="Y377" i="9"/>
  <c r="W377" i="9"/>
  <c r="G378" i="9" l="1"/>
  <c r="W378" i="9"/>
  <c r="AB378" i="9"/>
  <c r="Z378" i="9"/>
  <c r="C379" i="9"/>
  <c r="E379" i="9" s="1"/>
  <c r="U379" i="9" s="1"/>
  <c r="U378" i="9"/>
  <c r="T378" i="9"/>
  <c r="AD378" i="9"/>
  <c r="Y378" i="9"/>
  <c r="X378" i="9"/>
  <c r="V378" i="9"/>
  <c r="AA378" i="9"/>
  <c r="F378" i="9"/>
  <c r="G379" i="9" l="1"/>
  <c r="C380" i="9"/>
  <c r="E380" i="9" s="1"/>
  <c r="W380" i="9" s="1"/>
  <c r="T379" i="9"/>
  <c r="F379" i="9"/>
  <c r="AC379" i="9"/>
  <c r="W379" i="9"/>
  <c r="Z379" i="9"/>
  <c r="AB379" i="9"/>
  <c r="AA379" i="9"/>
  <c r="Y379" i="9"/>
  <c r="AD379" i="9"/>
  <c r="V379" i="9"/>
  <c r="X379" i="9"/>
  <c r="G380" i="9" l="1"/>
  <c r="Y380" i="9"/>
  <c r="AA380" i="9"/>
  <c r="Z380" i="9"/>
  <c r="X380" i="9"/>
  <c r="AC380" i="9"/>
  <c r="F380" i="9"/>
  <c r="C381" i="9"/>
  <c r="E381" i="9" s="1"/>
  <c r="Z381" i="9" s="1"/>
  <c r="U380" i="9"/>
  <c r="T380" i="9"/>
  <c r="AD380" i="9"/>
  <c r="V380" i="9"/>
  <c r="AB380" i="9"/>
  <c r="G381" i="9" l="1"/>
  <c r="C382" i="9"/>
  <c r="E382" i="9" s="1"/>
  <c r="W382" i="9" s="1"/>
  <c r="F381" i="9"/>
  <c r="U381" i="9"/>
  <c r="AD381" i="9"/>
  <c r="T381" i="9"/>
  <c r="AB381" i="9"/>
  <c r="V381" i="9"/>
  <c r="AC381" i="9"/>
  <c r="AA381" i="9"/>
  <c r="X381" i="9"/>
  <c r="Y381" i="9"/>
  <c r="W381" i="9"/>
  <c r="G382" i="9" l="1"/>
  <c r="Y382" i="9"/>
  <c r="X382" i="9"/>
  <c r="AD382" i="9"/>
  <c r="V382" i="9"/>
  <c r="AA382" i="9"/>
  <c r="F382" i="9"/>
  <c r="C383" i="9"/>
  <c r="E383" i="9" s="1"/>
  <c r="X383" i="9" s="1"/>
  <c r="U382" i="9"/>
  <c r="T382" i="9"/>
  <c r="Z382" i="9"/>
  <c r="AC382" i="9"/>
  <c r="AB382" i="9"/>
  <c r="G383" i="9" l="1"/>
  <c r="U383" i="9"/>
  <c r="T383" i="9"/>
  <c r="AA383" i="9"/>
  <c r="Z383" i="9"/>
  <c r="W383" i="9"/>
  <c r="AC383" i="9"/>
  <c r="Y383" i="9"/>
  <c r="AB383" i="9"/>
  <c r="AD383" i="9"/>
  <c r="V383" i="9"/>
  <c r="C384" i="9"/>
  <c r="E384" i="9" s="1"/>
  <c r="AC384" i="9" s="1"/>
  <c r="F383" i="9"/>
  <c r="G384" i="9" l="1"/>
  <c r="AA384" i="9"/>
  <c r="V384" i="9"/>
  <c r="AD384" i="9"/>
  <c r="F384" i="9"/>
  <c r="T384" i="9"/>
  <c r="AB384" i="9"/>
  <c r="C385" i="9"/>
  <c r="E385" i="9" s="1"/>
  <c r="AA385" i="9" s="1"/>
  <c r="U384" i="9"/>
  <c r="Y384" i="9"/>
  <c r="Z384" i="9"/>
  <c r="W384" i="9"/>
  <c r="X384" i="9"/>
  <c r="G385" i="9" l="1"/>
  <c r="F385" i="9"/>
  <c r="C386" i="9"/>
  <c r="E386" i="9" s="1"/>
  <c r="AA386" i="9" s="1"/>
  <c r="AD385" i="9"/>
  <c r="V385" i="9"/>
  <c r="U385" i="9"/>
  <c r="X385" i="9"/>
  <c r="Y385" i="9"/>
  <c r="Z385" i="9"/>
  <c r="W385" i="9"/>
  <c r="AC385" i="9"/>
  <c r="AB385" i="9"/>
  <c r="T385" i="9"/>
  <c r="G386" i="9" l="1"/>
  <c r="AC386" i="9"/>
  <c r="Z386" i="9"/>
  <c r="W386" i="9"/>
  <c r="AB386" i="9"/>
  <c r="F386" i="9"/>
  <c r="C387" i="9"/>
  <c r="E387" i="9" s="1"/>
  <c r="V387" i="9" s="1"/>
  <c r="U386" i="9"/>
  <c r="T386" i="9"/>
  <c r="AD386" i="9"/>
  <c r="V386" i="9"/>
  <c r="Y386" i="9"/>
  <c r="X386" i="9"/>
  <c r="G387" i="9" l="1"/>
  <c r="T387" i="9"/>
  <c r="U387" i="9"/>
  <c r="W387" i="9"/>
  <c r="F387" i="9"/>
  <c r="X387" i="9"/>
  <c r="C388" i="9"/>
  <c r="E388" i="9" s="1"/>
  <c r="AC388" i="9" s="1"/>
  <c r="AC387" i="9"/>
  <c r="Z387" i="9"/>
  <c r="AB387" i="9"/>
  <c r="AA387" i="9"/>
  <c r="Y387" i="9"/>
  <c r="AD387" i="9"/>
  <c r="G388" i="9" l="1"/>
  <c r="Y388" i="9"/>
  <c r="W388" i="9"/>
  <c r="V388" i="9"/>
  <c r="AD388" i="9"/>
  <c r="F388" i="9"/>
  <c r="C389" i="9"/>
  <c r="E389" i="9" s="1"/>
  <c r="X389" i="9" s="1"/>
  <c r="AA388" i="9"/>
  <c r="U388" i="9"/>
  <c r="Z388" i="9"/>
  <c r="T388" i="9"/>
  <c r="X388" i="9"/>
  <c r="AB388" i="9"/>
  <c r="G389" i="9" l="1"/>
  <c r="F389" i="9"/>
  <c r="Z389" i="9"/>
  <c r="Y389" i="9"/>
  <c r="U389" i="9"/>
  <c r="T389" i="9"/>
  <c r="W389" i="9"/>
  <c r="AA389" i="9"/>
  <c r="V389" i="9"/>
  <c r="AD389" i="9"/>
  <c r="AC389" i="9"/>
  <c r="AB389" i="9"/>
  <c r="C390" i="9"/>
  <c r="E390" i="9" s="1"/>
  <c r="AC390" i="9" s="1"/>
  <c r="G390" i="9" l="1"/>
  <c r="Y390" i="9"/>
  <c r="AD390" i="9"/>
  <c r="X390" i="9"/>
  <c r="W390" i="9"/>
  <c r="C391" i="9"/>
  <c r="E391" i="9" s="1"/>
  <c r="AA391" i="9" s="1"/>
  <c r="U390" i="9"/>
  <c r="F390" i="9"/>
  <c r="V390" i="9"/>
  <c r="T390" i="9"/>
  <c r="AB390" i="9"/>
  <c r="Z390" i="9"/>
  <c r="AA390" i="9"/>
  <c r="G391" i="9" l="1"/>
  <c r="F391" i="9"/>
  <c r="Z391" i="9"/>
  <c r="U391" i="9"/>
  <c r="T391" i="9"/>
  <c r="AD391" i="9"/>
  <c r="AC391" i="9"/>
  <c r="Y391" i="9"/>
  <c r="X391" i="9"/>
  <c r="AB391" i="9"/>
  <c r="V391" i="9"/>
  <c r="W391" i="9"/>
  <c r="C392" i="9"/>
  <c r="E392" i="9" s="1"/>
  <c r="AC392" i="9" s="1"/>
  <c r="G392" i="9" l="1"/>
  <c r="X392" i="9"/>
  <c r="W392" i="9"/>
  <c r="Z392" i="9"/>
  <c r="F392" i="9"/>
  <c r="C393" i="9"/>
  <c r="E393" i="9" s="1"/>
  <c r="Z393" i="9" s="1"/>
  <c r="AA392" i="9"/>
  <c r="Y392" i="9"/>
  <c r="U392" i="9"/>
  <c r="AD392" i="9"/>
  <c r="T392" i="9"/>
  <c r="V392" i="9"/>
  <c r="AB392" i="9"/>
  <c r="G393" i="9" l="1"/>
  <c r="Y393" i="9"/>
  <c r="F393" i="9"/>
  <c r="AA393" i="9"/>
  <c r="W393" i="9"/>
  <c r="V393" i="9"/>
  <c r="AD393" i="9"/>
  <c r="U393" i="9"/>
  <c r="X393" i="9"/>
  <c r="T393" i="9"/>
  <c r="AC393" i="9"/>
  <c r="AB393" i="9"/>
  <c r="C394" i="9"/>
  <c r="E394" i="9" s="1"/>
  <c r="Z394" i="9" s="1"/>
  <c r="G394" i="9" l="1"/>
  <c r="F394" i="9"/>
  <c r="W394" i="9"/>
  <c r="U394" i="9"/>
  <c r="AB394" i="9"/>
  <c r="AA394" i="9"/>
  <c r="AC394" i="9"/>
  <c r="T394" i="9"/>
  <c r="Y394" i="9"/>
  <c r="X394" i="9"/>
  <c r="C395" i="9"/>
  <c r="E395" i="9" s="1"/>
  <c r="W395" i="9" s="1"/>
  <c r="AD394" i="9"/>
  <c r="V394" i="9"/>
  <c r="G395" i="9" l="1"/>
  <c r="V395" i="9"/>
  <c r="AD395" i="9"/>
  <c r="AA395" i="9"/>
  <c r="Z395" i="9"/>
  <c r="C396" i="9"/>
  <c r="E396" i="9" s="1"/>
  <c r="X396" i="9" s="1"/>
  <c r="F395" i="9"/>
  <c r="U395" i="9"/>
  <c r="T395" i="9"/>
  <c r="Y395" i="9"/>
  <c r="AC395" i="9"/>
  <c r="AB395" i="9"/>
  <c r="X395" i="9"/>
  <c r="G396" i="9" l="1"/>
  <c r="W396" i="9"/>
  <c r="F396" i="9"/>
  <c r="AC396" i="9"/>
  <c r="T396" i="9"/>
  <c r="AD396" i="9"/>
  <c r="C397" i="9"/>
  <c r="E397" i="9" s="1"/>
  <c r="Z397" i="9" s="1"/>
  <c r="V396" i="9"/>
  <c r="U396" i="9"/>
  <c r="Z396" i="9"/>
  <c r="AB396" i="9"/>
  <c r="Y396" i="9"/>
  <c r="AA396" i="9"/>
  <c r="G397" i="9" l="1"/>
  <c r="AC397" i="9"/>
  <c r="U397" i="9"/>
  <c r="AB397" i="9"/>
  <c r="F397" i="9"/>
  <c r="V397" i="9"/>
  <c r="C398" i="9"/>
  <c r="E398" i="9" s="1"/>
  <c r="AC398" i="9" s="1"/>
  <c r="X397" i="9"/>
  <c r="T397" i="9"/>
  <c r="W397" i="9"/>
  <c r="AA397" i="9"/>
  <c r="Y397" i="9"/>
  <c r="AD397" i="9"/>
  <c r="G398" i="9" l="1"/>
  <c r="F398" i="9"/>
  <c r="T398" i="9"/>
  <c r="W398" i="9"/>
  <c r="U398" i="9"/>
  <c r="AD398" i="9"/>
  <c r="V398" i="9"/>
  <c r="C399" i="9"/>
  <c r="E399" i="9" s="1"/>
  <c r="X399" i="9" s="1"/>
  <c r="AB398" i="9"/>
  <c r="AA398" i="9"/>
  <c r="X398" i="9"/>
  <c r="Z398" i="9"/>
  <c r="Y398" i="9"/>
  <c r="G399" i="9" l="1"/>
  <c r="AA399" i="9"/>
  <c r="C400" i="9"/>
  <c r="E400" i="9" s="1"/>
  <c r="Z400" i="9" s="1"/>
  <c r="Z399" i="9"/>
  <c r="U399" i="9"/>
  <c r="W399" i="9"/>
  <c r="F399" i="9"/>
  <c r="V399" i="9"/>
  <c r="AB399" i="9"/>
  <c r="T399" i="9"/>
  <c r="AD399" i="9"/>
  <c r="AC399" i="9"/>
  <c r="Y399" i="9"/>
  <c r="G400" i="9" l="1"/>
  <c r="Y400" i="9"/>
  <c r="AD400" i="9"/>
  <c r="F400" i="9"/>
  <c r="AC400" i="9"/>
  <c r="V400" i="9"/>
  <c r="C401" i="9"/>
  <c r="E401" i="9" s="1"/>
  <c r="X401" i="9" s="1"/>
  <c r="U400" i="9"/>
  <c r="T400" i="9"/>
  <c r="AB400" i="9"/>
  <c r="X400" i="9"/>
  <c r="W400" i="9"/>
  <c r="AA400" i="9"/>
  <c r="G401" i="9" l="1"/>
  <c r="AC401" i="9"/>
  <c r="AB401" i="9"/>
  <c r="F401" i="9"/>
  <c r="T401" i="9"/>
  <c r="AD401" i="9"/>
  <c r="AA401" i="9"/>
  <c r="Z401" i="9"/>
  <c r="W401" i="9"/>
  <c r="V401" i="9"/>
  <c r="C402" i="9"/>
  <c r="E402" i="9" s="1"/>
  <c r="X402" i="9" s="1"/>
  <c r="Y401" i="9"/>
  <c r="U401" i="9"/>
  <c r="G402" i="9" l="1"/>
  <c r="U402" i="9"/>
  <c r="T402" i="9"/>
  <c r="AA402" i="9"/>
  <c r="F402" i="9"/>
  <c r="Y402" i="9"/>
  <c r="W402" i="9"/>
  <c r="AB402" i="9"/>
  <c r="Z402" i="9"/>
  <c r="V402" i="9"/>
  <c r="AD402" i="9"/>
  <c r="AC402" i="9"/>
  <c r="C403" i="9"/>
  <c r="E403" i="9" s="1"/>
  <c r="W403" i="9" s="1"/>
  <c r="G403" i="9" l="1"/>
  <c r="T403" i="9"/>
  <c r="AD403" i="9"/>
  <c r="F403" i="9"/>
  <c r="V403" i="9"/>
  <c r="AA403" i="9"/>
  <c r="U403" i="9"/>
  <c r="AC403" i="9"/>
  <c r="Z403" i="9"/>
  <c r="AB403" i="9"/>
  <c r="Y403" i="9"/>
  <c r="X403" i="9"/>
  <c r="C404" i="9"/>
  <c r="E404" i="9" s="1"/>
  <c r="AC404" i="9" s="1"/>
  <c r="G404" i="9" l="1"/>
  <c r="T404" i="9"/>
  <c r="X404" i="9"/>
  <c r="Y404" i="9"/>
  <c r="AB404" i="9"/>
  <c r="Z404" i="9"/>
  <c r="AA404" i="9"/>
  <c r="W404" i="9"/>
  <c r="AD404" i="9"/>
  <c r="C405" i="9"/>
  <c r="E405" i="9" s="1"/>
  <c r="V405" i="9" s="1"/>
  <c r="V404" i="9"/>
  <c r="F404" i="9"/>
  <c r="U404" i="9"/>
  <c r="G405" i="9" l="1"/>
  <c r="F405" i="9"/>
  <c r="U405" i="9"/>
  <c r="AB405" i="9"/>
  <c r="AC405" i="9"/>
  <c r="AD405" i="9"/>
  <c r="X405" i="9"/>
  <c r="W405" i="9"/>
  <c r="C406" i="9"/>
  <c r="E406" i="9" s="1"/>
  <c r="Y406" i="9" s="1"/>
  <c r="T405" i="9"/>
  <c r="Y405" i="9"/>
  <c r="AA405" i="9"/>
  <c r="Z405" i="9"/>
  <c r="G406" i="9" l="1"/>
  <c r="AA406" i="9"/>
  <c r="T406" i="9"/>
  <c r="V406" i="9"/>
  <c r="AB406" i="9"/>
  <c r="U406" i="9"/>
  <c r="AC406" i="9"/>
  <c r="Z406" i="9"/>
  <c r="C407" i="9"/>
  <c r="E407" i="9" s="1"/>
  <c r="AA407" i="9" s="1"/>
  <c r="X406" i="9"/>
  <c r="W406" i="9"/>
  <c r="AD406" i="9"/>
  <c r="F406" i="9"/>
  <c r="G407" i="9" l="1"/>
  <c r="Z407" i="9"/>
  <c r="U407" i="9"/>
  <c r="AC407" i="9"/>
  <c r="V407" i="9"/>
  <c r="T407" i="9"/>
  <c r="F407" i="9"/>
  <c r="AB407" i="9"/>
  <c r="W407" i="9"/>
  <c r="AD407" i="9"/>
  <c r="Y407" i="9"/>
  <c r="X407" i="9"/>
  <c r="C408" i="9"/>
  <c r="E408" i="9" s="1"/>
  <c r="Z408" i="9" s="1"/>
  <c r="G408" i="9" l="1"/>
  <c r="F408" i="9"/>
  <c r="U408" i="9"/>
  <c r="Y408" i="9"/>
  <c r="T408" i="9"/>
  <c r="AD408" i="9"/>
  <c r="C409" i="9"/>
  <c r="E409" i="9" s="1"/>
  <c r="AD409" i="9" s="1"/>
  <c r="AB408" i="9"/>
  <c r="AC408" i="9"/>
  <c r="AA408" i="9"/>
  <c r="V408" i="9"/>
  <c r="W408" i="9"/>
  <c r="X408" i="9"/>
  <c r="G409" i="9" l="1"/>
  <c r="C410" i="9"/>
  <c r="E410" i="9" s="1"/>
  <c r="Y410" i="9" s="1"/>
  <c r="Y409" i="9"/>
  <c r="Z409" i="9"/>
  <c r="F409" i="9"/>
  <c r="U409" i="9"/>
  <c r="X409" i="9"/>
  <c r="T409" i="9"/>
  <c r="W409" i="9"/>
  <c r="AB409" i="9"/>
  <c r="V409" i="9"/>
  <c r="AC409" i="9"/>
  <c r="AA409" i="9"/>
  <c r="G410" i="9" l="1"/>
  <c r="X410" i="9"/>
  <c r="AB410" i="9"/>
  <c r="C411" i="9"/>
  <c r="E411" i="9" s="1"/>
  <c r="W411" i="9" s="1"/>
  <c r="W410" i="9"/>
  <c r="U410" i="9"/>
  <c r="T410" i="9"/>
  <c r="AA410" i="9"/>
  <c r="V410" i="9"/>
  <c r="AD410" i="9"/>
  <c r="F410" i="9"/>
  <c r="AC410" i="9"/>
  <c r="Z410" i="9"/>
  <c r="G411" i="9" l="1"/>
  <c r="F411" i="9"/>
  <c r="AA411" i="9"/>
  <c r="V411" i="9"/>
  <c r="Y411" i="9"/>
  <c r="Z411" i="9"/>
  <c r="U411" i="9"/>
  <c r="AC411" i="9"/>
  <c r="X411" i="9"/>
  <c r="AD411" i="9"/>
  <c r="T411" i="9"/>
  <c r="AB411" i="9"/>
  <c r="C412" i="9"/>
  <c r="E412" i="9" s="1"/>
  <c r="W412" i="9" s="1"/>
  <c r="G412" i="9" l="1"/>
  <c r="F412" i="9"/>
  <c r="AD412" i="9"/>
  <c r="V412" i="9"/>
  <c r="U412" i="9"/>
  <c r="AC412" i="9"/>
  <c r="T412" i="9"/>
  <c r="X412" i="9"/>
  <c r="C413" i="9"/>
  <c r="E413" i="9" s="1"/>
  <c r="AA413" i="9" s="1"/>
  <c r="Z412" i="9"/>
  <c r="AB412" i="9"/>
  <c r="Y412" i="9"/>
  <c r="AA412" i="9"/>
  <c r="G413" i="9" l="1"/>
  <c r="Z413" i="9"/>
  <c r="F413" i="9"/>
  <c r="AC413" i="9"/>
  <c r="C414" i="9"/>
  <c r="E414" i="9" s="1"/>
  <c r="V414" i="9" s="1"/>
  <c r="V413" i="9"/>
  <c r="Y413" i="9"/>
  <c r="W413" i="9"/>
  <c r="X413" i="9"/>
  <c r="U413" i="9"/>
  <c r="AB413" i="9"/>
  <c r="T413" i="9"/>
  <c r="AD413" i="9"/>
  <c r="G414" i="9" l="1"/>
  <c r="C415" i="9"/>
  <c r="E415" i="9" s="1"/>
  <c r="X415" i="9" s="1"/>
  <c r="U414" i="9"/>
  <c r="F414" i="9"/>
  <c r="AB414" i="9"/>
  <c r="AC414" i="9"/>
  <c r="AA414" i="9"/>
  <c r="T414" i="9"/>
  <c r="X414" i="9"/>
  <c r="Y414" i="9"/>
  <c r="AD414" i="9"/>
  <c r="W414" i="9"/>
  <c r="Z414" i="9"/>
  <c r="G415" i="9" l="1"/>
  <c r="AA415" i="9"/>
  <c r="Z415" i="9"/>
  <c r="W415" i="9"/>
  <c r="AD415" i="9"/>
  <c r="V415" i="9"/>
  <c r="F415" i="9"/>
  <c r="C416" i="9"/>
  <c r="E416" i="9" s="1"/>
  <c r="Y416" i="9" s="1"/>
  <c r="U415" i="9"/>
  <c r="T415" i="9"/>
  <c r="AC415" i="9"/>
  <c r="AB415" i="9"/>
  <c r="Y415" i="9"/>
  <c r="G416" i="9" l="1"/>
  <c r="AC416" i="9"/>
  <c r="F416" i="9"/>
  <c r="U416" i="9"/>
  <c r="T416" i="9"/>
  <c r="AB416" i="9"/>
  <c r="X416" i="9"/>
  <c r="W416" i="9"/>
  <c r="AA416" i="9"/>
  <c r="Z416" i="9"/>
  <c r="AD416" i="9"/>
  <c r="V416" i="9"/>
  <c r="C417" i="9"/>
  <c r="E417" i="9" s="1"/>
  <c r="AB417" i="9" s="1"/>
  <c r="G417" i="9" l="1"/>
  <c r="AA417" i="9"/>
  <c r="Z417" i="9"/>
  <c r="W417" i="9"/>
  <c r="V417" i="9"/>
  <c r="Y417" i="9"/>
  <c r="C418" i="9"/>
  <c r="E418" i="9" s="1"/>
  <c r="Y418" i="9" s="1"/>
  <c r="U417" i="9"/>
  <c r="F417" i="9"/>
  <c r="X417" i="9"/>
  <c r="T417" i="9"/>
  <c r="AC417" i="9"/>
  <c r="AD417" i="9"/>
  <c r="G418" i="9" l="1"/>
  <c r="F418" i="9"/>
  <c r="T418" i="9"/>
  <c r="C419" i="9"/>
  <c r="E419" i="9" s="1"/>
  <c r="X419" i="9" s="1"/>
  <c r="Z418" i="9"/>
  <c r="AA418" i="9"/>
  <c r="U418" i="9"/>
  <c r="AC418" i="9"/>
  <c r="X418" i="9"/>
  <c r="W418" i="9"/>
  <c r="AB418" i="9"/>
  <c r="V418" i="9"/>
  <c r="AD418" i="9"/>
  <c r="G419" i="9" l="1"/>
  <c r="AD419" i="9"/>
  <c r="V419" i="9"/>
  <c r="AA419" i="9"/>
  <c r="C420" i="9"/>
  <c r="E420" i="9" s="1"/>
  <c r="AA420" i="9" s="1"/>
  <c r="F419" i="9"/>
  <c r="Z419" i="9"/>
  <c r="U419" i="9"/>
  <c r="AC419" i="9"/>
  <c r="T419" i="9"/>
  <c r="W419" i="9"/>
  <c r="AB419" i="9"/>
  <c r="Y419" i="9"/>
  <c r="G420" i="9" l="1"/>
  <c r="C421" i="9"/>
  <c r="E421" i="9" s="1"/>
  <c r="V421" i="9" s="1"/>
  <c r="F420" i="9"/>
  <c r="U420" i="9"/>
  <c r="Z420" i="9"/>
  <c r="AB420" i="9"/>
  <c r="AD420" i="9"/>
  <c r="V420" i="9"/>
  <c r="AC420" i="9"/>
  <c r="T420" i="9"/>
  <c r="Y420" i="9"/>
  <c r="X420" i="9"/>
  <c r="W420" i="9"/>
  <c r="G421" i="9" l="1"/>
  <c r="AD421" i="9"/>
  <c r="AC421" i="9"/>
  <c r="AB421" i="9"/>
  <c r="Y421" i="9"/>
  <c r="X421" i="9"/>
  <c r="C422" i="9"/>
  <c r="E422" i="9" s="1"/>
  <c r="AA422" i="9" s="1"/>
  <c r="F421" i="9"/>
  <c r="U421" i="9"/>
  <c r="T421" i="9"/>
  <c r="AA421" i="9"/>
  <c r="Z421" i="9"/>
  <c r="W421" i="9"/>
  <c r="G422" i="9" l="1"/>
  <c r="X422" i="9"/>
  <c r="W422" i="9"/>
  <c r="F422" i="9"/>
  <c r="U422" i="9"/>
  <c r="T422" i="9"/>
  <c r="V422" i="9"/>
  <c r="AD422" i="9"/>
  <c r="AC422" i="9"/>
  <c r="Z422" i="9"/>
  <c r="Y422" i="9"/>
  <c r="C423" i="9"/>
  <c r="E423" i="9" s="1"/>
  <c r="Y423" i="9" s="1"/>
  <c r="AB422" i="9"/>
  <c r="G423" i="9" l="1"/>
  <c r="AA423" i="9"/>
  <c r="Z423" i="9"/>
  <c r="AD423" i="9"/>
  <c r="W423" i="9"/>
  <c r="C424" i="9"/>
  <c r="E424" i="9" s="1"/>
  <c r="Z424" i="9" s="1"/>
  <c r="F423" i="9"/>
  <c r="U423" i="9"/>
  <c r="T423" i="9"/>
  <c r="AB423" i="9"/>
  <c r="X423" i="9"/>
  <c r="AC423" i="9"/>
  <c r="V423" i="9"/>
  <c r="G424" i="9" l="1"/>
  <c r="AB424" i="9"/>
  <c r="Y424" i="9"/>
  <c r="AD424" i="9"/>
  <c r="V424" i="9"/>
  <c r="C425" i="9"/>
  <c r="E425" i="9" s="1"/>
  <c r="Z425" i="9" s="1"/>
  <c r="U424" i="9"/>
  <c r="F424" i="9"/>
  <c r="T424" i="9"/>
  <c r="W424" i="9"/>
  <c r="AC424" i="9"/>
  <c r="AA424" i="9"/>
  <c r="X424" i="9"/>
  <c r="G425" i="9" l="1"/>
  <c r="F425" i="9"/>
  <c r="AB425" i="9"/>
  <c r="W425" i="9"/>
  <c r="V425" i="9"/>
  <c r="AD425" i="9"/>
  <c r="Y425" i="9"/>
  <c r="U425" i="9"/>
  <c r="X425" i="9"/>
  <c r="T425" i="9"/>
  <c r="AC425" i="9"/>
  <c r="AA425" i="9"/>
  <c r="C426" i="9"/>
  <c r="E426" i="9" s="1"/>
  <c r="Y426" i="9" s="1"/>
  <c r="G426" i="9" l="1"/>
  <c r="C427" i="9"/>
  <c r="E427" i="9" s="1"/>
  <c r="Z427" i="9" s="1"/>
  <c r="F426" i="9"/>
  <c r="V426" i="9"/>
  <c r="U426" i="9"/>
  <c r="AB426" i="9"/>
  <c r="T426" i="9"/>
  <c r="W426" i="9"/>
  <c r="AC426" i="9"/>
  <c r="AA426" i="9"/>
  <c r="Z426" i="9"/>
  <c r="AD426" i="9"/>
  <c r="X426" i="9"/>
  <c r="G427" i="9" l="1"/>
  <c r="Y427" i="9"/>
  <c r="W427" i="9"/>
  <c r="AD427" i="9"/>
  <c r="V427" i="9"/>
  <c r="AA427" i="9"/>
  <c r="C428" i="9"/>
  <c r="E428" i="9" s="1"/>
  <c r="V428" i="9" s="1"/>
  <c r="F427" i="9"/>
  <c r="U427" i="9"/>
  <c r="T427" i="9"/>
  <c r="X427" i="9"/>
  <c r="AC427" i="9"/>
  <c r="AB427" i="9"/>
  <c r="G428" i="9" l="1"/>
  <c r="AC428" i="9"/>
  <c r="Z428" i="9"/>
  <c r="F428" i="9"/>
  <c r="C429" i="9"/>
  <c r="E429" i="9" s="1"/>
  <c r="Y429" i="9" s="1"/>
  <c r="T428" i="9"/>
  <c r="AA428" i="9"/>
  <c r="X428" i="9"/>
  <c r="W428" i="9"/>
  <c r="AB428" i="9"/>
  <c r="Y428" i="9"/>
  <c r="AD428" i="9"/>
  <c r="U428" i="9"/>
  <c r="G429" i="9" l="1"/>
  <c r="F429" i="9"/>
  <c r="U429" i="9"/>
  <c r="Z429" i="9"/>
  <c r="W429" i="9"/>
  <c r="X429" i="9"/>
  <c r="AD429" i="9"/>
  <c r="V429" i="9"/>
  <c r="C430" i="9"/>
  <c r="E430" i="9" s="1"/>
  <c r="AA430" i="9" s="1"/>
  <c r="AC429" i="9"/>
  <c r="T429" i="9"/>
  <c r="AB429" i="9"/>
  <c r="AA429" i="9"/>
  <c r="G430" i="9" l="1"/>
  <c r="X430" i="9"/>
  <c r="F430" i="9"/>
  <c r="Z430" i="9"/>
  <c r="V430" i="9"/>
  <c r="AD430" i="9"/>
  <c r="AC430" i="9"/>
  <c r="Y430" i="9"/>
  <c r="C431" i="9"/>
  <c r="E431" i="9" s="1"/>
  <c r="AB431" i="9" s="1"/>
  <c r="W430" i="9"/>
  <c r="U430" i="9"/>
  <c r="AB430" i="9"/>
  <c r="T430" i="9"/>
  <c r="G431" i="9" l="1"/>
  <c r="T431" i="9"/>
  <c r="W431" i="9"/>
  <c r="F431" i="9"/>
  <c r="U431" i="9"/>
  <c r="AD431" i="9"/>
  <c r="AC431" i="9"/>
  <c r="X431" i="9"/>
  <c r="AA431" i="9"/>
  <c r="Z431" i="9"/>
  <c r="Y431" i="9"/>
  <c r="V431" i="9"/>
  <c r="C432" i="9"/>
  <c r="E432" i="9" s="1"/>
  <c r="AB432" i="9" s="1"/>
  <c r="G432" i="9" l="1"/>
  <c r="C433" i="9"/>
  <c r="E433" i="9" s="1"/>
  <c r="Z433" i="9" s="1"/>
  <c r="Y432" i="9"/>
  <c r="T432" i="9"/>
  <c r="AD432" i="9"/>
  <c r="U432" i="9"/>
  <c r="AC432" i="9"/>
  <c r="V432" i="9"/>
  <c r="Z432" i="9"/>
  <c r="AA432" i="9"/>
  <c r="X432" i="9"/>
  <c r="W432" i="9"/>
  <c r="F432" i="9"/>
  <c r="G433" i="9" l="1"/>
  <c r="F433" i="9"/>
  <c r="W433" i="9"/>
  <c r="V433" i="9"/>
  <c r="Y433" i="9"/>
  <c r="X433" i="9"/>
  <c r="AC433" i="9"/>
  <c r="C434" i="9"/>
  <c r="E434" i="9" s="1"/>
  <c r="V434" i="9" s="1"/>
  <c r="U433" i="9"/>
  <c r="T433" i="9"/>
  <c r="AD433" i="9"/>
  <c r="AB433" i="9"/>
  <c r="AA433" i="9"/>
  <c r="G434" i="9" l="1"/>
  <c r="AB434" i="9"/>
  <c r="C435" i="9"/>
  <c r="E435" i="9" s="1"/>
  <c r="X435" i="9" s="1"/>
  <c r="U434" i="9"/>
  <c r="T434" i="9"/>
  <c r="Y434" i="9"/>
  <c r="AD434" i="9"/>
  <c r="AC434" i="9"/>
  <c r="X434" i="9"/>
  <c r="W434" i="9"/>
  <c r="AA434" i="9"/>
  <c r="F434" i="9"/>
  <c r="Z434" i="9"/>
  <c r="G435" i="9" l="1"/>
  <c r="AC435" i="9"/>
  <c r="Z435" i="9"/>
  <c r="W435" i="9"/>
  <c r="AD435" i="9"/>
  <c r="AA435" i="9"/>
  <c r="V435" i="9"/>
  <c r="C436" i="9"/>
  <c r="E436" i="9" s="1"/>
  <c r="AD436" i="9" s="1"/>
  <c r="U435" i="9"/>
  <c r="T435" i="9"/>
  <c r="AB435" i="9"/>
  <c r="Y435" i="9"/>
  <c r="F435" i="9"/>
  <c r="G436" i="9" l="1"/>
  <c r="F436" i="9"/>
  <c r="AB436" i="9"/>
  <c r="AA436" i="9"/>
  <c r="Y436" i="9"/>
  <c r="T436" i="9"/>
  <c r="X436" i="9"/>
  <c r="V436" i="9"/>
  <c r="C437" i="9"/>
  <c r="E437" i="9" s="1"/>
  <c r="AC437" i="9" s="1"/>
  <c r="AC436" i="9"/>
  <c r="U436" i="9"/>
  <c r="Z436" i="9"/>
  <c r="W436" i="9"/>
  <c r="G437" i="9" l="1"/>
  <c r="C438" i="9"/>
  <c r="E438" i="9" s="1"/>
  <c r="AD438" i="9" s="1"/>
  <c r="F437" i="9"/>
  <c r="V437" i="9"/>
  <c r="U437" i="9"/>
  <c r="W437" i="9"/>
  <c r="AB437" i="9"/>
  <c r="Y437" i="9"/>
  <c r="AD437" i="9"/>
  <c r="Z437" i="9"/>
  <c r="X437" i="9"/>
  <c r="T437" i="9"/>
  <c r="AA437" i="9"/>
  <c r="G438" i="9" l="1"/>
  <c r="AC438" i="9"/>
  <c r="Y438" i="9"/>
  <c r="AB438" i="9"/>
  <c r="AA438" i="9"/>
  <c r="X438" i="9"/>
  <c r="F438" i="9"/>
  <c r="C439" i="9"/>
  <c r="E439" i="9" s="1"/>
  <c r="AC439" i="9" s="1"/>
  <c r="U438" i="9"/>
  <c r="T438" i="9"/>
  <c r="Z438" i="9"/>
  <c r="W438" i="9"/>
  <c r="V438" i="9"/>
  <c r="G439" i="9" l="1"/>
  <c r="W439" i="9"/>
  <c r="C440" i="9"/>
  <c r="E440" i="9" s="1"/>
  <c r="AA440" i="9" s="1"/>
  <c r="U439" i="9"/>
  <c r="T439" i="9"/>
  <c r="AD439" i="9"/>
  <c r="AB439" i="9"/>
  <c r="Y439" i="9"/>
  <c r="X439" i="9"/>
  <c r="AA439" i="9"/>
  <c r="Z439" i="9"/>
  <c r="V439" i="9"/>
  <c r="F439" i="9"/>
  <c r="G440" i="9" l="1"/>
  <c r="X440" i="9"/>
  <c r="W440" i="9"/>
  <c r="Z440" i="9"/>
  <c r="Y440" i="9"/>
  <c r="AD440" i="9"/>
  <c r="V440" i="9"/>
  <c r="F440" i="9"/>
  <c r="C441" i="9"/>
  <c r="E441" i="9" s="1"/>
  <c r="X441" i="9" s="1"/>
  <c r="U440" i="9"/>
  <c r="T440" i="9"/>
  <c r="AC440" i="9"/>
  <c r="AB440" i="9"/>
  <c r="G441" i="9" l="1"/>
  <c r="AD441" i="9"/>
  <c r="V441" i="9"/>
  <c r="AB441" i="9"/>
  <c r="C442" i="9"/>
  <c r="E442" i="9" s="1"/>
  <c r="AD442" i="9" s="1"/>
  <c r="AA441" i="9"/>
  <c r="W441" i="9"/>
  <c r="U441" i="9"/>
  <c r="Y441" i="9"/>
  <c r="Z441" i="9"/>
  <c r="AC441" i="9"/>
  <c r="F441" i="9"/>
  <c r="T441" i="9"/>
  <c r="G442" i="9" l="1"/>
  <c r="C443" i="9"/>
  <c r="E443" i="9" s="1"/>
  <c r="Y443" i="9" s="1"/>
  <c r="U442" i="9"/>
  <c r="T442" i="9"/>
  <c r="AA442" i="9"/>
  <c r="X442" i="9"/>
  <c r="AB442" i="9"/>
  <c r="Z442" i="9"/>
  <c r="Y442" i="9"/>
  <c r="V442" i="9"/>
  <c r="W442" i="9"/>
  <c r="AC442" i="9"/>
  <c r="F442" i="9"/>
  <c r="G443" i="9" l="1"/>
  <c r="F443" i="9"/>
  <c r="X443" i="9"/>
  <c r="W443" i="9"/>
  <c r="AD443" i="9"/>
  <c r="V443" i="9"/>
  <c r="AA443" i="9"/>
  <c r="C444" i="9"/>
  <c r="E444" i="9" s="1"/>
  <c r="AD444" i="9" s="1"/>
  <c r="U443" i="9"/>
  <c r="T443" i="9"/>
  <c r="AC443" i="9"/>
  <c r="AB443" i="9"/>
  <c r="Z443" i="9"/>
  <c r="G444" i="9" l="1"/>
  <c r="Z444" i="9"/>
  <c r="F444" i="9"/>
  <c r="U444" i="9"/>
  <c r="V444" i="9"/>
  <c r="AC444" i="9"/>
  <c r="C445" i="9"/>
  <c r="E445" i="9" s="1"/>
  <c r="AC445" i="9" s="1"/>
  <c r="T444" i="9"/>
  <c r="AB444" i="9"/>
  <c r="X444" i="9"/>
  <c r="AA444" i="9"/>
  <c r="Y444" i="9"/>
  <c r="W444" i="9"/>
  <c r="G445" i="9" l="1"/>
  <c r="T445" i="9"/>
  <c r="AA445" i="9"/>
  <c r="X445" i="9"/>
  <c r="AB445" i="9"/>
  <c r="W445" i="9"/>
  <c r="V445" i="9"/>
  <c r="AD445" i="9"/>
  <c r="F445" i="9"/>
  <c r="Y445" i="9"/>
  <c r="C446" i="9"/>
  <c r="E446" i="9" s="1"/>
  <c r="Y446" i="9" s="1"/>
  <c r="Z445" i="9"/>
  <c r="U445" i="9"/>
  <c r="G446" i="9" l="1"/>
  <c r="F446" i="9"/>
  <c r="Z446" i="9"/>
  <c r="AD446" i="9"/>
  <c r="AC446" i="9"/>
  <c r="C447" i="9"/>
  <c r="E447" i="9" s="1"/>
  <c r="AB447" i="9" s="1"/>
  <c r="X446" i="9"/>
  <c r="U446" i="9"/>
  <c r="AB446" i="9"/>
  <c r="AA446" i="9"/>
  <c r="T446" i="9"/>
  <c r="W446" i="9"/>
  <c r="V446" i="9"/>
  <c r="G447" i="9" l="1"/>
  <c r="F447" i="9"/>
  <c r="X447" i="9"/>
  <c r="U447" i="9"/>
  <c r="AA447" i="9"/>
  <c r="Y447" i="9"/>
  <c r="W447" i="9"/>
  <c r="AC447" i="9"/>
  <c r="C448" i="9"/>
  <c r="E448" i="9" s="1"/>
  <c r="X448" i="9" s="1"/>
  <c r="T447" i="9"/>
  <c r="Z447" i="9"/>
  <c r="V447" i="9"/>
  <c r="AD447" i="9"/>
  <c r="G448" i="9" l="1"/>
  <c r="Z448" i="9"/>
  <c r="C449" i="9"/>
  <c r="E449" i="9" s="1"/>
  <c r="V449" i="9" s="1"/>
  <c r="T448" i="9"/>
  <c r="AA448" i="9"/>
  <c r="Y448" i="9"/>
  <c r="AD448" i="9"/>
  <c r="U448" i="9"/>
  <c r="AC448" i="9"/>
  <c r="AB448" i="9"/>
  <c r="V448" i="9"/>
  <c r="W448" i="9"/>
  <c r="F448" i="9"/>
  <c r="G449" i="9" l="1"/>
  <c r="F449" i="9"/>
  <c r="AB449" i="9"/>
  <c r="Y449" i="9"/>
  <c r="X449" i="9"/>
  <c r="AC449" i="9"/>
  <c r="C450" i="9"/>
  <c r="E450" i="9" s="1"/>
  <c r="X450" i="9" s="1"/>
  <c r="U449" i="9"/>
  <c r="T449" i="9"/>
  <c r="AD449" i="9"/>
  <c r="AA449" i="9"/>
  <c r="Z449" i="9"/>
  <c r="W449" i="9"/>
  <c r="G450" i="9" l="1"/>
  <c r="F450" i="9"/>
  <c r="T450" i="9"/>
  <c r="AD450" i="9"/>
  <c r="AC450" i="9"/>
  <c r="W450" i="9"/>
  <c r="AB450" i="9"/>
  <c r="AA450" i="9"/>
  <c r="Z450" i="9"/>
  <c r="Y450" i="9"/>
  <c r="V450" i="9"/>
  <c r="C451" i="9"/>
  <c r="E451" i="9" s="1"/>
  <c r="Z451" i="9" s="1"/>
  <c r="U450" i="9"/>
  <c r="G451" i="9" l="1"/>
  <c r="V451" i="9"/>
  <c r="AA451" i="9"/>
  <c r="X451" i="9"/>
  <c r="AC451" i="9"/>
  <c r="AB451" i="9"/>
  <c r="C452" i="9"/>
  <c r="E452" i="9" s="1"/>
  <c r="AA452" i="9" s="1"/>
  <c r="W451" i="9"/>
  <c r="U451" i="9"/>
  <c r="T451" i="9"/>
  <c r="Y451" i="9"/>
  <c r="F451" i="9"/>
  <c r="AD451" i="9"/>
  <c r="G452" i="9" l="1"/>
  <c r="C453" i="9"/>
  <c r="E453" i="9" s="1"/>
  <c r="X453" i="9" s="1"/>
  <c r="AD452" i="9"/>
  <c r="AB452" i="9"/>
  <c r="V452" i="9"/>
  <c r="Y452" i="9"/>
  <c r="Z452" i="9"/>
  <c r="X452" i="9"/>
  <c r="W452" i="9"/>
  <c r="U452" i="9"/>
  <c r="T452" i="9"/>
  <c r="AC452" i="9"/>
  <c r="F452" i="9"/>
  <c r="G453" i="9" l="1"/>
  <c r="U453" i="9"/>
  <c r="AC453" i="9"/>
  <c r="C454" i="9"/>
  <c r="E454" i="9" s="1"/>
  <c r="Y454" i="9" s="1"/>
  <c r="T453" i="9"/>
  <c r="AB453" i="9"/>
  <c r="AD453" i="9"/>
  <c r="Y453" i="9"/>
  <c r="W453" i="9"/>
  <c r="F453" i="9"/>
  <c r="V453" i="9"/>
  <c r="AA453" i="9"/>
  <c r="Z453" i="9"/>
  <c r="G454" i="9" l="1"/>
  <c r="V454" i="9"/>
  <c r="AB454" i="9"/>
  <c r="AA454" i="9"/>
  <c r="W454" i="9"/>
  <c r="X454" i="9"/>
  <c r="U454" i="9"/>
  <c r="Z454" i="9"/>
  <c r="C455" i="9"/>
  <c r="E455" i="9" s="1"/>
  <c r="AC455" i="9" s="1"/>
  <c r="T454" i="9"/>
  <c r="AD454" i="9"/>
  <c r="AC454" i="9"/>
  <c r="F454" i="9"/>
  <c r="G455" i="9" l="1"/>
  <c r="Y455" i="9"/>
  <c r="AA455" i="9"/>
  <c r="U455" i="9"/>
  <c r="T455" i="9"/>
  <c r="V455" i="9"/>
  <c r="AD455" i="9"/>
  <c r="F455" i="9"/>
  <c r="Z455" i="9"/>
  <c r="AB455" i="9"/>
  <c r="W455" i="9"/>
  <c r="X455" i="9"/>
  <c r="C456" i="9"/>
  <c r="E456" i="9" s="1"/>
  <c r="AC456" i="9" s="1"/>
  <c r="G456" i="9" l="1"/>
  <c r="AB456" i="9"/>
  <c r="Z456" i="9"/>
  <c r="C457" i="9"/>
  <c r="E457" i="9" s="1"/>
  <c r="Z457" i="9" s="1"/>
  <c r="U456" i="9"/>
  <c r="F456" i="9"/>
  <c r="Y456" i="9"/>
  <c r="AD456" i="9"/>
  <c r="T456" i="9"/>
  <c r="V456" i="9"/>
  <c r="AA456" i="9"/>
  <c r="X456" i="9"/>
  <c r="W456" i="9"/>
  <c r="G457" i="9" l="1"/>
  <c r="W457" i="9"/>
  <c r="Y457" i="9"/>
  <c r="X457" i="9"/>
  <c r="F457" i="9"/>
  <c r="AC457" i="9"/>
  <c r="U457" i="9"/>
  <c r="V457" i="9"/>
  <c r="T457" i="9"/>
  <c r="AD457" i="9"/>
  <c r="AB457" i="9"/>
  <c r="AA457" i="9"/>
  <c r="C458" i="9"/>
  <c r="E458" i="9" s="1"/>
  <c r="AC458" i="9" s="1"/>
  <c r="G458" i="9" l="1"/>
  <c r="F458" i="9"/>
  <c r="C459" i="9"/>
  <c r="E459" i="9" s="1"/>
  <c r="Y459" i="9" s="1"/>
  <c r="AA458" i="9"/>
  <c r="Y458" i="9"/>
  <c r="U458" i="9"/>
  <c r="X458" i="9"/>
  <c r="T458" i="9"/>
  <c r="W458" i="9"/>
  <c r="Z458" i="9"/>
  <c r="AB458" i="9"/>
  <c r="V458" i="9"/>
  <c r="AD458" i="9"/>
  <c r="G459" i="9" l="1"/>
  <c r="W459" i="9"/>
  <c r="V459" i="9"/>
  <c r="AD459" i="9"/>
  <c r="AA459" i="9"/>
  <c r="C460" i="9"/>
  <c r="E460" i="9" s="1"/>
  <c r="AC460" i="9" s="1"/>
  <c r="F459" i="9"/>
  <c r="U459" i="9"/>
  <c r="T459" i="9"/>
  <c r="AC459" i="9"/>
  <c r="Z459" i="9"/>
  <c r="X459" i="9"/>
  <c r="AB459" i="9"/>
  <c r="G460" i="9" l="1"/>
  <c r="Z460" i="9"/>
  <c r="F460" i="9"/>
  <c r="C461" i="9"/>
  <c r="E461" i="9" s="1"/>
  <c r="V461" i="9" s="1"/>
  <c r="AA460" i="9"/>
  <c r="Y460" i="9"/>
  <c r="AB460" i="9"/>
  <c r="X460" i="9"/>
  <c r="W460" i="9"/>
  <c r="AD460" i="9"/>
  <c r="U460" i="9"/>
  <c r="V460" i="9"/>
  <c r="T460" i="9"/>
  <c r="G461" i="9" l="1"/>
  <c r="B8" i="17"/>
  <c r="C462" i="9"/>
  <c r="E462" i="9" s="1"/>
  <c r="AD462" i="9" s="1"/>
  <c r="AC461" i="9"/>
  <c r="F461" i="9"/>
  <c r="Y461" i="9"/>
  <c r="AA461" i="9"/>
  <c r="AB461" i="9"/>
  <c r="U461" i="9"/>
  <c r="T461" i="9"/>
  <c r="AD461" i="9"/>
  <c r="X461" i="9"/>
  <c r="W461" i="9"/>
  <c r="Z461" i="9"/>
  <c r="L6" i="17" l="1"/>
  <c r="R6" i="17" s="1"/>
  <c r="C8" i="17"/>
  <c r="I8" i="17" s="1"/>
  <c r="G462" i="9"/>
  <c r="AA462" i="9"/>
  <c r="Z462" i="9"/>
  <c r="AB462" i="9"/>
  <c r="X462" i="9"/>
  <c r="C463" i="9"/>
  <c r="E463" i="9" s="1"/>
  <c r="X463" i="9" s="1"/>
  <c r="U462" i="9"/>
  <c r="T462" i="9"/>
  <c r="AC462" i="9"/>
  <c r="Y462" i="9"/>
  <c r="V462" i="9"/>
  <c r="W462" i="9"/>
  <c r="F462" i="9"/>
  <c r="G463" i="9" l="1"/>
  <c r="F463" i="9"/>
  <c r="T463" i="9"/>
  <c r="C464" i="9"/>
  <c r="E464" i="9" s="1"/>
  <c r="AA464" i="9" s="1"/>
  <c r="Y463" i="9"/>
  <c r="AC463" i="9"/>
  <c r="AB463" i="9"/>
  <c r="AD463" i="9"/>
  <c r="V463" i="9"/>
  <c r="AA463" i="9"/>
  <c r="U463" i="9"/>
  <c r="Z463" i="9"/>
  <c r="W463" i="9"/>
  <c r="G464" i="9" l="1"/>
  <c r="X464" i="9"/>
  <c r="Z464" i="9"/>
  <c r="AD464" i="9"/>
  <c r="Y464" i="9"/>
  <c r="V464" i="9"/>
  <c r="F464" i="9"/>
  <c r="C465" i="9"/>
  <c r="E465" i="9" s="1"/>
  <c r="Z465" i="9" s="1"/>
  <c r="U464" i="9"/>
  <c r="T464" i="9"/>
  <c r="AC464" i="9"/>
  <c r="AB464" i="9"/>
  <c r="W464" i="9"/>
  <c r="G465" i="9" l="1"/>
  <c r="AC465" i="9"/>
  <c r="C466" i="9"/>
  <c r="E466" i="9" s="1"/>
  <c r="AD466" i="9" s="1"/>
  <c r="U465" i="9"/>
  <c r="T465" i="9"/>
  <c r="AA465" i="9"/>
  <c r="W465" i="9"/>
  <c r="V465" i="9"/>
  <c r="AD465" i="9"/>
  <c r="AB465" i="9"/>
  <c r="Y465" i="9"/>
  <c r="X465" i="9"/>
  <c r="F465" i="9"/>
  <c r="G466" i="9" l="1"/>
  <c r="AC466" i="9"/>
  <c r="X466" i="9"/>
  <c r="W466" i="9"/>
  <c r="AB466" i="9"/>
  <c r="AA466" i="9"/>
  <c r="Z466" i="9"/>
  <c r="F466" i="9"/>
  <c r="C467" i="9"/>
  <c r="E467" i="9" s="1"/>
  <c r="X467" i="9" s="1"/>
  <c r="U466" i="9"/>
  <c r="T466" i="9"/>
  <c r="Y466" i="9"/>
  <c r="V466" i="9"/>
  <c r="G467" i="9" l="1"/>
  <c r="AA467" i="9"/>
  <c r="F467" i="9"/>
  <c r="T467" i="9"/>
  <c r="U467" i="9"/>
  <c r="V467" i="9"/>
  <c r="AB467" i="9"/>
  <c r="W467" i="9"/>
  <c r="AD467" i="9"/>
  <c r="Z467" i="9"/>
  <c r="AC467" i="9"/>
  <c r="Y467" i="9"/>
  <c r="C468" i="9"/>
  <c r="E468" i="9" s="1"/>
  <c r="Z468" i="9" s="1"/>
  <c r="G468" i="9" l="1"/>
  <c r="X468" i="9"/>
  <c r="V468" i="9"/>
  <c r="AA468" i="9"/>
  <c r="F468" i="9"/>
  <c r="W468" i="9"/>
  <c r="AD468" i="9"/>
  <c r="AB468" i="9"/>
  <c r="C469" i="9"/>
  <c r="E469" i="9" s="1"/>
  <c r="X469" i="9" s="1"/>
  <c r="U468" i="9"/>
  <c r="T468" i="9"/>
  <c r="AC468" i="9"/>
  <c r="Y468" i="9"/>
  <c r="G469" i="9" l="1"/>
  <c r="AA469" i="9"/>
  <c r="AC469" i="9"/>
  <c r="F469" i="9"/>
  <c r="T469" i="9"/>
  <c r="AB469" i="9"/>
  <c r="W469" i="9"/>
  <c r="AD469" i="9"/>
  <c r="Y469" i="9"/>
  <c r="V469" i="9"/>
  <c r="Z469" i="9"/>
  <c r="U469" i="9"/>
  <c r="C470" i="9"/>
  <c r="E470" i="9" s="1"/>
  <c r="W470" i="9" s="1"/>
  <c r="G470" i="9" l="1"/>
  <c r="V470" i="9"/>
  <c r="AB470" i="9"/>
  <c r="U470" i="9"/>
  <c r="T470" i="9"/>
  <c r="X470" i="9"/>
  <c r="Y470" i="9"/>
  <c r="C471" i="9"/>
  <c r="E471" i="9" s="1"/>
  <c r="Y471" i="9" s="1"/>
  <c r="Z470" i="9"/>
  <c r="AC470" i="9"/>
  <c r="AA470" i="9"/>
  <c r="AD470" i="9"/>
  <c r="F470" i="9"/>
  <c r="G471" i="9" l="1"/>
  <c r="V471" i="9"/>
  <c r="U471" i="9"/>
  <c r="F471" i="9"/>
  <c r="AA471" i="9"/>
  <c r="T471" i="9"/>
  <c r="AB471" i="9"/>
  <c r="X471" i="9"/>
  <c r="W471" i="9"/>
  <c r="AD471" i="9"/>
  <c r="Z471" i="9"/>
  <c r="AC471" i="9"/>
  <c r="C472" i="9"/>
  <c r="E472" i="9" s="1"/>
  <c r="AA472" i="9" s="1"/>
  <c r="G472" i="9" l="1"/>
  <c r="Z472" i="9"/>
  <c r="U472" i="9"/>
  <c r="T472" i="9"/>
  <c r="AB472" i="9"/>
  <c r="AD472" i="9"/>
  <c r="V472" i="9"/>
  <c r="X472" i="9"/>
  <c r="W472" i="9"/>
  <c r="AC472" i="9"/>
  <c r="C473" i="9"/>
  <c r="E473" i="9" s="1"/>
  <c r="AB473" i="9" s="1"/>
  <c r="Y472" i="9"/>
  <c r="F472" i="9"/>
  <c r="G473" i="9" l="1"/>
  <c r="C474" i="9"/>
  <c r="E474" i="9" s="1"/>
  <c r="Z474" i="9" s="1"/>
  <c r="AD473" i="9"/>
  <c r="X473" i="9"/>
  <c r="Y473" i="9"/>
  <c r="F473" i="9"/>
  <c r="AC473" i="9"/>
  <c r="U473" i="9"/>
  <c r="T473" i="9"/>
  <c r="AA473" i="9"/>
  <c r="Z473" i="9"/>
  <c r="V473" i="9"/>
  <c r="W473" i="9"/>
  <c r="G474" i="9" l="1"/>
  <c r="F474" i="9"/>
  <c r="V474" i="9"/>
  <c r="Y474" i="9"/>
  <c r="X474" i="9"/>
  <c r="W474" i="9"/>
  <c r="AB474" i="9"/>
  <c r="C475" i="9"/>
  <c r="E475" i="9" s="1"/>
  <c r="W475" i="9" s="1"/>
  <c r="U474" i="9"/>
  <c r="T474" i="9"/>
  <c r="AD474" i="9"/>
  <c r="AC474" i="9"/>
  <c r="AA474" i="9"/>
  <c r="G475" i="9" l="1"/>
  <c r="AD475" i="9"/>
  <c r="V475" i="9"/>
  <c r="AA475" i="9"/>
  <c r="C476" i="9"/>
  <c r="E476" i="9" s="1"/>
  <c r="Z476" i="9" s="1"/>
  <c r="U475" i="9"/>
  <c r="T475" i="9"/>
  <c r="Z475" i="9"/>
  <c r="X475" i="9"/>
  <c r="AC475" i="9"/>
  <c r="AB475" i="9"/>
  <c r="Y475" i="9"/>
  <c r="F475" i="9"/>
  <c r="G476" i="9" l="1"/>
  <c r="X476" i="9"/>
  <c r="W476" i="9"/>
  <c r="AD476" i="9"/>
  <c r="C477" i="9"/>
  <c r="E477" i="9" s="1"/>
  <c r="AD477" i="9" s="1"/>
  <c r="F476" i="9"/>
  <c r="U476" i="9"/>
  <c r="AB476" i="9"/>
  <c r="V476" i="9"/>
  <c r="Y476" i="9"/>
  <c r="AC476" i="9"/>
  <c r="T476" i="9"/>
  <c r="AA476" i="9"/>
  <c r="G477" i="9" l="1"/>
  <c r="F477" i="9"/>
  <c r="C478" i="9"/>
  <c r="E478" i="9" s="1"/>
  <c r="Z478" i="9" s="1"/>
  <c r="W477" i="9"/>
  <c r="AC477" i="9"/>
  <c r="AB477" i="9"/>
  <c r="U477" i="9"/>
  <c r="Y477" i="9"/>
  <c r="Z477" i="9"/>
  <c r="T477" i="9"/>
  <c r="X477" i="9"/>
  <c r="AA477" i="9"/>
  <c r="V477" i="9"/>
  <c r="G478" i="9" l="1"/>
  <c r="W478" i="9"/>
  <c r="X478" i="9"/>
  <c r="AB478" i="9"/>
  <c r="AA478" i="9"/>
  <c r="F478" i="9"/>
  <c r="C479" i="9"/>
  <c r="E479" i="9" s="1"/>
  <c r="AA479" i="9" s="1"/>
  <c r="U478" i="9"/>
  <c r="T478" i="9"/>
  <c r="AD478" i="9"/>
  <c r="AC478" i="9"/>
  <c r="Y478" i="9"/>
  <c r="V478" i="9"/>
  <c r="G479" i="9" l="1"/>
  <c r="C480" i="9"/>
  <c r="E480" i="9" s="1"/>
  <c r="X480" i="9" s="1"/>
  <c r="F479" i="9"/>
  <c r="U479" i="9"/>
  <c r="T479" i="9"/>
  <c r="X479" i="9"/>
  <c r="V479" i="9"/>
  <c r="AC479" i="9"/>
  <c r="Y479" i="9"/>
  <c r="AD479" i="9"/>
  <c r="AB479" i="9"/>
  <c r="Z479" i="9"/>
  <c r="W479" i="9"/>
  <c r="G480" i="9" l="1"/>
  <c r="W480" i="9"/>
  <c r="Z480" i="9"/>
  <c r="Y480" i="9"/>
  <c r="AD480" i="9"/>
  <c r="V480" i="9"/>
  <c r="F480" i="9"/>
  <c r="C481" i="9"/>
  <c r="E481" i="9" s="1"/>
  <c r="V481" i="9" s="1"/>
  <c r="U480" i="9"/>
  <c r="T480" i="9"/>
  <c r="AC480" i="9"/>
  <c r="AB480" i="9"/>
  <c r="AA480" i="9"/>
  <c r="G481" i="9" l="1"/>
  <c r="T481" i="9"/>
  <c r="W481" i="9"/>
  <c r="AD481" i="9"/>
  <c r="AB481" i="9"/>
  <c r="AA481" i="9"/>
  <c r="C482" i="9"/>
  <c r="E482" i="9" s="1"/>
  <c r="V482" i="9" s="1"/>
  <c r="Z481" i="9"/>
  <c r="F481" i="9"/>
  <c r="Y481" i="9"/>
  <c r="U481" i="9"/>
  <c r="AC481" i="9"/>
  <c r="X481" i="9"/>
  <c r="G482" i="9" l="1"/>
  <c r="F482" i="9"/>
  <c r="AC482" i="9"/>
  <c r="U482" i="9"/>
  <c r="X482" i="9"/>
  <c r="T482" i="9"/>
  <c r="AA482" i="9"/>
  <c r="W482" i="9"/>
  <c r="AD482" i="9"/>
  <c r="Y482" i="9"/>
  <c r="C483" i="9"/>
  <c r="E483" i="9" s="1"/>
  <c r="Z483" i="9" s="1"/>
  <c r="Z482" i="9"/>
  <c r="AB482" i="9"/>
  <c r="G483" i="9" l="1"/>
  <c r="Y483" i="9"/>
  <c r="V483" i="9"/>
  <c r="C484" i="9"/>
  <c r="E484" i="9" s="1"/>
  <c r="X484" i="9" s="1"/>
  <c r="W483" i="9"/>
  <c r="X483" i="9"/>
  <c r="U483" i="9"/>
  <c r="T483" i="9"/>
  <c r="AA483" i="9"/>
  <c r="AB483" i="9"/>
  <c r="AC483" i="9"/>
  <c r="F483" i="9"/>
  <c r="AD483" i="9"/>
  <c r="G484" i="9" l="1"/>
  <c r="AD484" i="9"/>
  <c r="V484" i="9"/>
  <c r="AC484" i="9"/>
  <c r="Z484" i="9"/>
  <c r="F484" i="9"/>
  <c r="C485" i="9"/>
  <c r="E485" i="9" s="1"/>
  <c r="Y485" i="9" s="1"/>
  <c r="U484" i="9"/>
  <c r="T484" i="9"/>
  <c r="AB484" i="9"/>
  <c r="AA484" i="9"/>
  <c r="Y484" i="9"/>
  <c r="W484" i="9"/>
  <c r="G485" i="9" l="1"/>
  <c r="C486" i="9"/>
  <c r="E486" i="9" s="1"/>
  <c r="V486" i="9" s="1"/>
  <c r="AD485" i="9"/>
  <c r="V485" i="9"/>
  <c r="AB485" i="9"/>
  <c r="Z485" i="9"/>
  <c r="W485" i="9"/>
  <c r="F485" i="9"/>
  <c r="AA485" i="9"/>
  <c r="U485" i="9"/>
  <c r="X485" i="9"/>
  <c r="T485" i="9"/>
  <c r="AC485" i="9"/>
  <c r="G486" i="9" l="1"/>
  <c r="AD486" i="9"/>
  <c r="Z486" i="9"/>
  <c r="F486" i="9"/>
  <c r="AC486" i="9"/>
  <c r="AB486" i="9"/>
  <c r="X486" i="9"/>
  <c r="C487" i="9"/>
  <c r="E487" i="9" s="1"/>
  <c r="X487" i="9" s="1"/>
  <c r="U486" i="9"/>
  <c r="T486" i="9"/>
  <c r="AA486" i="9"/>
  <c r="Y486" i="9"/>
  <c r="W486" i="9"/>
  <c r="G487" i="9" l="1"/>
  <c r="V487" i="9"/>
  <c r="AA487" i="9"/>
  <c r="W487" i="9"/>
  <c r="C488" i="9"/>
  <c r="E488" i="9" s="1"/>
  <c r="V488" i="9" s="1"/>
  <c r="U487" i="9"/>
  <c r="T487" i="9"/>
  <c r="AD487" i="9"/>
  <c r="AC487" i="9"/>
  <c r="AB487" i="9"/>
  <c r="Z487" i="9"/>
  <c r="Y487" i="9"/>
  <c r="F487" i="9"/>
  <c r="G488" i="9" l="1"/>
  <c r="AA488" i="9"/>
  <c r="Y488" i="9"/>
  <c r="X488" i="9"/>
  <c r="C489" i="9"/>
  <c r="E489" i="9" s="1"/>
  <c r="AD489" i="9" s="1"/>
  <c r="Z488" i="9"/>
  <c r="F488" i="9"/>
  <c r="W488" i="9"/>
  <c r="U488" i="9"/>
  <c r="AC488" i="9"/>
  <c r="AB488" i="9"/>
  <c r="T488" i="9"/>
  <c r="AD488" i="9"/>
  <c r="G489" i="9" l="1"/>
  <c r="F489" i="9"/>
  <c r="Y489" i="9"/>
  <c r="C490" i="9"/>
  <c r="E490" i="9" s="1"/>
  <c r="AC490" i="9" s="1"/>
  <c r="U489" i="9"/>
  <c r="Z489" i="9"/>
  <c r="X489" i="9"/>
  <c r="AC489" i="9"/>
  <c r="AA489" i="9"/>
  <c r="T489" i="9"/>
  <c r="W489" i="9"/>
  <c r="AB489" i="9"/>
  <c r="V489" i="9"/>
  <c r="G490" i="9" l="1"/>
  <c r="AA490" i="9"/>
  <c r="X490" i="9"/>
  <c r="C491" i="9"/>
  <c r="E491" i="9" s="1"/>
  <c r="V491" i="9" s="1"/>
  <c r="AB490" i="9"/>
  <c r="U490" i="9"/>
  <c r="Y490" i="9"/>
  <c r="Z490" i="9"/>
  <c r="F490" i="9"/>
  <c r="T490" i="9"/>
  <c r="W490" i="9"/>
  <c r="V490" i="9"/>
  <c r="AD490" i="9"/>
  <c r="G491" i="9" l="1"/>
  <c r="F491" i="9"/>
  <c r="AC491" i="9"/>
  <c r="AB491" i="9"/>
  <c r="W491" i="9"/>
  <c r="AA491" i="9"/>
  <c r="C492" i="9"/>
  <c r="E492" i="9" s="1"/>
  <c r="AD492" i="9" s="1"/>
  <c r="U491" i="9"/>
  <c r="T491" i="9"/>
  <c r="AD491" i="9"/>
  <c r="Z491" i="9"/>
  <c r="Y491" i="9"/>
  <c r="X491" i="9"/>
  <c r="G492" i="9" l="1"/>
  <c r="C493" i="9"/>
  <c r="E493" i="9" s="1"/>
  <c r="Z493" i="9" s="1"/>
  <c r="AB492" i="9"/>
  <c r="X492" i="9"/>
  <c r="W492" i="9"/>
  <c r="AA492" i="9"/>
  <c r="Y492" i="9"/>
  <c r="AC492" i="9"/>
  <c r="F492" i="9"/>
  <c r="V492" i="9"/>
  <c r="T492" i="9"/>
  <c r="Z492" i="9"/>
  <c r="U492" i="9"/>
  <c r="G493" i="9" l="1"/>
  <c r="F493" i="9"/>
  <c r="X493" i="9"/>
  <c r="W493" i="9"/>
  <c r="V493" i="9"/>
  <c r="AC493" i="9"/>
  <c r="Y493" i="9"/>
  <c r="C494" i="9"/>
  <c r="E494" i="9" s="1"/>
  <c r="W494" i="9" s="1"/>
  <c r="U493" i="9"/>
  <c r="T493" i="9"/>
  <c r="AD493" i="9"/>
  <c r="AB493" i="9"/>
  <c r="AA493" i="9"/>
  <c r="G494" i="9" l="1"/>
  <c r="V494" i="9"/>
  <c r="X494" i="9"/>
  <c r="AB494" i="9"/>
  <c r="U494" i="9"/>
  <c r="T494" i="9"/>
  <c r="AD494" i="9"/>
  <c r="AC494" i="9"/>
  <c r="AA494" i="9"/>
  <c r="Z494" i="9"/>
  <c r="F494" i="9"/>
  <c r="Y494" i="9"/>
  <c r="C495" i="9"/>
  <c r="E495" i="9" s="1"/>
  <c r="AB495" i="9" s="1"/>
  <c r="G495" i="9" l="1"/>
  <c r="C496" i="9"/>
  <c r="E496" i="9" s="1"/>
  <c r="Z496" i="9" s="1"/>
  <c r="U495" i="9"/>
  <c r="AA495" i="9"/>
  <c r="F495" i="9"/>
  <c r="Z495" i="9"/>
  <c r="Y495" i="9"/>
  <c r="T495" i="9"/>
  <c r="X495" i="9"/>
  <c r="AD495" i="9"/>
  <c r="W495" i="9"/>
  <c r="AC495" i="9"/>
  <c r="V495" i="9"/>
  <c r="G496" i="9" l="1"/>
  <c r="Y496" i="9"/>
  <c r="X496" i="9"/>
  <c r="W496" i="9"/>
  <c r="AD496" i="9"/>
  <c r="V496" i="9"/>
  <c r="F496" i="9"/>
  <c r="C497" i="9"/>
  <c r="E497" i="9" s="1"/>
  <c r="W497" i="9" s="1"/>
  <c r="U496" i="9"/>
  <c r="T496" i="9"/>
  <c r="AC496" i="9"/>
  <c r="AB496" i="9"/>
  <c r="AA496" i="9"/>
  <c r="G497" i="9" l="1"/>
  <c r="C498" i="9"/>
  <c r="E498" i="9" s="1"/>
  <c r="X498" i="9" s="1"/>
  <c r="F497" i="9"/>
  <c r="AC497" i="9"/>
  <c r="U497" i="9"/>
  <c r="T497" i="9"/>
  <c r="AB497" i="9"/>
  <c r="AA497" i="9"/>
  <c r="Z497" i="9"/>
  <c r="Y497" i="9"/>
  <c r="AD497" i="9"/>
  <c r="V497" i="9"/>
  <c r="X497" i="9"/>
  <c r="G498" i="9" l="1"/>
  <c r="W498" i="9"/>
  <c r="V498" i="9"/>
  <c r="AD498" i="9"/>
  <c r="AC498" i="9"/>
  <c r="AB498" i="9"/>
  <c r="F498" i="9"/>
  <c r="C499" i="9"/>
  <c r="E499" i="9" s="1"/>
  <c r="V499" i="9" s="1"/>
  <c r="U498" i="9"/>
  <c r="T498" i="9"/>
  <c r="AA498" i="9"/>
  <c r="Z498" i="9"/>
  <c r="Y498" i="9"/>
  <c r="G499" i="9" l="1"/>
  <c r="AA499" i="9"/>
  <c r="C500" i="9"/>
  <c r="E500" i="9" s="1"/>
  <c r="W500" i="9" s="1"/>
  <c r="T499" i="9"/>
  <c r="Z499" i="9"/>
  <c r="Y499" i="9"/>
  <c r="X499" i="9"/>
  <c r="W499" i="9"/>
  <c r="AD499" i="9"/>
  <c r="AC499" i="9"/>
  <c r="U499" i="9"/>
  <c r="AB499" i="9"/>
  <c r="F499" i="9"/>
  <c r="G500" i="9" l="1"/>
  <c r="AB500" i="9"/>
  <c r="AC500" i="9"/>
  <c r="Z500" i="9"/>
  <c r="AA500" i="9"/>
  <c r="AD500" i="9"/>
  <c r="V500" i="9"/>
  <c r="F500" i="9"/>
  <c r="C501" i="9"/>
  <c r="E501" i="9" s="1"/>
  <c r="AA501" i="9" s="1"/>
  <c r="U500" i="9"/>
  <c r="T500" i="9"/>
  <c r="Y500" i="9"/>
  <c r="X500" i="9"/>
  <c r="G501" i="9" l="1"/>
  <c r="Y501" i="9"/>
  <c r="F501" i="9"/>
  <c r="U501" i="9"/>
  <c r="T501" i="9"/>
  <c r="X501" i="9"/>
  <c r="C502" i="9"/>
  <c r="E502" i="9" s="1"/>
  <c r="AB502" i="9" s="1"/>
  <c r="Z501" i="9"/>
  <c r="W501" i="9"/>
  <c r="AD501" i="9"/>
  <c r="V501" i="9"/>
  <c r="AC501" i="9"/>
  <c r="AB501" i="9"/>
  <c r="G502" i="9" l="1"/>
  <c r="Z502" i="9"/>
  <c r="AA502" i="9"/>
  <c r="C503" i="9"/>
  <c r="E503" i="9" s="1"/>
  <c r="AB503" i="9" s="1"/>
  <c r="U502" i="9"/>
  <c r="T502" i="9"/>
  <c r="X502" i="9"/>
  <c r="Y502" i="9"/>
  <c r="AD502" i="9"/>
  <c r="V502" i="9"/>
  <c r="AC502" i="9"/>
  <c r="W502" i="9"/>
  <c r="F502" i="9"/>
  <c r="G503" i="9" l="1"/>
  <c r="Z503" i="9"/>
  <c r="X503" i="9"/>
  <c r="Y503" i="9"/>
  <c r="W503" i="9"/>
  <c r="C504" i="9"/>
  <c r="E504" i="9" s="1"/>
  <c r="AB504" i="9" s="1"/>
  <c r="T503" i="9"/>
  <c r="F503" i="9"/>
  <c r="U503" i="9"/>
  <c r="AD503" i="9"/>
  <c r="AC503" i="9"/>
  <c r="V503" i="9"/>
  <c r="AA503" i="9"/>
  <c r="G504" i="9" l="1"/>
  <c r="F504" i="9"/>
  <c r="W504" i="9"/>
  <c r="AD504" i="9"/>
  <c r="Y504" i="9"/>
  <c r="X504" i="9"/>
  <c r="C505" i="9"/>
  <c r="E505" i="9" s="1"/>
  <c r="Y505" i="9" s="1"/>
  <c r="V504" i="9"/>
  <c r="U504" i="9"/>
  <c r="AA504" i="9"/>
  <c r="Z504" i="9"/>
  <c r="T504" i="9"/>
  <c r="AC504" i="9"/>
  <c r="G505" i="9" l="1"/>
  <c r="F505" i="9"/>
  <c r="X505" i="9"/>
  <c r="C506" i="9"/>
  <c r="E506" i="9" s="1"/>
  <c r="W506" i="9" s="1"/>
  <c r="U505" i="9"/>
  <c r="AD505" i="9"/>
  <c r="V505" i="9"/>
  <c r="AA505" i="9"/>
  <c r="T505" i="9"/>
  <c r="AC505" i="9"/>
  <c r="Z505" i="9"/>
  <c r="W505" i="9"/>
  <c r="AB505" i="9"/>
  <c r="G506" i="9" l="1"/>
  <c r="AD506" i="9"/>
  <c r="V506" i="9"/>
  <c r="AB506" i="9"/>
  <c r="AC506" i="9"/>
  <c r="U506" i="9"/>
  <c r="C507" i="9"/>
  <c r="E507" i="9" s="1"/>
  <c r="W507" i="9" s="1"/>
  <c r="T506" i="9"/>
  <c r="AA506" i="9"/>
  <c r="Z506" i="9"/>
  <c r="Y506" i="9"/>
  <c r="X506" i="9"/>
  <c r="F506" i="9"/>
  <c r="G507" i="9" l="1"/>
  <c r="C508" i="9"/>
  <c r="E508" i="9" s="1"/>
  <c r="AD508" i="9" s="1"/>
  <c r="U507" i="9"/>
  <c r="AD507" i="9"/>
  <c r="V507" i="9"/>
  <c r="AC507" i="9"/>
  <c r="F507" i="9"/>
  <c r="X507" i="9"/>
  <c r="T507" i="9"/>
  <c r="AB507" i="9"/>
  <c r="Z507" i="9"/>
  <c r="AA507" i="9"/>
  <c r="Y507" i="9"/>
  <c r="G508" i="9" l="1"/>
  <c r="F508" i="9"/>
  <c r="V508" i="9"/>
  <c r="AC508" i="9"/>
  <c r="AB508" i="9"/>
  <c r="AA508" i="9"/>
  <c r="Z508" i="9"/>
  <c r="C509" i="9"/>
  <c r="E509" i="9" s="1"/>
  <c r="AB509" i="9" s="1"/>
  <c r="U508" i="9"/>
  <c r="T508" i="9"/>
  <c r="Y508" i="9"/>
  <c r="X508" i="9"/>
  <c r="W508" i="9"/>
  <c r="G509" i="9" l="1"/>
  <c r="Y509" i="9"/>
  <c r="F509" i="9"/>
  <c r="U509" i="9"/>
  <c r="AA509" i="9"/>
  <c r="Z509" i="9"/>
  <c r="T509" i="9"/>
  <c r="X509" i="9"/>
  <c r="W509" i="9"/>
  <c r="AD509" i="9"/>
  <c r="V509" i="9"/>
  <c r="C510" i="9"/>
  <c r="E510" i="9" s="1"/>
  <c r="AC510" i="9" s="1"/>
  <c r="AC509" i="9"/>
  <c r="G510" i="9" l="1"/>
  <c r="Y510" i="9"/>
  <c r="Z510" i="9"/>
  <c r="F510" i="9"/>
  <c r="C511" i="9"/>
  <c r="E511" i="9" s="1"/>
  <c r="AA511" i="9" s="1"/>
  <c r="U510" i="9"/>
  <c r="AA510" i="9"/>
  <c r="T510" i="9"/>
  <c r="W510" i="9"/>
  <c r="AD510" i="9"/>
  <c r="X510" i="9"/>
  <c r="AB510" i="9"/>
  <c r="V510" i="9"/>
  <c r="G511" i="9" l="1"/>
  <c r="Y511" i="9"/>
  <c r="T511" i="9"/>
  <c r="Z511" i="9"/>
  <c r="U511" i="9"/>
  <c r="W511" i="9"/>
  <c r="AC511" i="9"/>
  <c r="F511" i="9"/>
  <c r="AB511" i="9"/>
  <c r="X511" i="9"/>
  <c r="AD511" i="9"/>
  <c r="V511" i="9"/>
  <c r="C512" i="9"/>
  <c r="E512" i="9" s="1"/>
  <c r="Y512" i="9" s="1"/>
  <c r="G512" i="9" l="1"/>
  <c r="F512" i="9"/>
  <c r="X512" i="9"/>
  <c r="C513" i="9"/>
  <c r="E513" i="9" s="1"/>
  <c r="X513" i="9" s="1"/>
  <c r="U512" i="9"/>
  <c r="W512" i="9"/>
  <c r="AD512" i="9"/>
  <c r="AC512" i="9"/>
  <c r="AB512" i="9"/>
  <c r="AA512" i="9"/>
  <c r="T512" i="9"/>
  <c r="V512" i="9"/>
  <c r="Z512" i="9"/>
  <c r="G513" i="9" l="1"/>
  <c r="U513" i="9"/>
  <c r="W513" i="9"/>
  <c r="AD513" i="9"/>
  <c r="T513" i="9"/>
  <c r="F513" i="9"/>
  <c r="AC513" i="9"/>
  <c r="AA513" i="9"/>
  <c r="AB513" i="9"/>
  <c r="Z513" i="9"/>
  <c r="Y513" i="9"/>
  <c r="V513" i="9"/>
  <c r="C514" i="9"/>
  <c r="E514" i="9" s="1"/>
  <c r="AC514" i="9" s="1"/>
  <c r="G514" i="9" l="1"/>
  <c r="AA514" i="9"/>
  <c r="F514" i="9"/>
  <c r="AB514" i="9"/>
  <c r="Z514" i="9"/>
  <c r="W514" i="9"/>
  <c r="X514" i="9"/>
  <c r="C515" i="9"/>
  <c r="E515" i="9" s="1"/>
  <c r="AD515" i="9" s="1"/>
  <c r="AD514" i="9"/>
  <c r="V514" i="9"/>
  <c r="Y514" i="9"/>
  <c r="U514" i="9"/>
  <c r="T514" i="9"/>
  <c r="G515" i="9" l="1"/>
  <c r="F515" i="9"/>
  <c r="AB515" i="9"/>
  <c r="AA515" i="9"/>
  <c r="X515" i="9"/>
  <c r="AC515" i="9"/>
  <c r="W515" i="9"/>
  <c r="V515" i="9"/>
  <c r="U515" i="9"/>
  <c r="T515" i="9"/>
  <c r="Z515" i="9"/>
  <c r="Y515" i="9"/>
  <c r="C516" i="9"/>
  <c r="E516" i="9" s="1"/>
  <c r="V516" i="9" s="1"/>
  <c r="G516" i="9" l="1"/>
  <c r="T516" i="9"/>
  <c r="AA516" i="9"/>
  <c r="AB516" i="9"/>
  <c r="Z516" i="9"/>
  <c r="AC516" i="9"/>
  <c r="Y516" i="9"/>
  <c r="W516" i="9"/>
  <c r="AD516" i="9"/>
  <c r="C517" i="9"/>
  <c r="E517" i="9" s="1"/>
  <c r="V517" i="9" s="1"/>
  <c r="U516" i="9"/>
  <c r="X516" i="9"/>
  <c r="F516" i="9"/>
  <c r="G517" i="9" l="1"/>
  <c r="AC517" i="9"/>
  <c r="X517" i="9"/>
  <c r="AB517" i="9"/>
  <c r="F517" i="9"/>
  <c r="Z517" i="9"/>
  <c r="AA517" i="9"/>
  <c r="C518" i="9"/>
  <c r="E518" i="9" s="1"/>
  <c r="AA518" i="9" s="1"/>
  <c r="U517" i="9"/>
  <c r="T517" i="9"/>
  <c r="Y517" i="9"/>
  <c r="W517" i="9"/>
  <c r="AD517" i="9"/>
  <c r="G518" i="9" l="1"/>
  <c r="U518" i="9"/>
  <c r="V518" i="9"/>
  <c r="W518" i="9"/>
  <c r="AD518" i="9"/>
  <c r="AC518" i="9"/>
  <c r="AB518" i="9"/>
  <c r="F518" i="9"/>
  <c r="Z518" i="9"/>
  <c r="Y518" i="9"/>
  <c r="T518" i="9"/>
  <c r="X518" i="9"/>
  <c r="C519" i="9"/>
  <c r="E519" i="9" s="1"/>
  <c r="W519" i="9" s="1"/>
  <c r="G519" i="9" l="1"/>
  <c r="AA519" i="9"/>
  <c r="C520" i="9"/>
  <c r="E520" i="9" s="1"/>
  <c r="Y520" i="9" s="1"/>
  <c r="V519" i="9"/>
  <c r="AB519" i="9"/>
  <c r="AC519" i="9"/>
  <c r="F519" i="9"/>
  <c r="Z519" i="9"/>
  <c r="U519" i="9"/>
  <c r="Y519" i="9"/>
  <c r="T519" i="9"/>
  <c r="X519" i="9"/>
  <c r="AD519" i="9"/>
  <c r="G520" i="9" l="1"/>
  <c r="F520" i="9"/>
  <c r="V520" i="9"/>
  <c r="X520" i="9"/>
  <c r="W520" i="9"/>
  <c r="AD520" i="9"/>
  <c r="C521" i="9"/>
  <c r="E521" i="9" s="1"/>
  <c r="AD521" i="9" s="1"/>
  <c r="U520" i="9"/>
  <c r="T520" i="9"/>
  <c r="AC520" i="9"/>
  <c r="AB520" i="9"/>
  <c r="AA520" i="9"/>
  <c r="Z520" i="9"/>
  <c r="G521" i="9" l="1"/>
  <c r="V521" i="9"/>
  <c r="AC521" i="9"/>
  <c r="C522" i="9"/>
  <c r="E522" i="9" s="1"/>
  <c r="Z522" i="9" s="1"/>
  <c r="F521" i="9"/>
  <c r="T521" i="9"/>
  <c r="AB521" i="9"/>
  <c r="AA521" i="9"/>
  <c r="Z521" i="9"/>
  <c r="Y521" i="9"/>
  <c r="X521" i="9"/>
  <c r="W521" i="9"/>
  <c r="U521" i="9"/>
  <c r="G522" i="9" l="1"/>
  <c r="AA522" i="9"/>
  <c r="W522" i="9"/>
  <c r="AD522" i="9"/>
  <c r="F522" i="9"/>
  <c r="C523" i="9"/>
  <c r="E523" i="9" s="1"/>
  <c r="Y523" i="9" s="1"/>
  <c r="V522" i="9"/>
  <c r="U522" i="9"/>
  <c r="AC522" i="9"/>
  <c r="T522" i="9"/>
  <c r="Y522" i="9"/>
  <c r="X522" i="9"/>
  <c r="AB522" i="9"/>
  <c r="G523" i="9" l="1"/>
  <c r="Z523" i="9"/>
  <c r="X523" i="9"/>
  <c r="W523" i="9"/>
  <c r="C524" i="9"/>
  <c r="E524" i="9" s="1"/>
  <c r="Z524" i="9" s="1"/>
  <c r="AD523" i="9"/>
  <c r="V523" i="9"/>
  <c r="U523" i="9"/>
  <c r="AC523" i="9"/>
  <c r="F523" i="9"/>
  <c r="T523" i="9"/>
  <c r="AB523" i="9"/>
  <c r="AA523" i="9"/>
  <c r="G524" i="9" l="1"/>
  <c r="AB524" i="9"/>
  <c r="AC524" i="9"/>
  <c r="AD524" i="9"/>
  <c r="V524" i="9"/>
  <c r="F524" i="9"/>
  <c r="AA524" i="9"/>
  <c r="C525" i="9"/>
  <c r="E525" i="9" s="1"/>
  <c r="Z525" i="9" s="1"/>
  <c r="U524" i="9"/>
  <c r="T524" i="9"/>
  <c r="Y524" i="9"/>
  <c r="X524" i="9"/>
  <c r="W524" i="9"/>
  <c r="G525" i="9" l="1"/>
  <c r="AC525" i="9"/>
  <c r="AA525" i="9"/>
  <c r="C526" i="9"/>
  <c r="E526" i="9" s="1"/>
  <c r="AB526" i="9" s="1"/>
  <c r="F525" i="9"/>
  <c r="W525" i="9"/>
  <c r="AD525" i="9"/>
  <c r="AB525" i="9"/>
  <c r="U525" i="9"/>
  <c r="Y525" i="9"/>
  <c r="X525" i="9"/>
  <c r="V525" i="9"/>
  <c r="T525" i="9"/>
  <c r="G526" i="9" l="1"/>
  <c r="Y526" i="9"/>
  <c r="AA526" i="9"/>
  <c r="Z526" i="9"/>
  <c r="X526" i="9"/>
  <c r="F526" i="9"/>
  <c r="T526" i="9"/>
  <c r="C527" i="9"/>
  <c r="E527" i="9" s="1"/>
  <c r="AA527" i="9" s="1"/>
  <c r="U526" i="9"/>
  <c r="W526" i="9"/>
  <c r="AD526" i="9"/>
  <c r="V526" i="9"/>
  <c r="AC526" i="9"/>
  <c r="G527" i="9" l="1"/>
  <c r="U527" i="9"/>
  <c r="Y527" i="9"/>
  <c r="X527" i="9"/>
  <c r="W527" i="9"/>
  <c r="F527" i="9"/>
  <c r="AD527" i="9"/>
  <c r="Z527" i="9"/>
  <c r="T527" i="9"/>
  <c r="AC527" i="9"/>
  <c r="AB527" i="9"/>
  <c r="V527" i="9"/>
  <c r="C528" i="9"/>
  <c r="E528" i="9" s="1"/>
  <c r="Y528" i="9" s="1"/>
  <c r="G528" i="9" l="1"/>
  <c r="F528" i="9"/>
  <c r="C529" i="9"/>
  <c r="E529" i="9" s="1"/>
  <c r="X529" i="9" s="1"/>
  <c r="T528" i="9"/>
  <c r="U528" i="9"/>
  <c r="AD528" i="9"/>
  <c r="AA528" i="9"/>
  <c r="Z528" i="9"/>
  <c r="X528" i="9"/>
  <c r="W528" i="9"/>
  <c r="AC528" i="9"/>
  <c r="V528" i="9"/>
  <c r="AB528" i="9"/>
  <c r="G529" i="9" l="1"/>
  <c r="W529" i="9"/>
  <c r="V529" i="9"/>
  <c r="AD529" i="9"/>
  <c r="AC529" i="9"/>
  <c r="C530" i="9"/>
  <c r="E530" i="9" s="1"/>
  <c r="AC530" i="9" s="1"/>
  <c r="F529" i="9"/>
  <c r="U529" i="9"/>
  <c r="T529" i="9"/>
  <c r="AB529" i="9"/>
  <c r="AA529" i="9"/>
  <c r="Z529" i="9"/>
  <c r="Y529" i="9"/>
  <c r="G530" i="9" l="1"/>
  <c r="AB530" i="9"/>
  <c r="F530" i="9"/>
  <c r="C531" i="9"/>
  <c r="E531" i="9" s="1"/>
  <c r="Y531" i="9" s="1"/>
  <c r="U530" i="9"/>
  <c r="AA530" i="9"/>
  <c r="Z530" i="9"/>
  <c r="Y530" i="9"/>
  <c r="X530" i="9"/>
  <c r="W530" i="9"/>
  <c r="AD530" i="9"/>
  <c r="V530" i="9"/>
  <c r="T530" i="9"/>
  <c r="G531" i="9" l="1"/>
  <c r="C532" i="9"/>
  <c r="E532" i="9" s="1"/>
  <c r="AD532" i="9" s="1"/>
  <c r="X531" i="9"/>
  <c r="T531" i="9"/>
  <c r="AD531" i="9"/>
  <c r="W531" i="9"/>
  <c r="V531" i="9"/>
  <c r="F531" i="9"/>
  <c r="AC531" i="9"/>
  <c r="AB531" i="9"/>
  <c r="U531" i="9"/>
  <c r="AA531" i="9"/>
  <c r="Z531" i="9"/>
  <c r="G532" i="9" l="1"/>
  <c r="F532" i="9"/>
  <c r="T532" i="9"/>
  <c r="X532" i="9"/>
  <c r="V532" i="9"/>
  <c r="AB532" i="9"/>
  <c r="AC532" i="9"/>
  <c r="C533" i="9"/>
  <c r="E533" i="9" s="1"/>
  <c r="AB533" i="9" s="1"/>
  <c r="U532" i="9"/>
  <c r="AA532" i="9"/>
  <c r="Z532" i="9"/>
  <c r="Y532" i="9"/>
  <c r="W532" i="9"/>
  <c r="G533" i="9" l="1"/>
  <c r="X533" i="9"/>
  <c r="T533" i="9"/>
  <c r="W533" i="9"/>
  <c r="AA533" i="9"/>
  <c r="F533" i="9"/>
  <c r="Z533" i="9"/>
  <c r="AD533" i="9"/>
  <c r="V533" i="9"/>
  <c r="C534" i="9"/>
  <c r="E534" i="9" s="1"/>
  <c r="AD534" i="9" s="1"/>
  <c r="U533" i="9"/>
  <c r="Y533" i="9"/>
  <c r="AC533" i="9"/>
  <c r="G534" i="9" l="1"/>
  <c r="AC534" i="9"/>
  <c r="AA534" i="9"/>
  <c r="V534" i="9"/>
  <c r="AB534" i="9"/>
  <c r="U534" i="9"/>
  <c r="T534" i="9"/>
  <c r="Y534" i="9"/>
  <c r="X534" i="9"/>
  <c r="F534" i="9"/>
  <c r="C535" i="9"/>
  <c r="E535" i="9" s="1"/>
  <c r="AA535" i="9" s="1"/>
  <c r="Z534" i="9"/>
  <c r="W534" i="9"/>
  <c r="G535" i="9" l="1"/>
  <c r="U535" i="9"/>
  <c r="T535" i="9"/>
  <c r="Z535" i="9"/>
  <c r="Y535" i="9"/>
  <c r="F535" i="9"/>
  <c r="AD535" i="9"/>
  <c r="W535" i="9"/>
  <c r="V535" i="9"/>
  <c r="AC535" i="9"/>
  <c r="X535" i="9"/>
  <c r="AB535" i="9"/>
  <c r="C536" i="9"/>
  <c r="E536" i="9" s="1"/>
  <c r="AD536" i="9" s="1"/>
  <c r="G536" i="9" l="1"/>
  <c r="Y536" i="9"/>
  <c r="X536" i="9"/>
  <c r="V536" i="9"/>
  <c r="Z536" i="9"/>
  <c r="F536" i="9"/>
  <c r="U536" i="9"/>
  <c r="W536" i="9"/>
  <c r="AC536" i="9"/>
  <c r="AB536" i="9"/>
  <c r="AA536" i="9"/>
  <c r="C537" i="9"/>
  <c r="E537" i="9" s="1"/>
  <c r="X537" i="9" s="1"/>
  <c r="T536" i="9"/>
  <c r="G537" i="9" l="1"/>
  <c r="F537" i="9"/>
  <c r="U537" i="9"/>
  <c r="W537" i="9"/>
  <c r="T537" i="9"/>
  <c r="AD537" i="9"/>
  <c r="V537" i="9"/>
  <c r="AB537" i="9"/>
  <c r="AC537" i="9"/>
  <c r="AA537" i="9"/>
  <c r="Z537" i="9"/>
  <c r="Y537" i="9"/>
  <c r="C538" i="9"/>
  <c r="E538" i="9" s="1"/>
  <c r="AC538" i="9" s="1"/>
  <c r="G538" i="9" l="1"/>
  <c r="AB538" i="9"/>
  <c r="Y538" i="9"/>
  <c r="AA538" i="9"/>
  <c r="X538" i="9"/>
  <c r="F538" i="9"/>
  <c r="W538" i="9"/>
  <c r="C539" i="9"/>
  <c r="E539" i="9" s="1"/>
  <c r="AD539" i="9" s="1"/>
  <c r="AD538" i="9"/>
  <c r="Z538" i="9"/>
  <c r="U538" i="9"/>
  <c r="V538" i="9"/>
  <c r="T538" i="9"/>
  <c r="G539" i="9" l="1"/>
  <c r="F539" i="9"/>
  <c r="V539" i="9"/>
  <c r="U539" i="9"/>
  <c r="T539" i="9"/>
  <c r="AB539" i="9"/>
  <c r="Z539" i="9"/>
  <c r="Y539" i="9"/>
  <c r="AC539" i="9"/>
  <c r="X539" i="9"/>
  <c r="AA539" i="9"/>
  <c r="W539" i="9"/>
  <c r="C540" i="9"/>
  <c r="E540" i="9" s="1"/>
  <c r="V540" i="9" s="1"/>
  <c r="G540" i="9" l="1"/>
  <c r="AC540" i="9"/>
  <c r="AA540" i="9"/>
  <c r="Z540" i="9"/>
  <c r="U540" i="9"/>
  <c r="C541" i="9"/>
  <c r="E541" i="9" s="1"/>
  <c r="AC541" i="9" s="1"/>
  <c r="AB540" i="9"/>
  <c r="T540" i="9"/>
  <c r="Y540" i="9"/>
  <c r="X540" i="9"/>
  <c r="W540" i="9"/>
  <c r="AD540" i="9"/>
  <c r="F540" i="9"/>
  <c r="G541" i="9" l="1"/>
  <c r="F541" i="9"/>
  <c r="AB541" i="9"/>
  <c r="U541" i="9"/>
  <c r="X541" i="9"/>
  <c r="W541" i="9"/>
  <c r="T541" i="9"/>
  <c r="AD541" i="9"/>
  <c r="AA541" i="9"/>
  <c r="Z541" i="9"/>
  <c r="Y541" i="9"/>
  <c r="V541" i="9"/>
  <c r="C542" i="9"/>
  <c r="E542" i="9" s="1"/>
  <c r="X542" i="9" s="1"/>
  <c r="G542" i="9" l="1"/>
  <c r="AC542" i="9"/>
  <c r="AA542" i="9"/>
  <c r="AB542" i="9"/>
  <c r="C543" i="9"/>
  <c r="E543" i="9" s="1"/>
  <c r="AB543" i="9" s="1"/>
  <c r="U542" i="9"/>
  <c r="T542" i="9"/>
  <c r="Z542" i="9"/>
  <c r="F542" i="9"/>
  <c r="W542" i="9"/>
  <c r="AD542" i="9"/>
  <c r="V542" i="9"/>
  <c r="Y542" i="9"/>
  <c r="G543" i="9" l="1"/>
  <c r="F543" i="9"/>
  <c r="Z543" i="9"/>
  <c r="Y543" i="9"/>
  <c r="W543" i="9"/>
  <c r="T543" i="9"/>
  <c r="AD543" i="9"/>
  <c r="V543" i="9"/>
  <c r="C544" i="9"/>
  <c r="E544" i="9" s="1"/>
  <c r="AB544" i="9" s="1"/>
  <c r="X543" i="9"/>
  <c r="U543" i="9"/>
  <c r="AA543" i="9"/>
  <c r="AC543" i="9"/>
  <c r="G544" i="9" l="1"/>
  <c r="C545" i="9"/>
  <c r="E545" i="9" s="1"/>
  <c r="Y545" i="9" s="1"/>
  <c r="F544" i="9"/>
  <c r="Y544" i="9"/>
  <c r="X544" i="9"/>
  <c r="W544" i="9"/>
  <c r="AD544" i="9"/>
  <c r="U544" i="9"/>
  <c r="T544" i="9"/>
  <c r="V544" i="9"/>
  <c r="AA544" i="9"/>
  <c r="Z544" i="9"/>
  <c r="AC544" i="9"/>
  <c r="G545" i="9" l="1"/>
  <c r="X545" i="9"/>
  <c r="W545" i="9"/>
  <c r="AD545" i="9"/>
  <c r="V545" i="9"/>
  <c r="AC545" i="9"/>
  <c r="C546" i="9"/>
  <c r="E546" i="9" s="1"/>
  <c r="V546" i="9" s="1"/>
  <c r="T545" i="9"/>
  <c r="F545" i="9"/>
  <c r="U545" i="9"/>
  <c r="AB545" i="9"/>
  <c r="Z545" i="9"/>
  <c r="AA545" i="9"/>
  <c r="G546" i="9" l="1"/>
  <c r="AC546" i="9"/>
  <c r="AB546" i="9"/>
  <c r="F546" i="9"/>
  <c r="C547" i="9"/>
  <c r="E547" i="9" s="1"/>
  <c r="AB547" i="9" s="1"/>
  <c r="U546" i="9"/>
  <c r="T546" i="9"/>
  <c r="AA546" i="9"/>
  <c r="Z546" i="9"/>
  <c r="Y546" i="9"/>
  <c r="X546" i="9"/>
  <c r="W546" i="9"/>
  <c r="AD546" i="9"/>
  <c r="G547" i="9" l="1"/>
  <c r="F547" i="9"/>
  <c r="Z547" i="9"/>
  <c r="X547" i="9"/>
  <c r="Y547" i="9"/>
  <c r="W547" i="9"/>
  <c r="AD547" i="9"/>
  <c r="C548" i="9"/>
  <c r="E548" i="9" s="1"/>
  <c r="X548" i="9" s="1"/>
  <c r="V547" i="9"/>
  <c r="U547" i="9"/>
  <c r="AC547" i="9"/>
  <c r="AA547" i="9"/>
  <c r="T547" i="9"/>
  <c r="G548" i="9" l="1"/>
  <c r="AD548" i="9"/>
  <c r="F548" i="9"/>
  <c r="AC548" i="9"/>
  <c r="U548" i="9"/>
  <c r="AB548" i="9"/>
  <c r="T548" i="9"/>
  <c r="AA548" i="9"/>
  <c r="W548" i="9"/>
  <c r="Z548" i="9"/>
  <c r="V548" i="9"/>
  <c r="C549" i="9"/>
  <c r="E549" i="9" s="1"/>
  <c r="AC549" i="9" s="1"/>
  <c r="Y548" i="9"/>
  <c r="G549" i="9" l="1"/>
  <c r="AB549" i="9"/>
  <c r="AA549" i="9"/>
  <c r="Z549" i="9"/>
  <c r="Y549" i="9"/>
  <c r="F549" i="9"/>
  <c r="U549" i="9"/>
  <c r="T549" i="9"/>
  <c r="X549" i="9"/>
  <c r="W549" i="9"/>
  <c r="AD549" i="9"/>
  <c r="V549" i="9"/>
  <c r="C550" i="9"/>
  <c r="E550" i="9" s="1"/>
  <c r="AC550" i="9" s="1"/>
  <c r="G550" i="9" l="1"/>
  <c r="C551" i="9"/>
  <c r="E551" i="9" s="1"/>
  <c r="AB551" i="9" s="1"/>
  <c r="AB550" i="9"/>
  <c r="F550" i="9"/>
  <c r="Y550" i="9"/>
  <c r="T550" i="9"/>
  <c r="Z550" i="9"/>
  <c r="W550" i="9"/>
  <c r="AA550" i="9"/>
  <c r="U550" i="9"/>
  <c r="AD550" i="9"/>
  <c r="X550" i="9"/>
  <c r="V550" i="9"/>
  <c r="G551" i="9" l="1"/>
  <c r="AA551" i="9"/>
  <c r="Z551" i="9"/>
  <c r="Y551" i="9"/>
  <c r="X551" i="9"/>
  <c r="W551" i="9"/>
  <c r="F551" i="9"/>
  <c r="C552" i="9"/>
  <c r="E552" i="9" s="1"/>
  <c r="X552" i="9" s="1"/>
  <c r="U551" i="9"/>
  <c r="T551" i="9"/>
  <c r="AD551" i="9"/>
  <c r="V551" i="9"/>
  <c r="AC551" i="9"/>
  <c r="G552" i="9" l="1"/>
  <c r="V552" i="9"/>
  <c r="U552" i="9"/>
  <c r="T552" i="9"/>
  <c r="AB552" i="9"/>
  <c r="AA552" i="9"/>
  <c r="Z552" i="9"/>
  <c r="AC552" i="9"/>
  <c r="W552" i="9"/>
  <c r="AD552" i="9"/>
  <c r="F552" i="9"/>
  <c r="Y552" i="9"/>
  <c r="C553" i="9"/>
  <c r="E553" i="9" s="1"/>
  <c r="Y553" i="9" s="1"/>
  <c r="G553" i="9" l="1"/>
  <c r="U553" i="9"/>
  <c r="T553" i="9"/>
  <c r="AB553" i="9"/>
  <c r="AA553" i="9"/>
  <c r="F553" i="9"/>
  <c r="X553" i="9"/>
  <c r="W553" i="9"/>
  <c r="C554" i="9"/>
  <c r="E554" i="9" s="1"/>
  <c r="AC554" i="9" s="1"/>
  <c r="AD553" i="9"/>
  <c r="V553" i="9"/>
  <c r="AC553" i="9"/>
  <c r="Z553" i="9"/>
  <c r="G554" i="9" l="1"/>
  <c r="F554" i="9"/>
  <c r="X554" i="9"/>
  <c r="W554" i="9"/>
  <c r="AB554" i="9"/>
  <c r="Y554" i="9"/>
  <c r="AA554" i="9"/>
  <c r="Z554" i="9"/>
  <c r="C555" i="9"/>
  <c r="E555" i="9" s="1"/>
  <c r="W555" i="9" s="1"/>
  <c r="AD554" i="9"/>
  <c r="V554" i="9"/>
  <c r="U554" i="9"/>
  <c r="T554" i="9"/>
  <c r="G555" i="9" l="1"/>
  <c r="C556" i="9"/>
  <c r="E556" i="9" s="1"/>
  <c r="W556" i="9" s="1"/>
  <c r="AB555" i="9"/>
  <c r="U555" i="9"/>
  <c r="T555" i="9"/>
  <c r="Z555" i="9"/>
  <c r="AD555" i="9"/>
  <c r="V555" i="9"/>
  <c r="AC555" i="9"/>
  <c r="F555" i="9"/>
  <c r="AA555" i="9"/>
  <c r="Y555" i="9"/>
  <c r="X555" i="9"/>
  <c r="G556" i="9" l="1"/>
  <c r="F556" i="9"/>
  <c r="V556" i="9"/>
  <c r="AC556" i="9"/>
  <c r="AB556" i="9"/>
  <c r="AA556" i="9"/>
  <c r="Z556" i="9"/>
  <c r="C557" i="9"/>
  <c r="E557" i="9" s="1"/>
  <c r="AB557" i="9" s="1"/>
  <c r="U556" i="9"/>
  <c r="T556" i="9"/>
  <c r="Y556" i="9"/>
  <c r="X556" i="9"/>
  <c r="AD556" i="9"/>
  <c r="G557" i="9" l="1"/>
  <c r="Y557" i="9"/>
  <c r="U557" i="9"/>
  <c r="X557" i="9"/>
  <c r="T557" i="9"/>
  <c r="AA557" i="9"/>
  <c r="W557" i="9"/>
  <c r="Z557" i="9"/>
  <c r="AD557" i="9"/>
  <c r="V557" i="9"/>
  <c r="C558" i="9"/>
  <c r="E558" i="9" s="1"/>
  <c r="AA558" i="9" s="1"/>
  <c r="AC557" i="9"/>
  <c r="F557" i="9"/>
  <c r="G558" i="9" l="1"/>
  <c r="U558" i="9"/>
  <c r="T558" i="9"/>
  <c r="X558" i="9"/>
  <c r="F558" i="9"/>
  <c r="AD558" i="9"/>
  <c r="V558" i="9"/>
  <c r="AC558" i="9"/>
  <c r="Z558" i="9"/>
  <c r="W558" i="9"/>
  <c r="C559" i="9"/>
  <c r="E559" i="9" s="1"/>
  <c r="W559" i="9" s="1"/>
  <c r="Y558" i="9"/>
  <c r="AB558" i="9"/>
  <c r="G559" i="9" l="1"/>
  <c r="V559" i="9"/>
  <c r="AC559" i="9"/>
  <c r="AB559" i="9"/>
  <c r="AA559" i="9"/>
  <c r="Z559" i="9"/>
  <c r="U559" i="9"/>
  <c r="Y559" i="9"/>
  <c r="C560" i="9"/>
  <c r="E560" i="9" s="1"/>
  <c r="Y560" i="9" s="1"/>
  <c r="T559" i="9"/>
  <c r="X559" i="9"/>
  <c r="F559" i="9"/>
  <c r="AD559" i="9"/>
  <c r="G560" i="9" l="1"/>
  <c r="F560" i="9"/>
  <c r="C561" i="9"/>
  <c r="E561" i="9" s="1"/>
  <c r="X561" i="9" s="1"/>
  <c r="U560" i="9"/>
  <c r="V560" i="9"/>
  <c r="X560" i="9"/>
  <c r="W560" i="9"/>
  <c r="T560" i="9"/>
  <c r="AB560" i="9"/>
  <c r="AD560" i="9"/>
  <c r="AC560" i="9"/>
  <c r="AA560" i="9"/>
  <c r="Z560" i="9"/>
  <c r="G561" i="9" l="1"/>
  <c r="T561" i="9"/>
  <c r="W561" i="9"/>
  <c r="V561" i="9"/>
  <c r="AD561" i="9"/>
  <c r="F561" i="9"/>
  <c r="U561" i="9"/>
  <c r="AB561" i="9"/>
  <c r="AC561" i="9"/>
  <c r="AA561" i="9"/>
  <c r="Z561" i="9"/>
  <c r="Y561" i="9"/>
  <c r="C562" i="9"/>
  <c r="E562" i="9" s="1"/>
  <c r="V562" i="9" s="1"/>
  <c r="G562" i="9" l="1"/>
  <c r="T562" i="9"/>
  <c r="Z562" i="9"/>
  <c r="AB562" i="9"/>
  <c r="Y562" i="9"/>
  <c r="X562" i="9"/>
  <c r="F562" i="9"/>
  <c r="W562" i="9"/>
  <c r="AD562" i="9"/>
  <c r="AC562" i="9"/>
  <c r="AA562" i="9"/>
  <c r="C563" i="9"/>
  <c r="E563" i="9" s="1"/>
  <c r="AD563" i="9" s="1"/>
  <c r="U562" i="9"/>
  <c r="G563" i="9" l="1"/>
  <c r="V563" i="9"/>
  <c r="F563" i="9"/>
  <c r="AC563" i="9"/>
  <c r="AB563" i="9"/>
  <c r="AA563" i="9"/>
  <c r="C564" i="9"/>
  <c r="E564" i="9" s="1"/>
  <c r="AB564" i="9" s="1"/>
  <c r="U563" i="9"/>
  <c r="T563" i="9"/>
  <c r="Z563" i="9"/>
  <c r="Y563" i="9"/>
  <c r="X563" i="9"/>
  <c r="W563" i="9"/>
  <c r="G564" i="9" l="1"/>
  <c r="T564" i="9"/>
  <c r="Y564" i="9"/>
  <c r="X564" i="9"/>
  <c r="W564" i="9"/>
  <c r="AA564" i="9"/>
  <c r="AD564" i="9"/>
  <c r="V564" i="9"/>
  <c r="F564" i="9"/>
  <c r="Z564" i="9"/>
  <c r="C565" i="9"/>
  <c r="E565" i="9" s="1"/>
  <c r="Z565" i="9" s="1"/>
  <c r="AC564" i="9"/>
  <c r="U564" i="9"/>
  <c r="G565" i="9" l="1"/>
  <c r="Y565" i="9"/>
  <c r="X565" i="9"/>
  <c r="V565" i="9"/>
  <c r="F565" i="9"/>
  <c r="AB565" i="9"/>
  <c r="AC565" i="9"/>
  <c r="U565" i="9"/>
  <c r="AA565" i="9"/>
  <c r="W565" i="9"/>
  <c r="AD565" i="9"/>
  <c r="C566" i="9"/>
  <c r="E566" i="9" s="1"/>
  <c r="AB566" i="9" s="1"/>
  <c r="T565" i="9"/>
  <c r="G566" i="9" l="1"/>
  <c r="AA566" i="9"/>
  <c r="X566" i="9"/>
  <c r="Z566" i="9"/>
  <c r="Y566" i="9"/>
  <c r="F566" i="9"/>
  <c r="C567" i="9"/>
  <c r="E567" i="9" s="1"/>
  <c r="Z567" i="9" s="1"/>
  <c r="U566" i="9"/>
  <c r="T566" i="9"/>
  <c r="W566" i="9"/>
  <c r="AD566" i="9"/>
  <c r="V566" i="9"/>
  <c r="AC566" i="9"/>
  <c r="G567" i="9" l="1"/>
  <c r="U567" i="9"/>
  <c r="T567" i="9"/>
  <c r="AD567" i="9"/>
  <c r="V567" i="9"/>
  <c r="AC567" i="9"/>
  <c r="AB567" i="9"/>
  <c r="C568" i="9"/>
  <c r="E568" i="9" s="1"/>
  <c r="AB568" i="9" s="1"/>
  <c r="X567" i="9"/>
  <c r="F567" i="9"/>
  <c r="W567" i="9"/>
  <c r="AA567" i="9"/>
  <c r="Y567" i="9"/>
  <c r="G568" i="9" l="1"/>
  <c r="F568" i="9"/>
  <c r="AA568" i="9"/>
  <c r="X568" i="9"/>
  <c r="U568" i="9"/>
  <c r="W568" i="9"/>
  <c r="T568" i="9"/>
  <c r="AD568" i="9"/>
  <c r="V568" i="9"/>
  <c r="Z568" i="9"/>
  <c r="Y568" i="9"/>
  <c r="C569" i="9"/>
  <c r="E569" i="9" s="1"/>
  <c r="X569" i="9" s="1"/>
  <c r="AC568" i="9"/>
  <c r="G569" i="9" l="1"/>
  <c r="W569" i="9"/>
  <c r="AD569" i="9"/>
  <c r="V569" i="9"/>
  <c r="AC569" i="9"/>
  <c r="F569" i="9"/>
  <c r="U569" i="9"/>
  <c r="T569" i="9"/>
  <c r="AB569" i="9"/>
  <c r="AA569" i="9"/>
  <c r="Z569" i="9"/>
  <c r="Y569" i="9"/>
  <c r="C570" i="9"/>
  <c r="E570" i="9" s="1"/>
  <c r="X570" i="9" s="1"/>
  <c r="G570" i="9" l="1"/>
  <c r="F570" i="9"/>
  <c r="V570" i="9"/>
  <c r="T570" i="9"/>
  <c r="C571" i="9"/>
  <c r="E571" i="9" s="1"/>
  <c r="AD571" i="9" s="1"/>
  <c r="Z570" i="9"/>
  <c r="Y570" i="9"/>
  <c r="AD570" i="9"/>
  <c r="U570" i="9"/>
  <c r="AC570" i="9"/>
  <c r="AA570" i="9"/>
  <c r="W570" i="9"/>
  <c r="AB570" i="9"/>
  <c r="G571" i="9" l="1"/>
  <c r="F571" i="9"/>
  <c r="AC571" i="9"/>
  <c r="AB571" i="9"/>
  <c r="Z571" i="9"/>
  <c r="Y571" i="9"/>
  <c r="X571" i="9"/>
  <c r="W571" i="9"/>
  <c r="V571" i="9"/>
  <c r="U571" i="9"/>
  <c r="T571" i="9"/>
  <c r="AA571" i="9"/>
  <c r="C572" i="9"/>
  <c r="E572" i="9" s="1"/>
  <c r="AD572" i="9" s="1"/>
  <c r="G572" i="9" l="1"/>
  <c r="AC572" i="9"/>
  <c r="F572" i="9"/>
  <c r="AA572" i="9"/>
  <c r="Z572" i="9"/>
  <c r="AB572" i="9"/>
  <c r="U572" i="9"/>
  <c r="C573" i="9"/>
  <c r="E573" i="9" s="1"/>
  <c r="V573" i="9" s="1"/>
  <c r="T572" i="9"/>
  <c r="Y572" i="9"/>
  <c r="V572" i="9"/>
  <c r="X572" i="9"/>
  <c r="W572" i="9"/>
  <c r="G573" i="9" l="1"/>
  <c r="AA573" i="9"/>
  <c r="AC573" i="9"/>
  <c r="AB573" i="9"/>
  <c r="C574" i="9"/>
  <c r="E574" i="9" s="1"/>
  <c r="AB574" i="9" s="1"/>
  <c r="F573" i="9"/>
  <c r="T573" i="9"/>
  <c r="X573" i="9"/>
  <c r="Y573" i="9"/>
  <c r="W573" i="9"/>
  <c r="U573" i="9"/>
  <c r="Z573" i="9"/>
  <c r="AD573" i="9"/>
  <c r="G574" i="9" l="1"/>
  <c r="C575" i="9"/>
  <c r="E575" i="9" s="1"/>
  <c r="AB575" i="9" s="1"/>
  <c r="AA574" i="9"/>
  <c r="F574" i="9"/>
  <c r="Z574" i="9"/>
  <c r="U574" i="9"/>
  <c r="T574" i="9"/>
  <c r="Y574" i="9"/>
  <c r="W574" i="9"/>
  <c r="V574" i="9"/>
  <c r="AD574" i="9"/>
  <c r="AC574" i="9"/>
  <c r="X574" i="9"/>
  <c r="G575" i="9" l="1"/>
  <c r="AA575" i="9"/>
  <c r="Z575" i="9"/>
  <c r="Y575" i="9"/>
  <c r="X575" i="9"/>
  <c r="W575" i="9"/>
  <c r="F575" i="9"/>
  <c r="C576" i="9"/>
  <c r="E576" i="9" s="1"/>
  <c r="X576" i="9" s="1"/>
  <c r="U575" i="9"/>
  <c r="T575" i="9"/>
  <c r="AD575" i="9"/>
  <c r="V575" i="9"/>
  <c r="AC575" i="9"/>
  <c r="G576" i="9" l="1"/>
  <c r="V576" i="9"/>
  <c r="C577" i="9"/>
  <c r="E577" i="9" s="1"/>
  <c r="X577" i="9" s="1"/>
  <c r="U576" i="9"/>
  <c r="T576" i="9"/>
  <c r="W576" i="9"/>
  <c r="AD576" i="9"/>
  <c r="AC576" i="9"/>
  <c r="Z576" i="9"/>
  <c r="AB576" i="9"/>
  <c r="AA576" i="9"/>
  <c r="F576" i="9"/>
  <c r="Y576" i="9"/>
  <c r="G577" i="9" l="1"/>
  <c r="AD577" i="9"/>
  <c r="W577" i="9"/>
  <c r="V577" i="9"/>
  <c r="AC577" i="9"/>
  <c r="C578" i="9"/>
  <c r="E578" i="9" s="1"/>
  <c r="AC578" i="9" s="1"/>
  <c r="T577" i="9"/>
  <c r="U577" i="9"/>
  <c r="AA577" i="9"/>
  <c r="AB577" i="9"/>
  <c r="Z577" i="9"/>
  <c r="F577" i="9"/>
  <c r="Y577" i="9"/>
  <c r="G578" i="9" l="1"/>
  <c r="AB578" i="9"/>
  <c r="F578" i="9"/>
  <c r="C579" i="9"/>
  <c r="E579" i="9" s="1"/>
  <c r="Y579" i="9" s="1"/>
  <c r="U578" i="9"/>
  <c r="AA578" i="9"/>
  <c r="Z578" i="9"/>
  <c r="Y578" i="9"/>
  <c r="X578" i="9"/>
  <c r="W578" i="9"/>
  <c r="AD578" i="9"/>
  <c r="V578" i="9"/>
  <c r="T578" i="9"/>
  <c r="G579" i="9" l="1"/>
  <c r="F579" i="9"/>
  <c r="T579" i="9"/>
  <c r="X579" i="9"/>
  <c r="W579" i="9"/>
  <c r="V579" i="9"/>
  <c r="AD579" i="9"/>
  <c r="AC579" i="9"/>
  <c r="C580" i="9"/>
  <c r="E580" i="9" s="1"/>
  <c r="AB580" i="9" s="1"/>
  <c r="AB579" i="9"/>
  <c r="U579" i="9"/>
  <c r="Z579" i="9"/>
  <c r="AA579" i="9"/>
  <c r="G580" i="9" l="1"/>
  <c r="T580" i="9"/>
  <c r="Y580" i="9"/>
  <c r="AD580" i="9"/>
  <c r="AC580" i="9"/>
  <c r="W580" i="9"/>
  <c r="F580" i="9"/>
  <c r="AA580" i="9"/>
  <c r="X580" i="9"/>
  <c r="C581" i="9"/>
  <c r="E581" i="9" s="1"/>
  <c r="V581" i="9" s="1"/>
  <c r="Z580" i="9"/>
  <c r="V580" i="9"/>
  <c r="U580" i="9"/>
  <c r="G581" i="9" l="1"/>
  <c r="F581" i="9"/>
  <c r="AC581" i="9"/>
  <c r="AB581" i="9"/>
  <c r="AA581" i="9"/>
  <c r="Y581" i="9"/>
  <c r="Z581" i="9"/>
  <c r="C582" i="9"/>
  <c r="E582" i="9" s="1"/>
  <c r="X582" i="9" s="1"/>
  <c r="U581" i="9"/>
  <c r="T581" i="9"/>
  <c r="X581" i="9"/>
  <c r="AD581" i="9"/>
  <c r="W581" i="9"/>
  <c r="G582" i="9" l="1"/>
  <c r="AD582" i="9"/>
  <c r="V582" i="9"/>
  <c r="AC582" i="9"/>
  <c r="F582" i="9"/>
  <c r="AA582" i="9"/>
  <c r="AB582" i="9"/>
  <c r="C583" i="9"/>
  <c r="E583" i="9" s="1"/>
  <c r="AA583" i="9" s="1"/>
  <c r="Z582" i="9"/>
  <c r="W582" i="9"/>
  <c r="U582" i="9"/>
  <c r="T582" i="9"/>
  <c r="Y582" i="9"/>
  <c r="G583" i="9" l="1"/>
  <c r="F583" i="9"/>
  <c r="X583" i="9"/>
  <c r="Z583" i="9"/>
  <c r="U583" i="9"/>
  <c r="AD583" i="9"/>
  <c r="T583" i="9"/>
  <c r="W583" i="9"/>
  <c r="V583" i="9"/>
  <c r="AC583" i="9"/>
  <c r="Y583" i="9"/>
  <c r="AB583" i="9"/>
  <c r="C584" i="9"/>
  <c r="E584" i="9" s="1"/>
  <c r="Y584" i="9" s="1"/>
  <c r="G584" i="9" l="1"/>
  <c r="X584" i="9"/>
  <c r="U584" i="9"/>
  <c r="V584" i="9"/>
  <c r="C585" i="9"/>
  <c r="E585" i="9" s="1"/>
  <c r="X585" i="9" s="1"/>
  <c r="T584" i="9"/>
  <c r="W584" i="9"/>
  <c r="AD584" i="9"/>
  <c r="AC584" i="9"/>
  <c r="AB584" i="9"/>
  <c r="AA584" i="9"/>
  <c r="Z584" i="9"/>
  <c r="F584" i="9"/>
  <c r="G585" i="9" l="1"/>
  <c r="F585" i="9"/>
  <c r="W585" i="9"/>
  <c r="U585" i="9"/>
  <c r="T585" i="9"/>
  <c r="AD585" i="9"/>
  <c r="V585" i="9"/>
  <c r="AB585" i="9"/>
  <c r="AA585" i="9"/>
  <c r="AC585" i="9"/>
  <c r="Z585" i="9"/>
  <c r="Y585" i="9"/>
  <c r="C586" i="9"/>
  <c r="E586" i="9" s="1"/>
  <c r="W586" i="9" s="1"/>
  <c r="G586" i="9" l="1"/>
  <c r="V586" i="9"/>
  <c r="AC586" i="9"/>
  <c r="AB586" i="9"/>
  <c r="F586" i="9"/>
  <c r="C9" i="17" s="1"/>
  <c r="U586" i="9"/>
  <c r="T586" i="9"/>
  <c r="AA586" i="9"/>
  <c r="B9" i="17"/>
  <c r="AD586" i="9"/>
  <c r="Z586" i="9"/>
  <c r="Y586" i="9"/>
  <c r="X586" i="9"/>
  <c r="L7" i="17" l="1"/>
  <c r="R7" i="17" s="1"/>
  <c r="E12" i="17" s="1"/>
  <c r="I9" i="17"/>
  <c r="D12" i="17" s="1"/>
  <c r="D151" i="13" l="1"/>
  <c r="M100" i="15"/>
  <c r="M99" i="15"/>
  <c r="M98" i="15"/>
  <c r="M97" i="15"/>
  <c r="M96" i="15"/>
  <c r="M95" i="15"/>
  <c r="M94" i="15"/>
  <c r="M93" i="15"/>
  <c r="M92" i="15"/>
  <c r="M91" i="15"/>
  <c r="M90" i="15"/>
  <c r="M89" i="15"/>
  <c r="M88" i="15"/>
  <c r="M87" i="15"/>
  <c r="M82" i="15"/>
  <c r="M81" i="15"/>
  <c r="M80" i="15"/>
  <c r="M79" i="15"/>
  <c r="M78" i="15"/>
  <c r="M77" i="15"/>
  <c r="M76" i="15"/>
  <c r="Q77" i="15"/>
  <c r="Q76" i="15"/>
  <c r="Q108" i="15"/>
  <c r="M29" i="15"/>
  <c r="M30" i="15"/>
  <c r="M31" i="15"/>
  <c r="M32" i="15"/>
  <c r="M33" i="15"/>
  <c r="M28" i="15"/>
  <c r="M22" i="15"/>
  <c r="M23" i="15"/>
  <c r="M21" i="15"/>
  <c r="Q114" i="15"/>
  <c r="Q113" i="15"/>
  <c r="Q112" i="15"/>
  <c r="Q111" i="15"/>
  <c r="Q110" i="15"/>
  <c r="Q109" i="15"/>
  <c r="Q82" i="15"/>
  <c r="Q81" i="15"/>
  <c r="Q80" i="15"/>
  <c r="Q79" i="15"/>
  <c r="Q78" i="15"/>
  <c r="D76" i="15"/>
  <c r="B76" i="15"/>
  <c r="B108" i="15" s="1"/>
  <c r="D108" i="15" s="1"/>
  <c r="E108" i="15" s="1"/>
  <c r="G108" i="15" s="1"/>
  <c r="C62" i="15"/>
  <c r="B62" i="15"/>
  <c r="C61" i="15"/>
  <c r="B60" i="15"/>
  <c r="Q43" i="15"/>
  <c r="Q42" i="15"/>
  <c r="Q41" i="15"/>
  <c r="Q23" i="15"/>
  <c r="Q22" i="15"/>
  <c r="Q21" i="15"/>
  <c r="B21" i="15"/>
  <c r="B7" i="15"/>
  <c r="C7" i="15" s="1"/>
  <c r="C6" i="15"/>
  <c r="B5" i="15"/>
  <c r="B109" i="15" l="1"/>
  <c r="C76" i="15"/>
  <c r="F76" i="15" s="1"/>
  <c r="B28" i="15"/>
  <c r="D21" i="15"/>
  <c r="C21" i="15"/>
  <c r="F21" i="15" s="1"/>
  <c r="B77" i="15"/>
  <c r="E76" i="15"/>
  <c r="G76" i="15" s="1"/>
  <c r="B41" i="15"/>
  <c r="D109" i="15"/>
  <c r="C109" i="15"/>
  <c r="F109" i="15" s="1"/>
  <c r="C108" i="15"/>
  <c r="F108" i="15" s="1"/>
  <c r="H108" i="15" s="1"/>
  <c r="B87" i="15"/>
  <c r="J108" i="15" l="1"/>
  <c r="P108" i="15"/>
  <c r="I76" i="15"/>
  <c r="H76" i="15"/>
  <c r="D77" i="15"/>
  <c r="C77" i="15"/>
  <c r="F77" i="15" s="1"/>
  <c r="E21" i="15"/>
  <c r="G21" i="15" s="1"/>
  <c r="B22" i="15"/>
  <c r="B119" i="15"/>
  <c r="C87" i="15"/>
  <c r="F87" i="15" s="1"/>
  <c r="D87" i="15"/>
  <c r="I108" i="15"/>
  <c r="E109" i="15"/>
  <c r="G109" i="15" s="1"/>
  <c r="I109" i="15" s="1"/>
  <c r="B110" i="15"/>
  <c r="D41" i="15"/>
  <c r="C41" i="15"/>
  <c r="F41" i="15" s="1"/>
  <c r="B48" i="15"/>
  <c r="D28" i="15"/>
  <c r="C28" i="15"/>
  <c r="F28" i="15" s="1"/>
  <c r="I156" i="13"/>
  <c r="I157" i="13"/>
  <c r="I158" i="13"/>
  <c r="I159" i="13"/>
  <c r="I160" i="13"/>
  <c r="I161" i="13"/>
  <c r="I162" i="13"/>
  <c r="I163" i="13"/>
  <c r="I164" i="13"/>
  <c r="I165" i="13"/>
  <c r="I166" i="13"/>
  <c r="I167" i="13"/>
  <c r="I168" i="13"/>
  <c r="I155" i="13"/>
  <c r="I154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35" i="13"/>
  <c r="H109" i="15" l="1"/>
  <c r="D22" i="15"/>
  <c r="C22" i="15"/>
  <c r="F22" i="15" s="1"/>
  <c r="D110" i="15"/>
  <c r="C110" i="15"/>
  <c r="F110" i="15" s="1"/>
  <c r="E77" i="15"/>
  <c r="G77" i="15" s="1"/>
  <c r="I77" i="15" s="1"/>
  <c r="B78" i="15"/>
  <c r="E28" i="15"/>
  <c r="G28" i="15" s="1"/>
  <c r="B29" i="15"/>
  <c r="E41" i="15"/>
  <c r="G41" i="15" s="1"/>
  <c r="B42" i="15"/>
  <c r="J76" i="15"/>
  <c r="P76" i="15"/>
  <c r="P109" i="15"/>
  <c r="J109" i="15"/>
  <c r="B88" i="15"/>
  <c r="E87" i="15"/>
  <c r="G87" i="15" s="1"/>
  <c r="D48" i="15"/>
  <c r="C48" i="15"/>
  <c r="F48" i="15" s="1"/>
  <c r="D119" i="15"/>
  <c r="C119" i="15"/>
  <c r="F119" i="15" s="1"/>
  <c r="I21" i="15"/>
  <c r="H21" i="15"/>
  <c r="H77" i="15" l="1"/>
  <c r="J21" i="15"/>
  <c r="P21" i="15"/>
  <c r="D42" i="15"/>
  <c r="C42" i="15"/>
  <c r="F42" i="15" s="1"/>
  <c r="E119" i="15"/>
  <c r="G119" i="15" s="1"/>
  <c r="B120" i="15"/>
  <c r="I28" i="15"/>
  <c r="P28" i="15" s="1"/>
  <c r="H28" i="15"/>
  <c r="D29" i="15"/>
  <c r="C29" i="15"/>
  <c r="F29" i="15" s="1"/>
  <c r="D78" i="15"/>
  <c r="C78" i="15"/>
  <c r="F78" i="15" s="1"/>
  <c r="I41" i="15"/>
  <c r="H41" i="15"/>
  <c r="E48" i="15"/>
  <c r="G48" i="15" s="1"/>
  <c r="B49" i="15"/>
  <c r="J77" i="15"/>
  <c r="P77" i="15"/>
  <c r="E110" i="15"/>
  <c r="G110" i="15" s="1"/>
  <c r="B111" i="15"/>
  <c r="I87" i="15"/>
  <c r="P87" i="15" s="1"/>
  <c r="H87" i="15"/>
  <c r="D88" i="15"/>
  <c r="C88" i="15"/>
  <c r="F88" i="15" s="1"/>
  <c r="E22" i="15"/>
  <c r="G22" i="15" s="1"/>
  <c r="I22" i="15" s="1"/>
  <c r="B23" i="15"/>
  <c r="H22" i="15" l="1"/>
  <c r="D138" i="15"/>
  <c r="J28" i="15"/>
  <c r="P41" i="15"/>
  <c r="J41" i="15"/>
  <c r="D120" i="15"/>
  <c r="C120" i="15"/>
  <c r="F120" i="15" s="1"/>
  <c r="I110" i="15"/>
  <c r="H110" i="15"/>
  <c r="I119" i="15"/>
  <c r="P119" i="15" s="1"/>
  <c r="H119" i="15"/>
  <c r="J87" i="15"/>
  <c r="D49" i="15"/>
  <c r="C49" i="15"/>
  <c r="F49" i="15" s="1"/>
  <c r="J22" i="15"/>
  <c r="P22" i="15"/>
  <c r="D111" i="15"/>
  <c r="C111" i="15"/>
  <c r="F111" i="15" s="1"/>
  <c r="D23" i="15"/>
  <c r="E23" i="15" s="1"/>
  <c r="G23" i="15" s="1"/>
  <c r="C23" i="15"/>
  <c r="F23" i="15" s="1"/>
  <c r="E78" i="15"/>
  <c r="G78" i="15" s="1"/>
  <c r="B79" i="15"/>
  <c r="E42" i="15"/>
  <c r="G42" i="15" s="1"/>
  <c r="I42" i="15" s="1"/>
  <c r="B43" i="15"/>
  <c r="E88" i="15"/>
  <c r="G88" i="15" s="1"/>
  <c r="I88" i="15" s="1"/>
  <c r="P88" i="15" s="1"/>
  <c r="B89" i="15"/>
  <c r="E29" i="15"/>
  <c r="G29" i="15" s="1"/>
  <c r="I29" i="15" s="1"/>
  <c r="P29" i="15" s="1"/>
  <c r="B30" i="15"/>
  <c r="I48" i="15"/>
  <c r="P48" i="15" s="1"/>
  <c r="H48" i="15"/>
  <c r="I23" i="15" l="1"/>
  <c r="C89" i="15"/>
  <c r="F89" i="15" s="1"/>
  <c r="D89" i="15"/>
  <c r="E111" i="15"/>
  <c r="G111" i="15" s="1"/>
  <c r="I111" i="15" s="1"/>
  <c r="B112" i="15"/>
  <c r="H88" i="15"/>
  <c r="B50" i="15"/>
  <c r="E49" i="15"/>
  <c r="G49" i="15" s="1"/>
  <c r="I49" i="15" s="1"/>
  <c r="P49" i="15" s="1"/>
  <c r="C43" i="15"/>
  <c r="F43" i="15" s="1"/>
  <c r="D43" i="15"/>
  <c r="E43" i="15" s="1"/>
  <c r="G43" i="15" s="1"/>
  <c r="I43" i="15" s="1"/>
  <c r="J119" i="15"/>
  <c r="D30" i="15"/>
  <c r="C30" i="15"/>
  <c r="F30" i="15" s="1"/>
  <c r="J48" i="15"/>
  <c r="D79" i="15"/>
  <c r="C79" i="15"/>
  <c r="F79" i="15" s="1"/>
  <c r="H23" i="15"/>
  <c r="P110" i="15"/>
  <c r="J110" i="15"/>
  <c r="H42" i="15"/>
  <c r="I78" i="15"/>
  <c r="H78" i="15"/>
  <c r="H29" i="15"/>
  <c r="E120" i="15"/>
  <c r="G120" i="15" s="1"/>
  <c r="I120" i="15" s="1"/>
  <c r="P120" i="15" s="1"/>
  <c r="B121" i="15"/>
  <c r="H120" i="15" l="1"/>
  <c r="C50" i="15"/>
  <c r="F50" i="15" s="1"/>
  <c r="D50" i="15"/>
  <c r="H111" i="15"/>
  <c r="H49" i="15"/>
  <c r="D121" i="15"/>
  <c r="C121" i="15"/>
  <c r="F121" i="15" s="1"/>
  <c r="J88" i="15"/>
  <c r="E79" i="15"/>
  <c r="G79" i="15" s="1"/>
  <c r="I79" i="15" s="1"/>
  <c r="B80" i="15"/>
  <c r="E30" i="15"/>
  <c r="G30" i="15" s="1"/>
  <c r="I30" i="15" s="1"/>
  <c r="P30" i="15" s="1"/>
  <c r="B31" i="15"/>
  <c r="D112" i="15"/>
  <c r="C112" i="15"/>
  <c r="F112" i="15" s="1"/>
  <c r="P23" i="15"/>
  <c r="J23" i="15"/>
  <c r="D140" i="15"/>
  <c r="J29" i="15"/>
  <c r="J120" i="15"/>
  <c r="P78" i="15"/>
  <c r="J78" i="15"/>
  <c r="E89" i="15"/>
  <c r="G89" i="15" s="1"/>
  <c r="I89" i="15" s="1"/>
  <c r="P89" i="15" s="1"/>
  <c r="B90" i="15"/>
  <c r="P42" i="15"/>
  <c r="J42" i="15"/>
  <c r="H43" i="15"/>
  <c r="H30" i="15" l="1"/>
  <c r="H89" i="15"/>
  <c r="H79" i="15"/>
  <c r="D80" i="15"/>
  <c r="C80" i="15"/>
  <c r="F80" i="15" s="1"/>
  <c r="E112" i="15"/>
  <c r="G112" i="15" s="1"/>
  <c r="I112" i="15" s="1"/>
  <c r="B113" i="15"/>
  <c r="E121" i="15"/>
  <c r="G121" i="15" s="1"/>
  <c r="B122" i="15"/>
  <c r="D90" i="15"/>
  <c r="C90" i="15"/>
  <c r="F90" i="15" s="1"/>
  <c r="C31" i="15"/>
  <c r="F31" i="15" s="1"/>
  <c r="D31" i="15"/>
  <c r="J49" i="15"/>
  <c r="J111" i="15"/>
  <c r="P111" i="15"/>
  <c r="B51" i="15"/>
  <c r="E50" i="15"/>
  <c r="G50" i="15" s="1"/>
  <c r="I50" i="15" s="1"/>
  <c r="P50" i="15" s="1"/>
  <c r="J43" i="15"/>
  <c r="P43" i="15"/>
  <c r="D142" i="15" l="1"/>
  <c r="J30" i="15"/>
  <c r="I121" i="15"/>
  <c r="P121" i="15" s="1"/>
  <c r="H121" i="15"/>
  <c r="H50" i="15"/>
  <c r="D113" i="15"/>
  <c r="C113" i="15"/>
  <c r="F113" i="15" s="1"/>
  <c r="B32" i="15"/>
  <c r="E31" i="15"/>
  <c r="G31" i="15" s="1"/>
  <c r="I31" i="15" s="1"/>
  <c r="P31" i="15" s="1"/>
  <c r="D122" i="15"/>
  <c r="C122" i="15"/>
  <c r="F122" i="15" s="1"/>
  <c r="B81" i="15"/>
  <c r="E80" i="15"/>
  <c r="G80" i="15" s="1"/>
  <c r="I80" i="15" s="1"/>
  <c r="H112" i="15"/>
  <c r="P79" i="15"/>
  <c r="J79" i="15"/>
  <c r="D51" i="15"/>
  <c r="C51" i="15"/>
  <c r="F51" i="15" s="1"/>
  <c r="E90" i="15"/>
  <c r="G90" i="15" s="1"/>
  <c r="I90" i="15" s="1"/>
  <c r="P90" i="15" s="1"/>
  <c r="B91" i="15"/>
  <c r="J89" i="15"/>
  <c r="D91" i="15" l="1"/>
  <c r="C91" i="15"/>
  <c r="F91" i="15" s="1"/>
  <c r="J112" i="15"/>
  <c r="P112" i="15"/>
  <c r="E113" i="15"/>
  <c r="G113" i="15" s="1"/>
  <c r="I113" i="15" s="1"/>
  <c r="B114" i="15"/>
  <c r="C81" i="15"/>
  <c r="F81" i="15" s="1"/>
  <c r="D81" i="15"/>
  <c r="J121" i="15"/>
  <c r="J50" i="15"/>
  <c r="E51" i="15"/>
  <c r="G51" i="15" s="1"/>
  <c r="I51" i="15" s="1"/>
  <c r="P51" i="15" s="1"/>
  <c r="B52" i="15"/>
  <c r="E122" i="15"/>
  <c r="G122" i="15" s="1"/>
  <c r="I122" i="15" s="1"/>
  <c r="P122" i="15" s="1"/>
  <c r="B123" i="15"/>
  <c r="H80" i="15"/>
  <c r="D32" i="15"/>
  <c r="C32" i="15"/>
  <c r="F32" i="15" s="1"/>
  <c r="H90" i="15"/>
  <c r="H31" i="15"/>
  <c r="H51" i="15" l="1"/>
  <c r="E32" i="15"/>
  <c r="G32" i="15" s="1"/>
  <c r="I32" i="15" s="1"/>
  <c r="P32" i="15" s="1"/>
  <c r="B33" i="15"/>
  <c r="H113" i="15"/>
  <c r="D144" i="15"/>
  <c r="J31" i="15"/>
  <c r="D114" i="15"/>
  <c r="E114" i="15" s="1"/>
  <c r="G114" i="15" s="1"/>
  <c r="I114" i="15" s="1"/>
  <c r="C114" i="15"/>
  <c r="F114" i="15" s="1"/>
  <c r="J90" i="15"/>
  <c r="J80" i="15"/>
  <c r="P80" i="15"/>
  <c r="H122" i="15"/>
  <c r="D52" i="15"/>
  <c r="C52" i="15"/>
  <c r="F52" i="15" s="1"/>
  <c r="D123" i="15"/>
  <c r="C123" i="15"/>
  <c r="F123" i="15" s="1"/>
  <c r="B82" i="15"/>
  <c r="E81" i="15"/>
  <c r="G81" i="15" s="1"/>
  <c r="I81" i="15" s="1"/>
  <c r="E91" i="15"/>
  <c r="G91" i="15" s="1"/>
  <c r="I91" i="15" s="1"/>
  <c r="P91" i="15" s="1"/>
  <c r="B92" i="15"/>
  <c r="H32" i="15" l="1"/>
  <c r="D92" i="15"/>
  <c r="C92" i="15"/>
  <c r="F92" i="15" s="1"/>
  <c r="D82" i="15"/>
  <c r="E82" i="15" s="1"/>
  <c r="G82" i="15" s="1"/>
  <c r="I82" i="15" s="1"/>
  <c r="C82" i="15"/>
  <c r="F82" i="15" s="1"/>
  <c r="H81" i="15"/>
  <c r="J113" i="15"/>
  <c r="H114" i="15"/>
  <c r="P113" i="15"/>
  <c r="J122" i="15"/>
  <c r="E123" i="15"/>
  <c r="G123" i="15" s="1"/>
  <c r="I123" i="15" s="1"/>
  <c r="P123" i="15" s="1"/>
  <c r="B124" i="15"/>
  <c r="H91" i="15"/>
  <c r="D33" i="15"/>
  <c r="E33" i="15" s="1"/>
  <c r="G33" i="15" s="1"/>
  <c r="C33" i="15"/>
  <c r="F33" i="15" s="1"/>
  <c r="E52" i="15"/>
  <c r="G52" i="15" s="1"/>
  <c r="I52" i="15" s="1"/>
  <c r="P52" i="15" s="1"/>
  <c r="B53" i="15"/>
  <c r="J51" i="15"/>
  <c r="I33" i="15" l="1"/>
  <c r="P33" i="15" s="1"/>
  <c r="J91" i="15"/>
  <c r="H52" i="15"/>
  <c r="D124" i="15"/>
  <c r="C124" i="15"/>
  <c r="F124" i="15" s="1"/>
  <c r="J81" i="15"/>
  <c r="P81" i="15"/>
  <c r="H82" i="15"/>
  <c r="D53" i="15"/>
  <c r="E53" i="15" s="1"/>
  <c r="G53" i="15" s="1"/>
  <c r="I53" i="15" s="1"/>
  <c r="P53" i="15" s="1"/>
  <c r="C53" i="15"/>
  <c r="F53" i="15" s="1"/>
  <c r="B93" i="15"/>
  <c r="E92" i="15"/>
  <c r="G92" i="15" s="1"/>
  <c r="I92" i="15" s="1"/>
  <c r="P92" i="15" s="1"/>
  <c r="H123" i="15"/>
  <c r="J114" i="15"/>
  <c r="P114" i="15"/>
  <c r="D146" i="15"/>
  <c r="J32" i="15"/>
  <c r="H33" i="15"/>
  <c r="D148" i="15" l="1"/>
  <c r="J33" i="15"/>
  <c r="C93" i="15"/>
  <c r="F93" i="15" s="1"/>
  <c r="D93" i="15"/>
  <c r="E124" i="15"/>
  <c r="G124" i="15" s="1"/>
  <c r="I124" i="15" s="1"/>
  <c r="P124" i="15" s="1"/>
  <c r="B125" i="15"/>
  <c r="J52" i="15"/>
  <c r="H53" i="15"/>
  <c r="J123" i="15"/>
  <c r="J82" i="15"/>
  <c r="P82" i="15"/>
  <c r="H92" i="15"/>
  <c r="J53" i="15" l="1"/>
  <c r="J92" i="15"/>
  <c r="D125" i="15"/>
  <c r="C125" i="15"/>
  <c r="F125" i="15" s="1"/>
  <c r="E93" i="15"/>
  <c r="G93" i="15" s="1"/>
  <c r="I93" i="15" s="1"/>
  <c r="P93" i="15" s="1"/>
  <c r="B94" i="15"/>
  <c r="H124" i="15"/>
  <c r="B126" i="15" l="1"/>
  <c r="E125" i="15"/>
  <c r="G125" i="15" s="1"/>
  <c r="I125" i="15" s="1"/>
  <c r="P125" i="15" s="1"/>
  <c r="D94" i="15"/>
  <c r="C94" i="15"/>
  <c r="F94" i="15" s="1"/>
  <c r="H93" i="15"/>
  <c r="J124" i="15"/>
  <c r="H125" i="15" l="1"/>
  <c r="J93" i="15"/>
  <c r="B95" i="15"/>
  <c r="E94" i="15"/>
  <c r="G94" i="15" s="1"/>
  <c r="I94" i="15" s="1"/>
  <c r="P94" i="15" s="1"/>
  <c r="C126" i="15"/>
  <c r="F126" i="15" s="1"/>
  <c r="D126" i="15"/>
  <c r="C95" i="15" l="1"/>
  <c r="F95" i="15" s="1"/>
  <c r="D95" i="15"/>
  <c r="H94" i="15"/>
  <c r="B127" i="15"/>
  <c r="E126" i="15"/>
  <c r="G126" i="15" s="1"/>
  <c r="I126" i="15" s="1"/>
  <c r="P126" i="15" s="1"/>
  <c r="D150" i="15"/>
  <c r="J125" i="15"/>
  <c r="H126" i="15" l="1"/>
  <c r="D127" i="15"/>
  <c r="C127" i="15"/>
  <c r="F127" i="15" s="1"/>
  <c r="J94" i="15"/>
  <c r="B96" i="15"/>
  <c r="E95" i="15"/>
  <c r="G95" i="15" s="1"/>
  <c r="I95" i="15" s="1"/>
  <c r="P95" i="15" s="1"/>
  <c r="D96" i="15" l="1"/>
  <c r="C96" i="15"/>
  <c r="F96" i="15" s="1"/>
  <c r="H95" i="15"/>
  <c r="E127" i="15"/>
  <c r="G127" i="15" s="1"/>
  <c r="I127" i="15" s="1"/>
  <c r="P127" i="15" s="1"/>
  <c r="B128" i="15"/>
  <c r="J126" i="15"/>
  <c r="D152" i="15"/>
  <c r="H127" i="15" l="1"/>
  <c r="D128" i="15"/>
  <c r="C128" i="15"/>
  <c r="F128" i="15" s="1"/>
  <c r="J95" i="15"/>
  <c r="E96" i="15"/>
  <c r="G96" i="15" s="1"/>
  <c r="I96" i="15" s="1"/>
  <c r="P96" i="15" s="1"/>
  <c r="B97" i="15"/>
  <c r="H96" i="15" l="1"/>
  <c r="E128" i="15"/>
  <c r="G128" i="15" s="1"/>
  <c r="I128" i="15" s="1"/>
  <c r="P128" i="15" s="1"/>
  <c r="B129" i="15"/>
  <c r="C97" i="15"/>
  <c r="F97" i="15" s="1"/>
  <c r="D97" i="15"/>
  <c r="J127" i="15"/>
  <c r="D154" i="15"/>
  <c r="H128" i="15" l="1"/>
  <c r="E97" i="15"/>
  <c r="G97" i="15" s="1"/>
  <c r="I97" i="15" s="1"/>
  <c r="P97" i="15" s="1"/>
  <c r="B98" i="15"/>
  <c r="D129" i="15"/>
  <c r="C129" i="15"/>
  <c r="F129" i="15" s="1"/>
  <c r="J96" i="15"/>
  <c r="E129" i="15" l="1"/>
  <c r="G129" i="15" s="1"/>
  <c r="I129" i="15" s="1"/>
  <c r="P129" i="15" s="1"/>
  <c r="B130" i="15"/>
  <c r="D98" i="15"/>
  <c r="C98" i="15"/>
  <c r="F98" i="15" s="1"/>
  <c r="H97" i="15"/>
  <c r="D156" i="15"/>
  <c r="J128" i="15"/>
  <c r="H129" i="15" l="1"/>
  <c r="J97" i="15"/>
  <c r="E98" i="15"/>
  <c r="G98" i="15" s="1"/>
  <c r="I98" i="15" s="1"/>
  <c r="P98" i="15" s="1"/>
  <c r="B99" i="15"/>
  <c r="D130" i="15"/>
  <c r="C130" i="15"/>
  <c r="F130" i="15" s="1"/>
  <c r="D99" i="15" l="1"/>
  <c r="C99" i="15"/>
  <c r="F99" i="15" s="1"/>
  <c r="H98" i="15"/>
  <c r="E130" i="15"/>
  <c r="G130" i="15" s="1"/>
  <c r="I130" i="15" s="1"/>
  <c r="P130" i="15" s="1"/>
  <c r="B131" i="15"/>
  <c r="D158" i="15"/>
  <c r="J129" i="15"/>
  <c r="D131" i="15" l="1"/>
  <c r="C131" i="15"/>
  <c r="F131" i="15" s="1"/>
  <c r="H130" i="15"/>
  <c r="J98" i="15"/>
  <c r="E99" i="15"/>
  <c r="G99" i="15" s="1"/>
  <c r="I99" i="15" s="1"/>
  <c r="P99" i="15" s="1"/>
  <c r="B100" i="15"/>
  <c r="H99" i="15" l="1"/>
  <c r="J130" i="15"/>
  <c r="D160" i="15"/>
  <c r="D100" i="15"/>
  <c r="E100" i="15" s="1"/>
  <c r="G100" i="15" s="1"/>
  <c r="C100" i="15"/>
  <c r="F100" i="15" s="1"/>
  <c r="E131" i="15"/>
  <c r="G131" i="15" s="1"/>
  <c r="I131" i="15" s="1"/>
  <c r="P131" i="15" s="1"/>
  <c r="B132" i="15"/>
  <c r="D132" i="15" l="1"/>
  <c r="E132" i="15" s="1"/>
  <c r="G132" i="15" s="1"/>
  <c r="I132" i="15" s="1"/>
  <c r="P132" i="15" s="1"/>
  <c r="C132" i="15"/>
  <c r="F132" i="15" s="1"/>
  <c r="H131" i="15"/>
  <c r="I100" i="15"/>
  <c r="P100" i="15" s="1"/>
  <c r="H100" i="15"/>
  <c r="J100" i="15" s="1"/>
  <c r="J99" i="15"/>
  <c r="D162" i="15" l="1"/>
  <c r="J131" i="15"/>
  <c r="H132" i="15"/>
  <c r="D164" i="15" s="1"/>
  <c r="J132" i="15" l="1"/>
  <c r="J104" i="1" l="1"/>
  <c r="J105" i="1"/>
  <c r="J106" i="1"/>
  <c r="J107" i="1"/>
  <c r="J103" i="1"/>
  <c r="J102" i="1"/>
  <c r="N102" i="1"/>
  <c r="Y103" i="1"/>
  <c r="Y104" i="1" s="1"/>
  <c r="Y105" i="1" s="1"/>
  <c r="Y106" i="1" s="1"/>
  <c r="Y107" i="1" s="1"/>
  <c r="R103" i="1"/>
  <c r="R104" i="1" s="1"/>
  <c r="R105" i="1" s="1"/>
  <c r="R106" i="1" s="1"/>
  <c r="R107" i="1" s="1"/>
  <c r="J92" i="1"/>
  <c r="J94" i="1"/>
  <c r="J95" i="1"/>
  <c r="J96" i="1"/>
  <c r="J97" i="1"/>
  <c r="J93" i="1"/>
  <c r="N112" i="1"/>
  <c r="N92" i="1"/>
  <c r="Y113" i="1"/>
  <c r="Y114" i="1" s="1"/>
  <c r="Y115" i="1" s="1"/>
  <c r="Y93" i="1"/>
  <c r="Y94" i="1" s="1"/>
  <c r="Y95" i="1" s="1"/>
  <c r="V83" i="1"/>
  <c r="V84" i="1" s="1"/>
  <c r="V85" i="1" s="1"/>
  <c r="R113" i="1"/>
  <c r="R114" i="1" s="1"/>
  <c r="R115" i="1" s="1"/>
  <c r="R116" i="1" s="1"/>
  <c r="R117" i="1" s="1"/>
  <c r="R93" i="1"/>
  <c r="R94" i="1" s="1"/>
  <c r="R95" i="1" s="1"/>
  <c r="R96" i="1" s="1"/>
  <c r="R97" i="1" s="1"/>
  <c r="O83" i="1"/>
  <c r="O84" i="1" s="1"/>
  <c r="O85" i="1" s="1"/>
  <c r="O86" i="1" s="1"/>
  <c r="O87" i="1" s="1"/>
  <c r="K82" i="1"/>
  <c r="V73" i="1"/>
  <c r="V74" i="1" s="1"/>
  <c r="V75" i="1" s="1"/>
  <c r="O73" i="1"/>
  <c r="O74" i="1" s="1"/>
  <c r="O75" i="1" s="1"/>
  <c r="O76" i="1" s="1"/>
  <c r="F10" i="11"/>
  <c r="F5" i="11"/>
  <c r="H10" i="11" s="1"/>
  <c r="G11" i="11"/>
  <c r="G6" i="11"/>
  <c r="K72" i="1"/>
  <c r="Y116" i="1" l="1"/>
  <c r="Y96" i="1"/>
  <c r="V86" i="1"/>
  <c r="V76" i="1"/>
  <c r="O77" i="1"/>
  <c r="G10" i="11"/>
  <c r="G12" i="11" s="1"/>
  <c r="X107" i="1" l="1"/>
  <c r="X103" i="1"/>
  <c r="X104" i="1"/>
  <c r="X105" i="1"/>
  <c r="X106" i="1"/>
  <c r="X114" i="1"/>
  <c r="X96" i="1"/>
  <c r="X93" i="1"/>
  <c r="U77" i="1"/>
  <c r="U75" i="1"/>
  <c r="X117" i="1"/>
  <c r="U73" i="1"/>
  <c r="X95" i="1"/>
  <c r="X115" i="1"/>
  <c r="U86" i="1"/>
  <c r="X97" i="1"/>
  <c r="U83" i="1"/>
  <c r="X116" i="1"/>
  <c r="X113" i="1"/>
  <c r="U87" i="1"/>
  <c r="U84" i="1"/>
  <c r="U74" i="1"/>
  <c r="U85" i="1"/>
  <c r="U76" i="1"/>
  <c r="X94" i="1"/>
  <c r="Y117" i="1"/>
  <c r="Y97" i="1"/>
  <c r="V87" i="1"/>
  <c r="V77" i="1"/>
  <c r="A117" i="13" l="1"/>
  <c r="A118" i="13"/>
  <c r="A137" i="13" s="1"/>
  <c r="A119" i="13"/>
  <c r="A138" i="13" s="1"/>
  <c r="A120" i="13"/>
  <c r="A139" i="13" s="1"/>
  <c r="A121" i="13"/>
  <c r="A140" i="13" s="1"/>
  <c r="A122" i="13"/>
  <c r="A141" i="13" s="1"/>
  <c r="A123" i="13"/>
  <c r="A124" i="13"/>
  <c r="A143" i="13" s="1"/>
  <c r="A125" i="13"/>
  <c r="A126" i="13"/>
  <c r="A145" i="13" s="1"/>
  <c r="A127" i="13"/>
  <c r="A146" i="13" s="1"/>
  <c r="A128" i="13"/>
  <c r="A147" i="13" s="1"/>
  <c r="A129" i="13"/>
  <c r="A148" i="13" s="1"/>
  <c r="A130" i="13"/>
  <c r="A149" i="13" s="1"/>
  <c r="A116" i="13"/>
  <c r="A142" i="13"/>
  <c r="A144" i="13"/>
  <c r="A136" i="13"/>
  <c r="K53" i="13"/>
  <c r="K52" i="13"/>
  <c r="K51" i="13"/>
  <c r="K50" i="13"/>
  <c r="K49" i="13"/>
  <c r="K48" i="13"/>
  <c r="K47" i="13"/>
  <c r="K46" i="13"/>
  <c r="K45" i="13"/>
  <c r="K44" i="13"/>
  <c r="K43" i="13"/>
  <c r="K42" i="13"/>
  <c r="K41" i="13"/>
  <c r="K40" i="13"/>
  <c r="K39" i="13"/>
  <c r="K38" i="13"/>
  <c r="K37" i="13"/>
  <c r="K36" i="13"/>
  <c r="K35" i="13"/>
  <c r="K34" i="13"/>
  <c r="K33" i="13"/>
  <c r="K32" i="13"/>
  <c r="K31" i="13"/>
  <c r="K30" i="13"/>
  <c r="K29" i="13"/>
  <c r="K28" i="13"/>
  <c r="B28" i="13"/>
  <c r="D28" i="13" s="1"/>
  <c r="E28" i="13" s="1"/>
  <c r="G28" i="13" s="1"/>
  <c r="E62" i="13"/>
  <c r="E61" i="13"/>
  <c r="E60" i="13"/>
  <c r="E59" i="13"/>
  <c r="C7" i="13"/>
  <c r="C6" i="13"/>
  <c r="C5" i="13"/>
  <c r="A185" i="13" l="1"/>
  <c r="A166" i="13"/>
  <c r="A174" i="13"/>
  <c r="A155" i="13"/>
  <c r="A184" i="13"/>
  <c r="A165" i="13"/>
  <c r="A176" i="13"/>
  <c r="A157" i="13"/>
  <c r="A177" i="13"/>
  <c r="A158" i="13"/>
  <c r="A183" i="13"/>
  <c r="A164" i="13"/>
  <c r="A175" i="13"/>
  <c r="A156" i="13"/>
  <c r="A182" i="13"/>
  <c r="A163" i="13"/>
  <c r="A180" i="13"/>
  <c r="A161" i="13"/>
  <c r="A181" i="13"/>
  <c r="A162" i="13"/>
  <c r="A187" i="13"/>
  <c r="A168" i="13"/>
  <c r="A179" i="13"/>
  <c r="A160" i="13"/>
  <c r="A186" i="13"/>
  <c r="A167" i="13"/>
  <c r="A178" i="13"/>
  <c r="A159" i="13"/>
  <c r="A135" i="13"/>
  <c r="B29" i="13"/>
  <c r="B30" i="13" s="1"/>
  <c r="B31" i="13" s="1"/>
  <c r="B32" i="13" s="1"/>
  <c r="C28" i="13"/>
  <c r="F28" i="13" s="1"/>
  <c r="D29" i="13"/>
  <c r="D30" i="13" s="1"/>
  <c r="D31" i="13" s="1"/>
  <c r="A84" i="1"/>
  <c r="A94" i="1" s="1"/>
  <c r="A85" i="1"/>
  <c r="A95" i="1" s="1"/>
  <c r="A86" i="1"/>
  <c r="A96" i="1" s="1"/>
  <c r="A87" i="1"/>
  <c r="A97" i="1" s="1"/>
  <c r="A83" i="1"/>
  <c r="A93" i="1" s="1"/>
  <c r="A82" i="1"/>
  <c r="A92" i="1" s="1"/>
  <c r="D20" i="12"/>
  <c r="D21" i="12"/>
  <c r="D24" i="12"/>
  <c r="D25" i="12"/>
  <c r="D26" i="12"/>
  <c r="D29" i="12"/>
  <c r="C20" i="12"/>
  <c r="C21" i="12"/>
  <c r="C28" i="12"/>
  <c r="C29" i="12"/>
  <c r="E29" i="12" s="1"/>
  <c r="A20" i="12"/>
  <c r="B20" i="12"/>
  <c r="A21" i="12"/>
  <c r="B21" i="12"/>
  <c r="A22" i="12"/>
  <c r="D22" i="12" s="1"/>
  <c r="B22" i="12"/>
  <c r="C22" i="12" s="1"/>
  <c r="E22" i="12" s="1"/>
  <c r="A23" i="12"/>
  <c r="D23" i="12" s="1"/>
  <c r="B23" i="12"/>
  <c r="C23" i="12" s="1"/>
  <c r="E23" i="12" s="1"/>
  <c r="A24" i="12"/>
  <c r="B24" i="12"/>
  <c r="C24" i="12" s="1"/>
  <c r="A25" i="12"/>
  <c r="B25" i="12"/>
  <c r="C25" i="12" s="1"/>
  <c r="E25" i="12" s="1"/>
  <c r="A26" i="12"/>
  <c r="B26" i="12"/>
  <c r="C26" i="12" s="1"/>
  <c r="E26" i="12" s="1"/>
  <c r="A27" i="12"/>
  <c r="D27" i="12" s="1"/>
  <c r="B27" i="12"/>
  <c r="C27" i="12" s="1"/>
  <c r="E27" i="12" s="1"/>
  <c r="A28" i="12"/>
  <c r="D28" i="12" s="1"/>
  <c r="E28" i="12" s="1"/>
  <c r="B28" i="12"/>
  <c r="A29" i="12"/>
  <c r="B29" i="12"/>
  <c r="B19" i="12"/>
  <c r="C19" i="12" s="1"/>
  <c r="A19" i="12"/>
  <c r="D19" i="12" s="1"/>
  <c r="H5" i="11"/>
  <c r="E24" i="12" l="1"/>
  <c r="E21" i="12"/>
  <c r="E20" i="12"/>
  <c r="E19" i="12"/>
  <c r="A173" i="13"/>
  <c r="A154" i="13"/>
  <c r="A112" i="1"/>
  <c r="A102" i="1"/>
  <c r="A113" i="1"/>
  <c r="A103" i="1"/>
  <c r="A115" i="1"/>
  <c r="A105" i="1"/>
  <c r="A116" i="1"/>
  <c r="A106" i="1"/>
  <c r="A114" i="1"/>
  <c r="A104" i="1"/>
  <c r="A117" i="1"/>
  <c r="A107" i="1"/>
  <c r="C30" i="13"/>
  <c r="F30" i="13" s="1"/>
  <c r="C31" i="13"/>
  <c r="F31" i="13" s="1"/>
  <c r="C29" i="13"/>
  <c r="F29" i="13" s="1"/>
  <c r="E29" i="13"/>
  <c r="G29" i="13" s="1"/>
  <c r="H28" i="13"/>
  <c r="E30" i="13"/>
  <c r="G30" i="13" s="1"/>
  <c r="D32" i="13"/>
  <c r="E31" i="13"/>
  <c r="G31" i="13" s="1"/>
  <c r="B33" i="13"/>
  <c r="C32" i="13"/>
  <c r="F32" i="13" s="1"/>
  <c r="G5" i="11"/>
  <c r="G7" i="11" s="1"/>
  <c r="Q106" i="1" l="1"/>
  <c r="Q104" i="1"/>
  <c r="Q107" i="1"/>
  <c r="Q103" i="1"/>
  <c r="Q105" i="1"/>
  <c r="H31" i="13"/>
  <c r="J31" i="13" s="1"/>
  <c r="L31" i="13" s="1"/>
  <c r="H30" i="13"/>
  <c r="J30" i="13" s="1"/>
  <c r="L30" i="13" s="1"/>
  <c r="H29" i="13"/>
  <c r="J29" i="13" s="1"/>
  <c r="L29" i="13" s="1"/>
  <c r="J28" i="13"/>
  <c r="L28" i="13" s="1"/>
  <c r="I28" i="13"/>
  <c r="C33" i="13"/>
  <c r="F33" i="13" s="1"/>
  <c r="B34" i="13"/>
  <c r="D33" i="13"/>
  <c r="E32" i="13"/>
  <c r="G32" i="13" s="1"/>
  <c r="H32" i="13" s="1"/>
  <c r="Q115" i="1"/>
  <c r="N85" i="1"/>
  <c r="Q113" i="1"/>
  <c r="Q93" i="1"/>
  <c r="Q97" i="1"/>
  <c r="Q95" i="1"/>
  <c r="N84" i="1"/>
  <c r="N87" i="1"/>
  <c r="Q116" i="1"/>
  <c r="Q114" i="1"/>
  <c r="N83" i="1"/>
  <c r="Q94" i="1"/>
  <c r="N86" i="1"/>
  <c r="Q117" i="1"/>
  <c r="Q96" i="1"/>
  <c r="N76" i="1"/>
  <c r="N77" i="1"/>
  <c r="N73" i="1"/>
  <c r="N75" i="1"/>
  <c r="N74" i="1"/>
  <c r="I29" i="13" l="1"/>
  <c r="I30" i="13" s="1"/>
  <c r="I31" i="13" s="1"/>
  <c r="I32" i="13" s="1"/>
  <c r="D34" i="13"/>
  <c r="E33" i="13"/>
  <c r="G33" i="13" s="1"/>
  <c r="H33" i="13" s="1"/>
  <c r="J32" i="13"/>
  <c r="L32" i="13" s="1"/>
  <c r="B35" i="13"/>
  <c r="C34" i="13"/>
  <c r="F34" i="13" s="1"/>
  <c r="I33" i="13" l="1"/>
  <c r="C35" i="13"/>
  <c r="F35" i="13" s="1"/>
  <c r="B36" i="13"/>
  <c r="J33" i="13"/>
  <c r="L33" i="13" s="1"/>
  <c r="E34" i="13"/>
  <c r="G34" i="13" s="1"/>
  <c r="H34" i="13" s="1"/>
  <c r="D35" i="13"/>
  <c r="I34" i="13" l="1"/>
  <c r="J34" i="13"/>
  <c r="L34" i="13" s="1"/>
  <c r="B37" i="13"/>
  <c r="C36" i="13"/>
  <c r="F36" i="13" s="1"/>
  <c r="D36" i="13"/>
  <c r="E35" i="13"/>
  <c r="G35" i="13" s="1"/>
  <c r="H35" i="13" s="1"/>
  <c r="I35" i="13" l="1"/>
  <c r="D37" i="13"/>
  <c r="E36" i="13"/>
  <c r="G36" i="13" s="1"/>
  <c r="H36" i="13" s="1"/>
  <c r="J35" i="13"/>
  <c r="L35" i="13" s="1"/>
  <c r="B38" i="13"/>
  <c r="C37" i="13"/>
  <c r="F37" i="13" s="1"/>
  <c r="I36" i="13" l="1"/>
  <c r="B39" i="13"/>
  <c r="C38" i="13"/>
  <c r="F38" i="13" s="1"/>
  <c r="J36" i="13"/>
  <c r="L36" i="13" s="1"/>
  <c r="D38" i="13"/>
  <c r="E37" i="13"/>
  <c r="G37" i="13" s="1"/>
  <c r="H37" i="13" s="1"/>
  <c r="I37" i="13" l="1"/>
  <c r="J37" i="13"/>
  <c r="L37" i="13" s="1"/>
  <c r="D39" i="13"/>
  <c r="E38" i="13"/>
  <c r="G38" i="13" s="1"/>
  <c r="H38" i="13" s="1"/>
  <c r="C39" i="13"/>
  <c r="F39" i="13" s="1"/>
  <c r="B40" i="13"/>
  <c r="B41" i="13" s="1"/>
  <c r="B116" i="13" l="1"/>
  <c r="B135" i="13" s="1"/>
  <c r="B154" i="13" s="1"/>
  <c r="I38" i="13"/>
  <c r="C41" i="13"/>
  <c r="F41" i="13" s="1"/>
  <c r="B118" i="13" s="1"/>
  <c r="B137" i="13" s="1"/>
  <c r="B42" i="13"/>
  <c r="D40" i="13"/>
  <c r="D41" i="13" s="1"/>
  <c r="E39" i="13"/>
  <c r="G39" i="13" s="1"/>
  <c r="J38" i="13"/>
  <c r="L38" i="13" s="1"/>
  <c r="C40" i="13"/>
  <c r="F40" i="13" s="1"/>
  <c r="A59" i="13" l="1"/>
  <c r="D77" i="13"/>
  <c r="B175" i="13"/>
  <c r="B156" i="13"/>
  <c r="B173" i="13"/>
  <c r="C116" i="13"/>
  <c r="C135" i="13" s="1"/>
  <c r="B117" i="13"/>
  <c r="B136" i="13" s="1"/>
  <c r="H39" i="13"/>
  <c r="E41" i="13"/>
  <c r="G41" i="13" s="1"/>
  <c r="D42" i="13"/>
  <c r="C42" i="13"/>
  <c r="F42" i="13" s="1"/>
  <c r="B119" i="13" s="1"/>
  <c r="B138" i="13" s="1"/>
  <c r="B43" i="13"/>
  <c r="E40" i="13"/>
  <c r="G40" i="13" s="1"/>
  <c r="B174" i="13" l="1"/>
  <c r="B155" i="13"/>
  <c r="C173" i="13"/>
  <c r="C154" i="13"/>
  <c r="B176" i="13"/>
  <c r="B157" i="13"/>
  <c r="I39" i="13"/>
  <c r="E116" i="13"/>
  <c r="B59" i="13"/>
  <c r="D116" i="13"/>
  <c r="H41" i="13"/>
  <c r="E118" i="13" s="1"/>
  <c r="C118" i="13"/>
  <c r="C137" i="13" s="1"/>
  <c r="H40" i="13"/>
  <c r="C117" i="13"/>
  <c r="C136" i="13" s="1"/>
  <c r="J39" i="13"/>
  <c r="B44" i="13"/>
  <c r="C43" i="13"/>
  <c r="F43" i="13" s="1"/>
  <c r="B120" i="13" s="1"/>
  <c r="B139" i="13" s="1"/>
  <c r="E42" i="13"/>
  <c r="G42" i="13" s="1"/>
  <c r="D43" i="13"/>
  <c r="C59" i="13" a="1"/>
  <c r="D79" i="13" l="1"/>
  <c r="D81" i="13" s="1"/>
  <c r="C174" i="13"/>
  <c r="C155" i="13"/>
  <c r="C175" i="13"/>
  <c r="C156" i="13"/>
  <c r="B177" i="13"/>
  <c r="B158" i="13"/>
  <c r="I118" i="13"/>
  <c r="E137" i="13"/>
  <c r="C59" i="13"/>
  <c r="F116" i="13"/>
  <c r="C42" i="12"/>
  <c r="D135" i="13"/>
  <c r="J41" i="13"/>
  <c r="I116" i="13"/>
  <c r="J116" i="13" s="1"/>
  <c r="K116" i="13" s="1"/>
  <c r="F9" i="13" s="1"/>
  <c r="F10" i="13" s="1"/>
  <c r="E135" i="13"/>
  <c r="A60" i="13"/>
  <c r="E117" i="13"/>
  <c r="H42" i="13"/>
  <c r="C119" i="13"/>
  <c r="C138" i="13" s="1"/>
  <c r="J40" i="13"/>
  <c r="I40" i="13"/>
  <c r="I41" i="13" s="1"/>
  <c r="E43" i="13"/>
  <c r="G43" i="13" s="1"/>
  <c r="D44" i="13"/>
  <c r="B45" i="13"/>
  <c r="C44" i="13"/>
  <c r="F44" i="13" s="1"/>
  <c r="B121" i="13" s="1"/>
  <c r="B140" i="13" s="1"/>
  <c r="D83" i="13" l="1"/>
  <c r="E175" i="13"/>
  <c r="E156" i="13"/>
  <c r="E173" i="13"/>
  <c r="E154" i="13"/>
  <c r="D173" i="13"/>
  <c r="D154" i="13"/>
  <c r="C176" i="13"/>
  <c r="C157" i="13"/>
  <c r="B178" i="13"/>
  <c r="B159" i="13"/>
  <c r="J118" i="13"/>
  <c r="K118" i="13" s="1"/>
  <c r="K137" i="13"/>
  <c r="K156" i="13" s="1"/>
  <c r="L156" i="13" s="1"/>
  <c r="M156" i="13" s="1"/>
  <c r="K135" i="13"/>
  <c r="I42" i="13"/>
  <c r="E119" i="13"/>
  <c r="D42" i="12"/>
  <c r="F135" i="13"/>
  <c r="F154" i="13" s="1"/>
  <c r="I117" i="13"/>
  <c r="J117" i="13" s="1"/>
  <c r="K117" i="13" s="1"/>
  <c r="E136" i="13"/>
  <c r="A61" i="13"/>
  <c r="D117" i="13"/>
  <c r="B60" i="13"/>
  <c r="H43" i="13"/>
  <c r="C120" i="13"/>
  <c r="C139" i="13" s="1"/>
  <c r="J42" i="13"/>
  <c r="E44" i="13"/>
  <c r="G44" i="13" s="1"/>
  <c r="D45" i="13"/>
  <c r="C45" i="13"/>
  <c r="F45" i="13" s="1"/>
  <c r="B122" i="13" s="1"/>
  <c r="B141" i="13" s="1"/>
  <c r="B46" i="13"/>
  <c r="E42" i="12" a="1"/>
  <c r="C60" i="13" a="1"/>
  <c r="D85" i="13" l="1"/>
  <c r="L135" i="13"/>
  <c r="M135" i="13" s="1"/>
  <c r="K154" i="13"/>
  <c r="L154" i="13" s="1"/>
  <c r="M154" i="13" s="1"/>
  <c r="L9" i="13" s="1"/>
  <c r="L10" i="13" s="1"/>
  <c r="K173" i="13"/>
  <c r="L173" i="13" s="1"/>
  <c r="M173" i="13" s="1"/>
  <c r="B179" i="13"/>
  <c r="B160" i="13"/>
  <c r="E174" i="13"/>
  <c r="E155" i="13"/>
  <c r="C177" i="13"/>
  <c r="C158" i="13"/>
  <c r="I119" i="13"/>
  <c r="E138" i="13"/>
  <c r="L137" i="13"/>
  <c r="M137" i="13" s="1"/>
  <c r="K175" i="13"/>
  <c r="L175" i="13" s="1"/>
  <c r="M175" i="13" s="1"/>
  <c r="K136" i="13"/>
  <c r="K155" i="13" s="1"/>
  <c r="L155" i="13" s="1"/>
  <c r="M155" i="13" s="1"/>
  <c r="C60" i="13"/>
  <c r="E42" i="12"/>
  <c r="F42" i="12" s="1"/>
  <c r="N116" i="13" s="1"/>
  <c r="I43" i="13"/>
  <c r="E120" i="13"/>
  <c r="F173" i="13"/>
  <c r="C43" i="12"/>
  <c r="F117" i="13"/>
  <c r="D136" i="13"/>
  <c r="D118" i="13"/>
  <c r="D137" i="13" s="1"/>
  <c r="A62" i="13"/>
  <c r="B61" i="13"/>
  <c r="J43" i="13"/>
  <c r="H44" i="13"/>
  <c r="J44" i="13" s="1"/>
  <c r="C121" i="13"/>
  <c r="C140" i="13" s="1"/>
  <c r="E45" i="13"/>
  <c r="G45" i="13" s="1"/>
  <c r="D46" i="13"/>
  <c r="B47" i="13"/>
  <c r="C46" i="13"/>
  <c r="F46" i="13" s="1"/>
  <c r="B123" i="13" s="1"/>
  <c r="B142" i="13" s="1"/>
  <c r="C61" i="13" a="1"/>
  <c r="D87" i="13" l="1"/>
  <c r="O9" i="13"/>
  <c r="O10" i="13" s="1"/>
  <c r="I9" i="13"/>
  <c r="I10" i="13" s="1"/>
  <c r="D175" i="13"/>
  <c r="D156" i="13"/>
  <c r="D174" i="13"/>
  <c r="D155" i="13"/>
  <c r="B180" i="13"/>
  <c r="B161" i="13"/>
  <c r="C178" i="13"/>
  <c r="C159" i="13"/>
  <c r="E176" i="13"/>
  <c r="E157" i="13"/>
  <c r="I120" i="13"/>
  <c r="E139" i="13"/>
  <c r="J119" i="13"/>
  <c r="K119" i="13" s="1"/>
  <c r="K138" i="13"/>
  <c r="K157" i="13" s="1"/>
  <c r="L157" i="13" s="1"/>
  <c r="M157" i="13" s="1"/>
  <c r="K174" i="13"/>
  <c r="L174" i="13" s="1"/>
  <c r="M174" i="13" s="1"/>
  <c r="L136" i="13"/>
  <c r="M136" i="13" s="1"/>
  <c r="P116" i="13"/>
  <c r="C61" i="13"/>
  <c r="D119" i="13"/>
  <c r="D138" i="13" s="1"/>
  <c r="A63" i="13"/>
  <c r="A64" i="13" s="1"/>
  <c r="D121" i="13" s="1"/>
  <c r="D140" i="13" s="1"/>
  <c r="B62" i="13"/>
  <c r="C44" i="12"/>
  <c r="F118" i="13"/>
  <c r="I44" i="13"/>
  <c r="E121" i="13"/>
  <c r="D43" i="12"/>
  <c r="F136" i="13"/>
  <c r="F155" i="13" s="1"/>
  <c r="H45" i="13"/>
  <c r="J45" i="13" s="1"/>
  <c r="C122" i="13"/>
  <c r="C141" i="13" s="1"/>
  <c r="C47" i="13"/>
  <c r="F47" i="13" s="1"/>
  <c r="B124" i="13" s="1"/>
  <c r="B143" i="13" s="1"/>
  <c r="B48" i="13"/>
  <c r="B49" i="13" s="1"/>
  <c r="E46" i="13"/>
  <c r="G46" i="13" s="1"/>
  <c r="D47" i="13"/>
  <c r="E43" i="12" a="1"/>
  <c r="C62" i="13" a="1"/>
  <c r="D89" i="13" l="1"/>
  <c r="D178" i="13"/>
  <c r="D159" i="13"/>
  <c r="D176" i="13"/>
  <c r="D157" i="13"/>
  <c r="E177" i="13"/>
  <c r="E158" i="13"/>
  <c r="B181" i="13"/>
  <c r="B162" i="13"/>
  <c r="C179" i="13"/>
  <c r="C160" i="13"/>
  <c r="F174" i="13"/>
  <c r="D44" i="12"/>
  <c r="F137" i="13"/>
  <c r="F156" i="13" s="1"/>
  <c r="K176" i="13"/>
  <c r="L176" i="13" s="1"/>
  <c r="M176" i="13" s="1"/>
  <c r="L138" i="13"/>
  <c r="M138" i="13" s="1"/>
  <c r="J120" i="13"/>
  <c r="K120" i="13" s="1"/>
  <c r="K139" i="13"/>
  <c r="K158" i="13" s="1"/>
  <c r="L158" i="13" s="1"/>
  <c r="M158" i="13" s="1"/>
  <c r="I121" i="13"/>
  <c r="E140" i="13"/>
  <c r="C62" i="13"/>
  <c r="E43" i="12"/>
  <c r="F43" i="12" s="1"/>
  <c r="N117" i="13" s="1"/>
  <c r="A65" i="13"/>
  <c r="D122" i="13" s="1"/>
  <c r="D141" i="13" s="1"/>
  <c r="D120" i="13"/>
  <c r="D139" i="13" s="1"/>
  <c r="B63" i="13"/>
  <c r="C45" i="12"/>
  <c r="F119" i="13"/>
  <c r="F121" i="13"/>
  <c r="C47" i="12"/>
  <c r="B64" i="13"/>
  <c r="I45" i="13"/>
  <c r="E122" i="13"/>
  <c r="H46" i="13"/>
  <c r="J46" i="13" s="1"/>
  <c r="C123" i="13"/>
  <c r="C142" i="13" s="1"/>
  <c r="C49" i="13"/>
  <c r="F49" i="13" s="1"/>
  <c r="B126" i="13" s="1"/>
  <c r="B145" i="13" s="1"/>
  <c r="B50" i="13"/>
  <c r="C48" i="13"/>
  <c r="F48" i="13" s="1"/>
  <c r="B125" i="13" s="1"/>
  <c r="B144" i="13" s="1"/>
  <c r="D48" i="13"/>
  <c r="E47" i="13"/>
  <c r="G47" i="13" s="1"/>
  <c r="C64" i="13" a="1"/>
  <c r="E44" i="12" a="1"/>
  <c r="C63" i="13" a="1"/>
  <c r="D91" i="13" l="1"/>
  <c r="C180" i="13"/>
  <c r="C161" i="13"/>
  <c r="E178" i="13"/>
  <c r="E159" i="13"/>
  <c r="B183" i="13"/>
  <c r="B164" i="13"/>
  <c r="D177" i="13"/>
  <c r="D158" i="13"/>
  <c r="B182" i="13"/>
  <c r="B163" i="13"/>
  <c r="D179" i="13"/>
  <c r="D160" i="13"/>
  <c r="E44" i="12"/>
  <c r="F44" i="12" s="1"/>
  <c r="N118" i="13" s="1"/>
  <c r="P137" i="13" s="1"/>
  <c r="J121" i="13"/>
  <c r="K121" i="13" s="1"/>
  <c r="K140" i="13"/>
  <c r="K159" i="13" s="1"/>
  <c r="L159" i="13" s="1"/>
  <c r="M159" i="13" s="1"/>
  <c r="D47" i="12"/>
  <c r="F140" i="13"/>
  <c r="F159" i="13" s="1"/>
  <c r="K177" i="13"/>
  <c r="L177" i="13" s="1"/>
  <c r="M177" i="13" s="1"/>
  <c r="L139" i="13"/>
  <c r="M139" i="13" s="1"/>
  <c r="D45" i="12"/>
  <c r="F138" i="13"/>
  <c r="F157" i="13" s="1"/>
  <c r="I122" i="13"/>
  <c r="E141" i="13"/>
  <c r="F175" i="13"/>
  <c r="P136" i="13"/>
  <c r="R117" i="13"/>
  <c r="C64" i="13"/>
  <c r="C63" i="13"/>
  <c r="B65" i="13"/>
  <c r="C48" i="12"/>
  <c r="F122" i="13"/>
  <c r="A66" i="13"/>
  <c r="D123" i="13" s="1"/>
  <c r="D142" i="13" s="1"/>
  <c r="F120" i="13"/>
  <c r="C46" i="12"/>
  <c r="I46" i="13"/>
  <c r="E123" i="13"/>
  <c r="H47" i="13"/>
  <c r="C124" i="13"/>
  <c r="C143" i="13" s="1"/>
  <c r="E48" i="13"/>
  <c r="G48" i="13" s="1"/>
  <c r="D49" i="13"/>
  <c r="C50" i="13"/>
  <c r="F50" i="13" s="1"/>
  <c r="B127" i="13" s="1"/>
  <c r="B146" i="13" s="1"/>
  <c r="B51" i="13"/>
  <c r="C65" i="13" a="1"/>
  <c r="E47" i="12" a="1"/>
  <c r="E45" i="12" a="1"/>
  <c r="D93" i="13" l="1"/>
  <c r="P175" i="13"/>
  <c r="P156" i="13"/>
  <c r="R156" i="13" s="1"/>
  <c r="P174" i="13"/>
  <c r="P155" i="13"/>
  <c r="D180" i="13"/>
  <c r="D161" i="13"/>
  <c r="E179" i="13"/>
  <c r="E160" i="13"/>
  <c r="B184" i="13"/>
  <c r="B165" i="13"/>
  <c r="C181" i="13"/>
  <c r="C162" i="13"/>
  <c r="R118" i="13"/>
  <c r="P118" i="13"/>
  <c r="E47" i="12"/>
  <c r="F47" i="12" s="1"/>
  <c r="N121" i="13" s="1"/>
  <c r="P121" i="13" s="1"/>
  <c r="E45" i="12"/>
  <c r="F45" i="12" s="1"/>
  <c r="N119" i="13" s="1"/>
  <c r="P138" i="13" s="1"/>
  <c r="F178" i="13"/>
  <c r="J122" i="13"/>
  <c r="K122" i="13" s="1"/>
  <c r="K141" i="13"/>
  <c r="K160" i="13" s="1"/>
  <c r="L160" i="13" s="1"/>
  <c r="M160" i="13" s="1"/>
  <c r="D46" i="12"/>
  <c r="F139" i="13"/>
  <c r="F158" i="13" s="1"/>
  <c r="L140" i="13"/>
  <c r="M140" i="13" s="1"/>
  <c r="K178" i="13"/>
  <c r="L178" i="13" s="1"/>
  <c r="M178" i="13" s="1"/>
  <c r="F176" i="13"/>
  <c r="D48" i="12"/>
  <c r="F141" i="13"/>
  <c r="F160" i="13" s="1"/>
  <c r="I123" i="13"/>
  <c r="E142" i="13"/>
  <c r="R136" i="13"/>
  <c r="T137" i="13"/>
  <c r="R137" i="13"/>
  <c r="C65" i="13"/>
  <c r="I47" i="13"/>
  <c r="E124" i="13"/>
  <c r="B66" i="13"/>
  <c r="C49" i="12"/>
  <c r="F123" i="13"/>
  <c r="H48" i="13"/>
  <c r="J48" i="13" s="1"/>
  <c r="C125" i="13"/>
  <c r="C144" i="13" s="1"/>
  <c r="A67" i="13"/>
  <c r="D124" i="13" s="1"/>
  <c r="D143" i="13" s="1"/>
  <c r="J47" i="13"/>
  <c r="C51" i="13"/>
  <c r="F51" i="13" s="1"/>
  <c r="B128" i="13" s="1"/>
  <c r="B147" i="13" s="1"/>
  <c r="B52" i="13"/>
  <c r="E49" i="13"/>
  <c r="G49" i="13" s="1"/>
  <c r="D50" i="13"/>
  <c r="C66" i="13" a="1"/>
  <c r="E48" i="12" a="1"/>
  <c r="E46" i="12" a="1"/>
  <c r="D95" i="13" l="1"/>
  <c r="T138" i="13"/>
  <c r="P157" i="13"/>
  <c r="R157" i="13" s="1"/>
  <c r="D181" i="13"/>
  <c r="D162" i="13"/>
  <c r="C182" i="13"/>
  <c r="C163" i="13"/>
  <c r="E180" i="13"/>
  <c r="E161" i="13"/>
  <c r="B185" i="13"/>
  <c r="B166" i="13"/>
  <c r="P140" i="13"/>
  <c r="P178" i="13" s="1"/>
  <c r="P119" i="13"/>
  <c r="R119" i="13"/>
  <c r="E48" i="12"/>
  <c r="F48" i="12" s="1"/>
  <c r="N122" i="13" s="1"/>
  <c r="P141" i="13" s="1"/>
  <c r="E46" i="12"/>
  <c r="F46" i="12" s="1"/>
  <c r="N120" i="13" s="1"/>
  <c r="P120" i="13" s="1"/>
  <c r="F179" i="13"/>
  <c r="K179" i="13"/>
  <c r="L179" i="13" s="1"/>
  <c r="M179" i="13" s="1"/>
  <c r="L141" i="13"/>
  <c r="M141" i="13" s="1"/>
  <c r="D49" i="12"/>
  <c r="F142" i="13"/>
  <c r="F161" i="13" s="1"/>
  <c r="I124" i="13"/>
  <c r="E143" i="13"/>
  <c r="F177" i="13"/>
  <c r="J123" i="13"/>
  <c r="K123" i="13" s="1"/>
  <c r="K142" i="13"/>
  <c r="K161" i="13" s="1"/>
  <c r="L161" i="13" s="1"/>
  <c r="M161" i="13" s="1"/>
  <c r="T175" i="13"/>
  <c r="R174" i="13"/>
  <c r="R175" i="13"/>
  <c r="R138" i="13"/>
  <c r="P176" i="13"/>
  <c r="T176" i="13" s="1"/>
  <c r="C66" i="13"/>
  <c r="F124" i="13"/>
  <c r="C50" i="12"/>
  <c r="I48" i="13"/>
  <c r="E125" i="13"/>
  <c r="B67" i="13"/>
  <c r="A68" i="13"/>
  <c r="D125" i="13" s="1"/>
  <c r="D144" i="13" s="1"/>
  <c r="H49" i="13"/>
  <c r="C126" i="13"/>
  <c r="C145" i="13" s="1"/>
  <c r="E50" i="13"/>
  <c r="G50" i="13" s="1"/>
  <c r="D51" i="13"/>
  <c r="C52" i="13"/>
  <c r="F52" i="13" s="1"/>
  <c r="B129" i="13" s="1"/>
  <c r="B148" i="13" s="1"/>
  <c r="B53" i="13"/>
  <c r="E49" i="12" a="1"/>
  <c r="C67" i="13" a="1"/>
  <c r="D97" i="13" l="1"/>
  <c r="T157" i="13"/>
  <c r="T141" i="13"/>
  <c r="P160" i="13"/>
  <c r="R140" i="13"/>
  <c r="P159" i="13"/>
  <c r="R159" i="13" s="1"/>
  <c r="B186" i="13"/>
  <c r="B167" i="13"/>
  <c r="D182" i="13"/>
  <c r="D163" i="13"/>
  <c r="E181" i="13"/>
  <c r="E162" i="13"/>
  <c r="C183" i="13"/>
  <c r="C164" i="13"/>
  <c r="B68" i="13"/>
  <c r="R120" i="13"/>
  <c r="P122" i="13"/>
  <c r="R122" i="13"/>
  <c r="E49" i="12"/>
  <c r="F49" i="12" s="1"/>
  <c r="N123" i="13" s="1"/>
  <c r="R123" i="13" s="1"/>
  <c r="I125" i="13"/>
  <c r="E144" i="13"/>
  <c r="J124" i="13"/>
  <c r="K124" i="13" s="1"/>
  <c r="K143" i="13"/>
  <c r="K162" i="13" s="1"/>
  <c r="L162" i="13" s="1"/>
  <c r="M162" i="13" s="1"/>
  <c r="F180" i="13"/>
  <c r="D50" i="12"/>
  <c r="F143" i="13"/>
  <c r="F162" i="13" s="1"/>
  <c r="R121" i="13"/>
  <c r="P139" i="13"/>
  <c r="L142" i="13"/>
  <c r="M142" i="13" s="1"/>
  <c r="K180" i="13"/>
  <c r="L180" i="13" s="1"/>
  <c r="M180" i="13" s="1"/>
  <c r="R178" i="13"/>
  <c r="R141" i="13"/>
  <c r="P179" i="13"/>
  <c r="R176" i="13"/>
  <c r="C67" i="13"/>
  <c r="C51" i="12"/>
  <c r="F125" i="13"/>
  <c r="I49" i="13"/>
  <c r="E126" i="13"/>
  <c r="A69" i="13"/>
  <c r="D126" i="13" s="1"/>
  <c r="D145" i="13" s="1"/>
  <c r="H50" i="13"/>
  <c r="C127" i="13"/>
  <c r="C146" i="13" s="1"/>
  <c r="J49" i="13"/>
  <c r="E51" i="13"/>
  <c r="G51" i="13" s="1"/>
  <c r="D52" i="13"/>
  <c r="C53" i="13"/>
  <c r="F53" i="13" s="1"/>
  <c r="B130" i="13" s="1"/>
  <c r="B149" i="13" s="1"/>
  <c r="C68" i="13" a="1"/>
  <c r="E50" i="12" a="1"/>
  <c r="D99" i="13" l="1"/>
  <c r="T139" i="13"/>
  <c r="P158" i="13"/>
  <c r="B187" i="13"/>
  <c r="B168" i="13"/>
  <c r="E182" i="13"/>
  <c r="E163" i="13"/>
  <c r="D183" i="13"/>
  <c r="D164" i="13"/>
  <c r="C184" i="13"/>
  <c r="C165" i="13"/>
  <c r="C68" i="13"/>
  <c r="P177" i="13"/>
  <c r="T177" i="13" s="1"/>
  <c r="R139" i="13"/>
  <c r="P142" i="13"/>
  <c r="R142" i="13" s="1"/>
  <c r="T140" i="13"/>
  <c r="P123" i="13"/>
  <c r="E50" i="12"/>
  <c r="F50" i="12" s="1"/>
  <c r="N124" i="13" s="1"/>
  <c r="R124" i="13" s="1"/>
  <c r="J125" i="13"/>
  <c r="K125" i="13" s="1"/>
  <c r="K144" i="13"/>
  <c r="K163" i="13" s="1"/>
  <c r="L163" i="13" s="1"/>
  <c r="M163" i="13" s="1"/>
  <c r="D51" i="12"/>
  <c r="F144" i="13"/>
  <c r="F163" i="13" s="1"/>
  <c r="F181" i="13"/>
  <c r="K181" i="13"/>
  <c r="L181" i="13" s="1"/>
  <c r="M181" i="13" s="1"/>
  <c r="L143" i="13"/>
  <c r="M143" i="13" s="1"/>
  <c r="I126" i="13"/>
  <c r="E145" i="13"/>
  <c r="R179" i="13"/>
  <c r="T179" i="13"/>
  <c r="C52" i="12"/>
  <c r="F126" i="13"/>
  <c r="B69" i="13"/>
  <c r="I50" i="13"/>
  <c r="E127" i="13"/>
  <c r="A70" i="13"/>
  <c r="D127" i="13" s="1"/>
  <c r="D146" i="13" s="1"/>
  <c r="H51" i="13"/>
  <c r="C128" i="13"/>
  <c r="C147" i="13" s="1"/>
  <c r="J50" i="13"/>
  <c r="E52" i="13"/>
  <c r="G52" i="13" s="1"/>
  <c r="D53" i="13"/>
  <c r="E53" i="13" s="1"/>
  <c r="G53" i="13" s="1"/>
  <c r="E51" i="12" a="1"/>
  <c r="C69" i="13" a="1"/>
  <c r="R177" i="13" l="1"/>
  <c r="T178" i="13"/>
  <c r="D101" i="13"/>
  <c r="T142" i="13"/>
  <c r="P161" i="13"/>
  <c r="R161" i="13" s="1"/>
  <c r="T158" i="13"/>
  <c r="T159" i="13"/>
  <c r="R158" i="13"/>
  <c r="C185" i="13"/>
  <c r="C166" i="13"/>
  <c r="D184" i="13"/>
  <c r="D165" i="13"/>
  <c r="E183" i="13"/>
  <c r="E164" i="13"/>
  <c r="R160" i="13"/>
  <c r="T160" i="13"/>
  <c r="P180" i="13"/>
  <c r="T180" i="13" s="1"/>
  <c r="P124" i="13"/>
  <c r="P143" i="13"/>
  <c r="E51" i="12"/>
  <c r="F51" i="12" s="1"/>
  <c r="N125" i="13" s="1"/>
  <c r="R125" i="13" s="1"/>
  <c r="K182" i="13"/>
  <c r="L182" i="13" s="1"/>
  <c r="M182" i="13" s="1"/>
  <c r="L144" i="13"/>
  <c r="M144" i="13" s="1"/>
  <c r="J126" i="13"/>
  <c r="K126" i="13" s="1"/>
  <c r="K145" i="13"/>
  <c r="K164" i="13" s="1"/>
  <c r="L164" i="13" s="1"/>
  <c r="M164" i="13" s="1"/>
  <c r="F182" i="13"/>
  <c r="D52" i="12"/>
  <c r="F145" i="13"/>
  <c r="F164" i="13" s="1"/>
  <c r="I127" i="13"/>
  <c r="E146" i="13"/>
  <c r="C69" i="13"/>
  <c r="C53" i="12"/>
  <c r="F127" i="13"/>
  <c r="I51" i="13"/>
  <c r="E128" i="13"/>
  <c r="B70" i="13"/>
  <c r="H52" i="13"/>
  <c r="J52" i="13" s="1"/>
  <c r="C129" i="13"/>
  <c r="C148" i="13" s="1"/>
  <c r="A71" i="13"/>
  <c r="D128" i="13" s="1"/>
  <c r="D147" i="13" s="1"/>
  <c r="J51" i="13"/>
  <c r="H53" i="13"/>
  <c r="H60" i="13" s="1"/>
  <c r="C130" i="13"/>
  <c r="C149" i="13" s="1"/>
  <c r="C70" i="13" a="1"/>
  <c r="E52" i="12" a="1"/>
  <c r="D103" i="13" l="1"/>
  <c r="D105" i="13" s="1"/>
  <c r="T161" i="13"/>
  <c r="R180" i="13"/>
  <c r="T143" i="13"/>
  <c r="P162" i="13"/>
  <c r="T162" i="13" s="1"/>
  <c r="A72" i="13"/>
  <c r="D129" i="13" s="1"/>
  <c r="D148" i="13" s="1"/>
  <c r="E184" i="13"/>
  <c r="E165" i="13"/>
  <c r="C187" i="13"/>
  <c r="C168" i="13"/>
  <c r="C186" i="13"/>
  <c r="C167" i="13"/>
  <c r="D185" i="13"/>
  <c r="D166" i="13"/>
  <c r="P181" i="13"/>
  <c r="T181" i="13" s="1"/>
  <c r="R143" i="13"/>
  <c r="P144" i="13"/>
  <c r="P125" i="13"/>
  <c r="E52" i="12"/>
  <c r="F52" i="12" s="1"/>
  <c r="N126" i="13" s="1"/>
  <c r="P145" i="13" s="1"/>
  <c r="L145" i="13"/>
  <c r="M145" i="13" s="1"/>
  <c r="K183" i="13"/>
  <c r="L183" i="13" s="1"/>
  <c r="M183" i="13" s="1"/>
  <c r="I128" i="13"/>
  <c r="E147" i="13"/>
  <c r="J127" i="13"/>
  <c r="K127" i="13" s="1"/>
  <c r="K146" i="13"/>
  <c r="K165" i="13" s="1"/>
  <c r="L165" i="13" s="1"/>
  <c r="M165" i="13" s="1"/>
  <c r="D53" i="12"/>
  <c r="F146" i="13"/>
  <c r="F165" i="13" s="1"/>
  <c r="F183" i="13"/>
  <c r="B71" i="13"/>
  <c r="C70" i="13"/>
  <c r="F129" i="13"/>
  <c r="C55" i="12"/>
  <c r="E130" i="13"/>
  <c r="F128" i="13"/>
  <c r="C54" i="12"/>
  <c r="I52" i="13"/>
  <c r="I53" i="13" s="1"/>
  <c r="E129" i="13"/>
  <c r="J53" i="13"/>
  <c r="B72" i="13"/>
  <c r="A73" i="13"/>
  <c r="E53" i="12" a="1"/>
  <c r="C72" i="13" a="1"/>
  <c r="C71" i="13" a="1"/>
  <c r="R162" i="13" l="1"/>
  <c r="R181" i="13"/>
  <c r="P182" i="13"/>
  <c r="T182" i="13" s="1"/>
  <c r="P163" i="13"/>
  <c r="R144" i="13"/>
  <c r="T145" i="13"/>
  <c r="P164" i="13"/>
  <c r="E185" i="13"/>
  <c r="E166" i="13"/>
  <c r="D186" i="13"/>
  <c r="D167" i="13"/>
  <c r="T144" i="13"/>
  <c r="P126" i="13"/>
  <c r="R126" i="13"/>
  <c r="C71" i="13"/>
  <c r="E53" i="12"/>
  <c r="F53" i="12" s="1"/>
  <c r="N127" i="13" s="1"/>
  <c r="P146" i="13" s="1"/>
  <c r="D55" i="12"/>
  <c r="F148" i="13"/>
  <c r="F167" i="13" s="1"/>
  <c r="I129" i="13"/>
  <c r="E148" i="13"/>
  <c r="J128" i="13"/>
  <c r="K128" i="13" s="1"/>
  <c r="K147" i="13"/>
  <c r="K166" i="13" s="1"/>
  <c r="L166" i="13" s="1"/>
  <c r="M166" i="13" s="1"/>
  <c r="F184" i="13"/>
  <c r="D54" i="12"/>
  <c r="F147" i="13"/>
  <c r="F166" i="13" s="1"/>
  <c r="I130" i="13"/>
  <c r="E149" i="13"/>
  <c r="L146" i="13"/>
  <c r="M146" i="13" s="1"/>
  <c r="K184" i="13"/>
  <c r="L184" i="13" s="1"/>
  <c r="M184" i="13" s="1"/>
  <c r="R145" i="13"/>
  <c r="P183" i="13"/>
  <c r="B73" i="13"/>
  <c r="D130" i="13"/>
  <c r="D149" i="13" s="1"/>
  <c r="C72" i="13"/>
  <c r="C73" i="13" a="1"/>
  <c r="E55" i="12" a="1"/>
  <c r="E54" i="12" a="1"/>
  <c r="R182" i="13" l="1"/>
  <c r="T146" i="13"/>
  <c r="P165" i="13"/>
  <c r="T163" i="13"/>
  <c r="R163" i="13"/>
  <c r="E187" i="13"/>
  <c r="E168" i="13"/>
  <c r="D187" i="13"/>
  <c r="D168" i="13"/>
  <c r="E186" i="13"/>
  <c r="E167" i="13"/>
  <c r="P127" i="13"/>
  <c r="R127" i="13"/>
  <c r="E54" i="12"/>
  <c r="F54" i="12" s="1"/>
  <c r="N128" i="13" s="1"/>
  <c r="P147" i="13" s="1"/>
  <c r="E55" i="12"/>
  <c r="F55" i="12" s="1"/>
  <c r="N129" i="13" s="1"/>
  <c r="P148" i="13" s="1"/>
  <c r="P167" i="13" s="1"/>
  <c r="J130" i="13"/>
  <c r="K130" i="13" s="1"/>
  <c r="K149" i="13"/>
  <c r="K168" i="13" s="1"/>
  <c r="L168" i="13" s="1"/>
  <c r="M168" i="13" s="1"/>
  <c r="J129" i="13"/>
  <c r="K129" i="13" s="1"/>
  <c r="K148" i="13"/>
  <c r="K167" i="13" s="1"/>
  <c r="L167" i="13" s="1"/>
  <c r="M167" i="13" s="1"/>
  <c r="F185" i="13"/>
  <c r="F186" i="13"/>
  <c r="L147" i="13"/>
  <c r="M147" i="13" s="1"/>
  <c r="K185" i="13"/>
  <c r="L185" i="13" s="1"/>
  <c r="M185" i="13" s="1"/>
  <c r="P184" i="13"/>
  <c r="T184" i="13" s="1"/>
  <c r="R146" i="13"/>
  <c r="R183" i="13"/>
  <c r="T183" i="13"/>
  <c r="C73" i="13"/>
  <c r="C56" i="12"/>
  <c r="F130" i="13"/>
  <c r="H170" i="13" l="1"/>
  <c r="F170" i="13"/>
  <c r="I182" i="13" s="1"/>
  <c r="T147" i="13"/>
  <c r="P166" i="13"/>
  <c r="R166" i="13" s="1"/>
  <c r="T165" i="13"/>
  <c r="R164" i="13"/>
  <c r="T164" i="13"/>
  <c r="R165" i="13"/>
  <c r="I179" i="13"/>
  <c r="I173" i="13"/>
  <c r="I175" i="13"/>
  <c r="I183" i="13"/>
  <c r="I176" i="13"/>
  <c r="I184" i="13"/>
  <c r="I187" i="13"/>
  <c r="I174" i="13"/>
  <c r="I181" i="13"/>
  <c r="I177" i="13"/>
  <c r="I185" i="13"/>
  <c r="I178" i="13"/>
  <c r="I186" i="13"/>
  <c r="I180" i="13"/>
  <c r="P129" i="13"/>
  <c r="L149" i="13"/>
  <c r="M149" i="13" s="1"/>
  <c r="K187" i="13"/>
  <c r="L187" i="13" s="1"/>
  <c r="M187" i="13" s="1"/>
  <c r="P128" i="13"/>
  <c r="D56" i="12"/>
  <c r="F149" i="13"/>
  <c r="F168" i="13" s="1"/>
  <c r="R129" i="13"/>
  <c r="R128" i="13"/>
  <c r="L148" i="13"/>
  <c r="M148" i="13" s="1"/>
  <c r="K186" i="13"/>
  <c r="L186" i="13" s="1"/>
  <c r="M186" i="13" s="1"/>
  <c r="R184" i="13"/>
  <c r="P186" i="13"/>
  <c r="T148" i="13"/>
  <c r="R147" i="13"/>
  <c r="P185" i="13"/>
  <c r="E56" i="12" a="1"/>
  <c r="T166" i="13" l="1"/>
  <c r="R167" i="13"/>
  <c r="T167" i="13"/>
  <c r="R148" i="13"/>
  <c r="E56" i="12"/>
  <c r="F56" i="12" s="1"/>
  <c r="N130" i="13" s="1"/>
  <c r="R130" i="13" s="1"/>
  <c r="F187" i="13"/>
  <c r="T186" i="13"/>
  <c r="R185" i="13"/>
  <c r="R186" i="13"/>
  <c r="T185" i="13"/>
  <c r="M41" i="15" l="1"/>
  <c r="M48" i="15"/>
  <c r="M42" i="15"/>
  <c r="M43" i="15"/>
  <c r="M49" i="15"/>
  <c r="M50" i="15"/>
  <c r="M51" i="15"/>
  <c r="M52" i="15"/>
  <c r="M53" i="15"/>
  <c r="M121" i="15"/>
  <c r="M120" i="15"/>
  <c r="M128" i="15"/>
  <c r="M111" i="15"/>
  <c r="M127" i="15"/>
  <c r="M113" i="15"/>
  <c r="M129" i="15"/>
  <c r="M123" i="15"/>
  <c r="M119" i="15"/>
  <c r="M130" i="15"/>
  <c r="M125" i="15"/>
  <c r="M122" i="15"/>
  <c r="M108" i="15"/>
  <c r="M110" i="15"/>
  <c r="M132" i="15"/>
  <c r="M126" i="15"/>
  <c r="M124" i="15"/>
  <c r="M114" i="15"/>
  <c r="M109" i="15"/>
  <c r="M131" i="15"/>
  <c r="M112" i="15"/>
  <c r="P149" i="13"/>
  <c r="P130" i="13"/>
  <c r="P187" i="13" l="1"/>
  <c r="P168" i="13"/>
  <c r="T149" i="13"/>
  <c r="R149" i="13"/>
  <c r="R187" i="13"/>
  <c r="T187" i="13"/>
  <c r="R168" i="13" l="1"/>
  <c r="T168" i="13"/>
  <c r="G23" i="10" l="1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C3" i="10"/>
  <c r="C7" i="10" s="1"/>
  <c r="D7" i="10" s="1"/>
  <c r="E7" i="10" s="1"/>
  <c r="F7" i="10" s="1"/>
  <c r="N7" i="10" s="1"/>
  <c r="M7" i="10" l="1"/>
  <c r="E3" i="10"/>
  <c r="C8" i="10"/>
  <c r="D8" i="10" s="1"/>
  <c r="E8" i="10" s="1"/>
  <c r="F8" i="10" s="1"/>
  <c r="D3" i="10"/>
  <c r="F3" i="10"/>
  <c r="C5" i="10"/>
  <c r="D5" i="10" s="1"/>
  <c r="E5" i="10" s="1"/>
  <c r="F5" i="10" s="1"/>
  <c r="C6" i="10"/>
  <c r="D6" i="10" s="1"/>
  <c r="E6" i="10" s="1"/>
  <c r="F6" i="10" s="1"/>
  <c r="N6" i="10" l="1"/>
  <c r="M6" i="10"/>
  <c r="M5" i="10"/>
  <c r="N5" i="10"/>
  <c r="M8" i="10"/>
  <c r="N8" i="10"/>
  <c r="C23" i="10"/>
  <c r="D23" i="10" s="1"/>
  <c r="E23" i="10" s="1"/>
  <c r="F23" i="10" s="1"/>
  <c r="C15" i="10"/>
  <c r="D15" i="10" s="1"/>
  <c r="E15" i="10" s="1"/>
  <c r="F15" i="10" s="1"/>
  <c r="C22" i="10"/>
  <c r="D22" i="10" s="1"/>
  <c r="E22" i="10" s="1"/>
  <c r="F22" i="10" s="1"/>
  <c r="C14" i="10"/>
  <c r="D14" i="10" s="1"/>
  <c r="E14" i="10" s="1"/>
  <c r="F14" i="10" s="1"/>
  <c r="C21" i="10"/>
  <c r="D21" i="10" s="1"/>
  <c r="E21" i="10" s="1"/>
  <c r="F21" i="10" s="1"/>
  <c r="C13" i="10"/>
  <c r="D13" i="10" s="1"/>
  <c r="E13" i="10" s="1"/>
  <c r="F13" i="10" s="1"/>
  <c r="C20" i="10"/>
  <c r="D20" i="10" s="1"/>
  <c r="E20" i="10" s="1"/>
  <c r="F20" i="10" s="1"/>
  <c r="C12" i="10"/>
  <c r="D12" i="10" s="1"/>
  <c r="E12" i="10" s="1"/>
  <c r="F12" i="10" s="1"/>
  <c r="C19" i="10"/>
  <c r="D19" i="10" s="1"/>
  <c r="E19" i="10" s="1"/>
  <c r="F19" i="10" s="1"/>
  <c r="C11" i="10"/>
  <c r="D11" i="10" s="1"/>
  <c r="E11" i="10" s="1"/>
  <c r="F11" i="10" s="1"/>
  <c r="C18" i="10"/>
  <c r="D18" i="10" s="1"/>
  <c r="E18" i="10" s="1"/>
  <c r="F18" i="10" s="1"/>
  <c r="C10" i="10"/>
  <c r="D10" i="10" s="1"/>
  <c r="E10" i="10" s="1"/>
  <c r="F10" i="10" s="1"/>
  <c r="C17" i="10"/>
  <c r="D17" i="10" s="1"/>
  <c r="E17" i="10" s="1"/>
  <c r="F17" i="10" s="1"/>
  <c r="C9" i="10"/>
  <c r="D9" i="10" s="1"/>
  <c r="E9" i="10" s="1"/>
  <c r="F9" i="10" s="1"/>
  <c r="C16" i="10"/>
  <c r="D16" i="10" s="1"/>
  <c r="E16" i="10" s="1"/>
  <c r="F16" i="10" s="1"/>
  <c r="N16" i="10" l="1"/>
  <c r="M16" i="10"/>
  <c r="M9" i="10"/>
  <c r="N9" i="10"/>
  <c r="M17" i="10"/>
  <c r="N17" i="10"/>
  <c r="N14" i="10"/>
  <c r="M14" i="10"/>
  <c r="M18" i="10"/>
  <c r="N18" i="10"/>
  <c r="N22" i="10"/>
  <c r="M22" i="10"/>
  <c r="M20" i="10"/>
  <c r="N20" i="10"/>
  <c r="N13" i="10"/>
  <c r="M13" i="10"/>
  <c r="M10" i="10"/>
  <c r="N10" i="10"/>
  <c r="N15" i="10"/>
  <c r="M15" i="10"/>
  <c r="N23" i="10"/>
  <c r="M23" i="10"/>
  <c r="M21" i="10"/>
  <c r="N21" i="10"/>
  <c r="M11" i="10"/>
  <c r="N11" i="10"/>
  <c r="M19" i="10"/>
  <c r="N19" i="10"/>
  <c r="M12" i="10"/>
  <c r="N12" i="10"/>
  <c r="H19" i="10"/>
  <c r="H23" i="10"/>
  <c r="H12" i="10"/>
  <c r="H11" i="10"/>
  <c r="H20" i="10"/>
  <c r="H16" i="10"/>
  <c r="H13" i="10"/>
  <c r="H17" i="10"/>
  <c r="H21" i="10"/>
  <c r="H10" i="10"/>
  <c r="H14" i="10"/>
  <c r="H15" i="10"/>
  <c r="H18" i="10"/>
  <c r="H22" i="10"/>
  <c r="F27" i="10" l="1" a="1"/>
  <c r="H27" i="10" l="1"/>
  <c r="H29" i="10"/>
  <c r="F27" i="10"/>
  <c r="G29" i="10"/>
  <c r="F29" i="10"/>
  <c r="H28" i="10"/>
  <c r="G28" i="10"/>
  <c r="G27" i="10"/>
  <c r="F28" i="10"/>
  <c r="F32" i="10" l="1" a="1"/>
  <c r="F33" i="10" s="1"/>
  <c r="H33" i="10" l="1"/>
  <c r="G33" i="10"/>
  <c r="F34" i="10"/>
  <c r="G34" i="10"/>
  <c r="H34" i="10"/>
  <c r="F32" i="10"/>
  <c r="G32" i="10"/>
  <c r="H32" i="10"/>
  <c r="C7" i="9" l="1"/>
  <c r="F7" i="9" s="1"/>
  <c r="E63" i="1"/>
  <c r="E64" i="1"/>
  <c r="E65" i="1"/>
  <c r="E62" i="1"/>
  <c r="C11" i="9" l="1"/>
  <c r="D11" i="9" s="1"/>
  <c r="E11" i="9" s="1"/>
  <c r="F11" i="9" s="1"/>
  <c r="C12" i="9"/>
  <c r="C9" i="9"/>
  <c r="D9" i="9" s="1"/>
  <c r="E9" i="9" s="1"/>
  <c r="F9" i="9" s="1"/>
  <c r="C10" i="9"/>
  <c r="D10" i="9" s="1"/>
  <c r="E10" i="9" s="1"/>
  <c r="F10" i="9" s="1"/>
  <c r="D7" i="9"/>
  <c r="E7" i="9"/>
  <c r="K10" i="9" a="1"/>
  <c r="K9" i="9" a="1"/>
  <c r="H11" i="9" a="1"/>
  <c r="H10" i="9" a="1"/>
  <c r="H9" i="9" a="1"/>
  <c r="K11" i="9" a="1"/>
  <c r="H10" i="9" l="1"/>
  <c r="H9" i="9"/>
  <c r="H11" i="9"/>
  <c r="D12" i="9"/>
  <c r="E12" i="9" s="1"/>
  <c r="F12" i="9" s="1"/>
  <c r="C13" i="9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28" i="9" s="1"/>
  <c r="C29" i="9" s="1"/>
  <c r="C30" i="9" s="1"/>
  <c r="C31" i="9" s="1"/>
  <c r="C32" i="9" s="1"/>
  <c r="K10" i="9"/>
  <c r="K9" i="9"/>
  <c r="K11" i="9"/>
  <c r="H12" i="9" a="1"/>
  <c r="K12" i="9" a="1"/>
  <c r="C33" i="9" l="1"/>
  <c r="D32" i="9"/>
  <c r="E32" i="9" s="1"/>
  <c r="F32" i="9" s="1"/>
  <c r="H12" i="9"/>
  <c r="D13" i="9"/>
  <c r="E13" i="9" s="1"/>
  <c r="F13" i="9" s="1"/>
  <c r="K12" i="9"/>
  <c r="D17" i="9"/>
  <c r="E17" i="9" s="1"/>
  <c r="F17" i="9" s="1"/>
  <c r="D25" i="9"/>
  <c r="E25" i="9" s="1"/>
  <c r="F25" i="9" s="1"/>
  <c r="D21" i="9"/>
  <c r="E21" i="9" s="1"/>
  <c r="F21" i="9" s="1"/>
  <c r="D18" i="9"/>
  <c r="E18" i="9" s="1"/>
  <c r="F18" i="9" s="1"/>
  <c r="D27" i="9"/>
  <c r="E27" i="9" s="1"/>
  <c r="F27" i="9" s="1"/>
  <c r="D22" i="9"/>
  <c r="E22" i="9" s="1"/>
  <c r="F22" i="9" s="1"/>
  <c r="D30" i="9"/>
  <c r="E30" i="9" s="1"/>
  <c r="F30" i="9" s="1"/>
  <c r="D15" i="9"/>
  <c r="E15" i="9" s="1"/>
  <c r="F15" i="9" s="1"/>
  <c r="D29" i="9"/>
  <c r="E29" i="9" s="1"/>
  <c r="F29" i="9" s="1"/>
  <c r="D19" i="9"/>
  <c r="E19" i="9" s="1"/>
  <c r="F19" i="9" s="1"/>
  <c r="D14" i="9"/>
  <c r="E14" i="9" s="1"/>
  <c r="F14" i="9" s="1"/>
  <c r="D26" i="9"/>
  <c r="E26" i="9" s="1"/>
  <c r="F26" i="9" s="1"/>
  <c r="D28" i="9"/>
  <c r="E28" i="9" s="1"/>
  <c r="F28" i="9" s="1"/>
  <c r="D31" i="9"/>
  <c r="E31" i="9" s="1"/>
  <c r="F31" i="9" s="1"/>
  <c r="D24" i="9"/>
  <c r="E24" i="9" s="1"/>
  <c r="F24" i="9" s="1"/>
  <c r="D16" i="9"/>
  <c r="E16" i="9" s="1"/>
  <c r="F16" i="9" s="1"/>
  <c r="D23" i="9"/>
  <c r="E23" i="9" s="1"/>
  <c r="F23" i="9" s="1"/>
  <c r="D20" i="9"/>
  <c r="E20" i="9" s="1"/>
  <c r="F20" i="9" s="1"/>
  <c r="L8" i="7"/>
  <c r="K36" i="7"/>
  <c r="K31" i="7"/>
  <c r="K26" i="7"/>
  <c r="K21" i="7"/>
  <c r="K18" i="7"/>
  <c r="K16" i="7"/>
  <c r="K11" i="7"/>
  <c r="K12" i="7"/>
  <c r="K13" i="7"/>
  <c r="K14" i="7"/>
  <c r="K15" i="7"/>
  <c r="K10" i="7"/>
  <c r="K9" i="7"/>
  <c r="K8" i="7"/>
  <c r="H22" i="9" a="1"/>
  <c r="H27" i="9" a="1"/>
  <c r="K31" i="9" a="1"/>
  <c r="K17" i="9" a="1"/>
  <c r="H14" i="9" a="1"/>
  <c r="K19" i="9" a="1"/>
  <c r="H19" i="9" a="1"/>
  <c r="K15" i="9" a="1"/>
  <c r="K21" i="9" a="1"/>
  <c r="K16" i="9" a="1"/>
  <c r="K24" i="9" a="1"/>
  <c r="H13" i="9" a="1"/>
  <c r="H30" i="9" a="1"/>
  <c r="H26" i="9" a="1"/>
  <c r="K28" i="9" a="1"/>
  <c r="H25" i="9" a="1"/>
  <c r="H18" i="9" a="1"/>
  <c r="H20" i="9" a="1"/>
  <c r="K22" i="9" a="1"/>
  <c r="K13" i="9" a="1"/>
  <c r="H21" i="9" a="1"/>
  <c r="K29" i="9" a="1"/>
  <c r="K20" i="9" a="1"/>
  <c r="K30" i="9" a="1"/>
  <c r="H17" i="9" a="1"/>
  <c r="K26" i="9" a="1"/>
  <c r="H32" i="9" a="1"/>
  <c r="H28" i="9" a="1"/>
  <c r="H16" i="9" a="1"/>
  <c r="K25" i="9" a="1"/>
  <c r="K18" i="9" a="1"/>
  <c r="H29" i="9" a="1"/>
  <c r="K23" i="9" a="1"/>
  <c r="K27" i="9" a="1"/>
  <c r="H23" i="9" a="1"/>
  <c r="H31" i="9" a="1"/>
  <c r="H24" i="9" a="1"/>
  <c r="H15" i="9" a="1"/>
  <c r="K14" i="9" a="1"/>
  <c r="H32" i="9" l="1"/>
  <c r="D33" i="9"/>
  <c r="E33" i="9" s="1"/>
  <c r="F33" i="9" s="1"/>
  <c r="C34" i="9"/>
  <c r="H25" i="9"/>
  <c r="H17" i="9"/>
  <c r="H29" i="9"/>
  <c r="H16" i="9"/>
  <c r="H15" i="9"/>
  <c r="H24" i="9"/>
  <c r="H30" i="9"/>
  <c r="H13" i="9"/>
  <c r="K13" i="9"/>
  <c r="H31" i="9"/>
  <c r="H22" i="9"/>
  <c r="H20" i="9"/>
  <c r="H28" i="9"/>
  <c r="H27" i="9"/>
  <c r="H19" i="9"/>
  <c r="H26" i="9"/>
  <c r="H18" i="9"/>
  <c r="H23" i="9"/>
  <c r="H14" i="9"/>
  <c r="H21" i="9"/>
  <c r="K20" i="9"/>
  <c r="K28" i="9"/>
  <c r="K23" i="9"/>
  <c r="K30" i="9"/>
  <c r="K25" i="9"/>
  <c r="K15" i="9"/>
  <c r="K16" i="9"/>
  <c r="K26" i="9"/>
  <c r="K22" i="9"/>
  <c r="K14" i="9"/>
  <c r="K24" i="9"/>
  <c r="K19" i="9"/>
  <c r="K27" i="9"/>
  <c r="K17" i="9"/>
  <c r="K31" i="9"/>
  <c r="K18" i="9"/>
  <c r="K29" i="9"/>
  <c r="K21" i="9"/>
  <c r="A6" i="8"/>
  <c r="B6" i="8" s="1"/>
  <c r="A5" i="8"/>
  <c r="B5" i="8" s="1"/>
  <c r="B4" i="8"/>
  <c r="L35" i="7"/>
  <c r="L34" i="7"/>
  <c r="L32" i="7"/>
  <c r="L33" i="7" s="1"/>
  <c r="L27" i="7"/>
  <c r="L31" i="7" s="1"/>
  <c r="L26" i="7"/>
  <c r="L24" i="7"/>
  <c r="L22" i="7"/>
  <c r="L25" i="7" s="1"/>
  <c r="L19" i="7"/>
  <c r="L21" i="7" s="1"/>
  <c r="L18" i="7"/>
  <c r="L15" i="7"/>
  <c r="L17" i="7"/>
  <c r="L16" i="7"/>
  <c r="L14" i="7"/>
  <c r="L13" i="7"/>
  <c r="L12" i="7"/>
  <c r="L11" i="7"/>
  <c r="L10" i="7"/>
  <c r="L9" i="7"/>
  <c r="G5" i="8" a="1"/>
  <c r="F4" i="8" a="1"/>
  <c r="G4" i="8" a="1"/>
  <c r="K32" i="9" a="1"/>
  <c r="F6" i="8" a="1"/>
  <c r="F5" i="8" a="1"/>
  <c r="G6" i="8" a="1"/>
  <c r="H33" i="9" a="1"/>
  <c r="H33" i="9" l="1"/>
  <c r="K32" i="9"/>
  <c r="A7" i="8"/>
  <c r="A8" i="8" s="1"/>
  <c r="C35" i="9"/>
  <c r="D34" i="9"/>
  <c r="E34" i="9" s="1"/>
  <c r="F34" i="9" s="1"/>
  <c r="A9" i="8"/>
  <c r="B8" i="8"/>
  <c r="B7" i="8"/>
  <c r="F5" i="8"/>
  <c r="G6" i="8"/>
  <c r="F6" i="8"/>
  <c r="F4" i="8"/>
  <c r="G5" i="8"/>
  <c r="G4" i="8"/>
  <c r="L20" i="7"/>
  <c r="L28" i="7"/>
  <c r="L36" i="7"/>
  <c r="L29" i="7"/>
  <c r="L30" i="7"/>
  <c r="L23" i="7"/>
  <c r="F7" i="8" a="1"/>
  <c r="H34" i="9" a="1"/>
  <c r="G8" i="8" a="1"/>
  <c r="K34" i="9" a="1"/>
  <c r="F8" i="8" a="1"/>
  <c r="G7" i="8" a="1"/>
  <c r="K33" i="9" a="1"/>
  <c r="H34" i="9" l="1"/>
  <c r="K34" i="9"/>
  <c r="K33" i="9"/>
  <c r="D35" i="9"/>
  <c r="E35" i="9" s="1"/>
  <c r="F35" i="9" s="1"/>
  <c r="C36" i="9"/>
  <c r="G7" i="8"/>
  <c r="F7" i="8"/>
  <c r="G8" i="8"/>
  <c r="F8" i="8"/>
  <c r="A10" i="8"/>
  <c r="B9" i="8"/>
  <c r="F9" i="8" a="1"/>
  <c r="G9" i="8" a="1"/>
  <c r="K35" i="9" a="1"/>
  <c r="H35" i="9" a="1"/>
  <c r="H35" i="9" l="1"/>
  <c r="K35" i="9"/>
  <c r="C37" i="9"/>
  <c r="D36" i="9"/>
  <c r="E36" i="9" s="1"/>
  <c r="F36" i="9" s="1"/>
  <c r="G9" i="8"/>
  <c r="F9" i="8"/>
  <c r="A11" i="8"/>
  <c r="B10" i="8"/>
  <c r="D8" i="7"/>
  <c r="D9" i="7" s="1"/>
  <c r="D10" i="7" s="1"/>
  <c r="D11" i="7" s="1"/>
  <c r="D12" i="7" s="1"/>
  <c r="D13" i="7" s="1"/>
  <c r="D14" i="7" s="1"/>
  <c r="D15" i="7" s="1"/>
  <c r="D16" i="7" s="1"/>
  <c r="D17" i="7" s="1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H36" i="9" a="1"/>
  <c r="F10" i="8" a="1"/>
  <c r="G10" i="8" a="1"/>
  <c r="K36" i="9" a="1"/>
  <c r="H36" i="9" l="1"/>
  <c r="K36" i="9"/>
  <c r="C38" i="9"/>
  <c r="D37" i="9"/>
  <c r="E37" i="9" s="1"/>
  <c r="F37" i="9" s="1"/>
  <c r="G10" i="8"/>
  <c r="F10" i="8"/>
  <c r="B11" i="8"/>
  <c r="A12" i="8"/>
  <c r="H37" i="9" a="1"/>
  <c r="K37" i="9" a="1"/>
  <c r="G11" i="8" a="1"/>
  <c r="F11" i="8" a="1"/>
  <c r="H37" i="9" l="1"/>
  <c r="K37" i="9"/>
  <c r="D38" i="9"/>
  <c r="E38" i="9" s="1"/>
  <c r="F38" i="9" s="1"/>
  <c r="C39" i="9"/>
  <c r="G11" i="8"/>
  <c r="F11" i="8"/>
  <c r="B12" i="8"/>
  <c r="A13" i="8"/>
  <c r="H38" i="9" a="1"/>
  <c r="K38" i="9" a="1"/>
  <c r="G12" i="8" a="1"/>
  <c r="F12" i="8" a="1"/>
  <c r="H38" i="9" l="1"/>
  <c r="K38" i="9"/>
  <c r="D39" i="9"/>
  <c r="E39" i="9" s="1"/>
  <c r="F39" i="9" s="1"/>
  <c r="C40" i="9"/>
  <c r="G12" i="8"/>
  <c r="F12" i="8"/>
  <c r="A14" i="8"/>
  <c r="B13" i="8"/>
  <c r="K4" i="5"/>
  <c r="D29" i="1"/>
  <c r="E29" i="1" s="1"/>
  <c r="G29" i="1" s="1"/>
  <c r="M29" i="1"/>
  <c r="M30" i="1"/>
  <c r="M31" i="1"/>
  <c r="M32" i="1"/>
  <c r="M33" i="1"/>
  <c r="M34" i="1"/>
  <c r="M35" i="1"/>
  <c r="M36" i="1"/>
  <c r="M28" i="1"/>
  <c r="K28" i="1"/>
  <c r="E28" i="1"/>
  <c r="G28" i="1" s="1"/>
  <c r="C28" i="1"/>
  <c r="F28" i="1" s="1"/>
  <c r="B29" i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C41" i="1" s="1"/>
  <c r="F41" i="1" s="1"/>
  <c r="IW20" i="4"/>
  <c r="IV20" i="4"/>
  <c r="IU20" i="4"/>
  <c r="IT20" i="4"/>
  <c r="IS20" i="4"/>
  <c r="IR20" i="4"/>
  <c r="IQ20" i="4"/>
  <c r="IP20" i="4"/>
  <c r="IO20" i="4"/>
  <c r="IN20" i="4"/>
  <c r="IM20" i="4"/>
  <c r="IL20" i="4"/>
  <c r="IK20" i="4"/>
  <c r="IJ20" i="4"/>
  <c r="II20" i="4"/>
  <c r="IH20" i="4"/>
  <c r="IG20" i="4"/>
  <c r="IF20" i="4"/>
  <c r="IE20" i="4"/>
  <c r="ID20" i="4"/>
  <c r="IC20" i="4"/>
  <c r="IB20" i="4"/>
  <c r="IA20" i="4"/>
  <c r="HZ20" i="4"/>
  <c r="HY20" i="4"/>
  <c r="HX20" i="4"/>
  <c r="HW20" i="4"/>
  <c r="HV20" i="4"/>
  <c r="HU20" i="4"/>
  <c r="HT20" i="4"/>
  <c r="HS20" i="4"/>
  <c r="HR20" i="4"/>
  <c r="HQ20" i="4"/>
  <c r="HP20" i="4"/>
  <c r="HO20" i="4"/>
  <c r="HN20" i="4"/>
  <c r="HM20" i="4"/>
  <c r="HL20" i="4"/>
  <c r="HK20" i="4"/>
  <c r="HJ20" i="4"/>
  <c r="HI20" i="4"/>
  <c r="HH20" i="4"/>
  <c r="HG20" i="4"/>
  <c r="HF20" i="4"/>
  <c r="HE20" i="4"/>
  <c r="HD20" i="4"/>
  <c r="HC20" i="4"/>
  <c r="HB20" i="4"/>
  <c r="HA20" i="4"/>
  <c r="GZ20" i="4"/>
  <c r="GY20" i="4"/>
  <c r="GX20" i="4"/>
  <c r="GW20" i="4"/>
  <c r="GV20" i="4"/>
  <c r="GU20" i="4"/>
  <c r="GT20" i="4"/>
  <c r="GS20" i="4"/>
  <c r="GR20" i="4"/>
  <c r="GQ20" i="4"/>
  <c r="GP20" i="4"/>
  <c r="GO20" i="4"/>
  <c r="GN20" i="4"/>
  <c r="GM20" i="4"/>
  <c r="GL20" i="4"/>
  <c r="GK20" i="4"/>
  <c r="GJ20" i="4"/>
  <c r="GI20" i="4"/>
  <c r="GH20" i="4"/>
  <c r="GG20" i="4"/>
  <c r="GF20" i="4"/>
  <c r="GE20" i="4"/>
  <c r="GD20" i="4"/>
  <c r="GC20" i="4"/>
  <c r="GB20" i="4"/>
  <c r="GA20" i="4"/>
  <c r="FZ20" i="4"/>
  <c r="FY20" i="4"/>
  <c r="FX20" i="4"/>
  <c r="FW20" i="4"/>
  <c r="FV20" i="4"/>
  <c r="FU20" i="4"/>
  <c r="FT20" i="4"/>
  <c r="FS20" i="4"/>
  <c r="FR20" i="4"/>
  <c r="FQ20" i="4"/>
  <c r="FP20" i="4"/>
  <c r="FO20" i="4"/>
  <c r="FN20" i="4"/>
  <c r="FM20" i="4"/>
  <c r="FL20" i="4"/>
  <c r="FK20" i="4"/>
  <c r="FJ20" i="4"/>
  <c r="FI20" i="4"/>
  <c r="FH20" i="4"/>
  <c r="FG20" i="4"/>
  <c r="FF20" i="4"/>
  <c r="FE20" i="4"/>
  <c r="FD20" i="4"/>
  <c r="FC20" i="4"/>
  <c r="FB20" i="4"/>
  <c r="FA20" i="4"/>
  <c r="EZ20" i="4"/>
  <c r="EY20" i="4"/>
  <c r="EX20" i="4"/>
  <c r="EW20" i="4"/>
  <c r="EV20" i="4"/>
  <c r="EU20" i="4"/>
  <c r="ET20" i="4"/>
  <c r="ES20" i="4"/>
  <c r="ER20" i="4"/>
  <c r="EQ20" i="4"/>
  <c r="EP20" i="4"/>
  <c r="EO20" i="4"/>
  <c r="EN20" i="4"/>
  <c r="EM20" i="4"/>
  <c r="EL20" i="4"/>
  <c r="EK20" i="4"/>
  <c r="EJ20" i="4"/>
  <c r="EI20" i="4"/>
  <c r="EH20" i="4"/>
  <c r="EG20" i="4"/>
  <c r="EF20" i="4"/>
  <c r="EE20" i="4"/>
  <c r="ED20" i="4"/>
  <c r="EC20" i="4"/>
  <c r="EB20" i="4"/>
  <c r="EA20" i="4"/>
  <c r="DZ20" i="4"/>
  <c r="DY20" i="4"/>
  <c r="DX20" i="4"/>
  <c r="DW20" i="4"/>
  <c r="DV20" i="4"/>
  <c r="DU20" i="4"/>
  <c r="DT20" i="4"/>
  <c r="DS20" i="4"/>
  <c r="DR20" i="4"/>
  <c r="DQ20" i="4"/>
  <c r="DP20" i="4"/>
  <c r="DO20" i="4"/>
  <c r="DN20" i="4"/>
  <c r="DM20" i="4"/>
  <c r="DL20" i="4"/>
  <c r="DK20" i="4"/>
  <c r="DJ20" i="4"/>
  <c r="DI20" i="4"/>
  <c r="DH20" i="4"/>
  <c r="DG20" i="4"/>
  <c r="DF20" i="4"/>
  <c r="DE20" i="4"/>
  <c r="DD20" i="4"/>
  <c r="DC20" i="4"/>
  <c r="DB20" i="4"/>
  <c r="DA20" i="4"/>
  <c r="CZ20" i="4"/>
  <c r="CY20" i="4"/>
  <c r="CX20" i="4"/>
  <c r="CW20" i="4"/>
  <c r="CV20" i="4"/>
  <c r="CU20" i="4"/>
  <c r="CT20" i="4"/>
  <c r="CS20" i="4"/>
  <c r="CR20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CB20" i="4"/>
  <c r="CA20" i="4"/>
  <c r="BZ20" i="4"/>
  <c r="BY20" i="4"/>
  <c r="BX20" i="4"/>
  <c r="BW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IW19" i="4"/>
  <c r="IV19" i="4"/>
  <c r="IU19" i="4"/>
  <c r="IT19" i="4"/>
  <c r="IS19" i="4"/>
  <c r="IR19" i="4"/>
  <c r="IQ19" i="4"/>
  <c r="IP19" i="4"/>
  <c r="IO19" i="4"/>
  <c r="IN19" i="4"/>
  <c r="IM19" i="4"/>
  <c r="IL19" i="4"/>
  <c r="IK19" i="4"/>
  <c r="IJ19" i="4"/>
  <c r="II19" i="4"/>
  <c r="IH19" i="4"/>
  <c r="IG19" i="4"/>
  <c r="IF19" i="4"/>
  <c r="IE19" i="4"/>
  <c r="ID19" i="4"/>
  <c r="IC19" i="4"/>
  <c r="IB19" i="4"/>
  <c r="IA19" i="4"/>
  <c r="HZ19" i="4"/>
  <c r="HY19" i="4"/>
  <c r="HX19" i="4"/>
  <c r="HW19" i="4"/>
  <c r="HV19" i="4"/>
  <c r="HU19" i="4"/>
  <c r="HT19" i="4"/>
  <c r="HS19" i="4"/>
  <c r="HR19" i="4"/>
  <c r="HQ19" i="4"/>
  <c r="HP19" i="4"/>
  <c r="HO19" i="4"/>
  <c r="HN19" i="4"/>
  <c r="HM19" i="4"/>
  <c r="HL19" i="4"/>
  <c r="HK19" i="4"/>
  <c r="HJ19" i="4"/>
  <c r="HI19" i="4"/>
  <c r="HH19" i="4"/>
  <c r="HG19" i="4"/>
  <c r="HF19" i="4"/>
  <c r="HE19" i="4"/>
  <c r="HD19" i="4"/>
  <c r="HC19" i="4"/>
  <c r="HB19" i="4"/>
  <c r="HA19" i="4"/>
  <c r="GZ19" i="4"/>
  <c r="GY19" i="4"/>
  <c r="GX19" i="4"/>
  <c r="GW19" i="4"/>
  <c r="GV19" i="4"/>
  <c r="GU19" i="4"/>
  <c r="GT19" i="4"/>
  <c r="GS19" i="4"/>
  <c r="GR19" i="4"/>
  <c r="GQ19" i="4"/>
  <c r="GP19" i="4"/>
  <c r="GO19" i="4"/>
  <c r="GN19" i="4"/>
  <c r="GM19" i="4"/>
  <c r="GL19" i="4"/>
  <c r="GK19" i="4"/>
  <c r="GJ19" i="4"/>
  <c r="GI19" i="4"/>
  <c r="GH19" i="4"/>
  <c r="GG19" i="4"/>
  <c r="GF19" i="4"/>
  <c r="GE19" i="4"/>
  <c r="GD19" i="4"/>
  <c r="GC19" i="4"/>
  <c r="GB19" i="4"/>
  <c r="GA19" i="4"/>
  <c r="FZ19" i="4"/>
  <c r="FY19" i="4"/>
  <c r="FX19" i="4"/>
  <c r="FW19" i="4"/>
  <c r="FV19" i="4"/>
  <c r="FU19" i="4"/>
  <c r="FT19" i="4"/>
  <c r="FS19" i="4"/>
  <c r="FR19" i="4"/>
  <c r="FQ19" i="4"/>
  <c r="FP19" i="4"/>
  <c r="FO19" i="4"/>
  <c r="FN19" i="4"/>
  <c r="FM19" i="4"/>
  <c r="FL19" i="4"/>
  <c r="FK19" i="4"/>
  <c r="FJ19" i="4"/>
  <c r="FI19" i="4"/>
  <c r="FH19" i="4"/>
  <c r="FG19" i="4"/>
  <c r="FF19" i="4"/>
  <c r="FE19" i="4"/>
  <c r="FD19" i="4"/>
  <c r="FC19" i="4"/>
  <c r="FB19" i="4"/>
  <c r="FA19" i="4"/>
  <c r="EZ19" i="4"/>
  <c r="EY19" i="4"/>
  <c r="EX19" i="4"/>
  <c r="EW19" i="4"/>
  <c r="EV19" i="4"/>
  <c r="EU19" i="4"/>
  <c r="ET19" i="4"/>
  <c r="ES19" i="4"/>
  <c r="ER19" i="4"/>
  <c r="EQ19" i="4"/>
  <c r="EP19" i="4"/>
  <c r="EO19" i="4"/>
  <c r="EN19" i="4"/>
  <c r="EM19" i="4"/>
  <c r="EL19" i="4"/>
  <c r="EK19" i="4"/>
  <c r="EJ19" i="4"/>
  <c r="EI19" i="4"/>
  <c r="EH19" i="4"/>
  <c r="EG19" i="4"/>
  <c r="EF19" i="4"/>
  <c r="EE19" i="4"/>
  <c r="ED19" i="4"/>
  <c r="EC19" i="4"/>
  <c r="EB19" i="4"/>
  <c r="EA19" i="4"/>
  <c r="DZ19" i="4"/>
  <c r="DY19" i="4"/>
  <c r="DX19" i="4"/>
  <c r="DW19" i="4"/>
  <c r="DV19" i="4"/>
  <c r="DU19" i="4"/>
  <c r="DT19" i="4"/>
  <c r="DS19" i="4"/>
  <c r="DR19" i="4"/>
  <c r="DQ19" i="4"/>
  <c r="DP19" i="4"/>
  <c r="DO19" i="4"/>
  <c r="DN19" i="4"/>
  <c r="DM19" i="4"/>
  <c r="DL19" i="4"/>
  <c r="DK19" i="4"/>
  <c r="DJ19" i="4"/>
  <c r="DI19" i="4"/>
  <c r="DH19" i="4"/>
  <c r="DG19" i="4"/>
  <c r="DF19" i="4"/>
  <c r="DE19" i="4"/>
  <c r="DD19" i="4"/>
  <c r="DC19" i="4"/>
  <c r="DB19" i="4"/>
  <c r="DA19" i="4"/>
  <c r="CZ19" i="4"/>
  <c r="CY19" i="4"/>
  <c r="CX19" i="4"/>
  <c r="CW19" i="4"/>
  <c r="CV19" i="4"/>
  <c r="CU19" i="4"/>
  <c r="CT19" i="4"/>
  <c r="CS19" i="4"/>
  <c r="CR19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CB19" i="4"/>
  <c r="CA19" i="4"/>
  <c r="BZ19" i="4"/>
  <c r="BY19" i="4"/>
  <c r="BX19" i="4"/>
  <c r="BW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IW18" i="4"/>
  <c r="IV18" i="4"/>
  <c r="IU18" i="4"/>
  <c r="IT18" i="4"/>
  <c r="IS18" i="4"/>
  <c r="IR18" i="4"/>
  <c r="IQ18" i="4"/>
  <c r="IP18" i="4"/>
  <c r="IO18" i="4"/>
  <c r="IN18" i="4"/>
  <c r="IM18" i="4"/>
  <c r="IL18" i="4"/>
  <c r="IK18" i="4"/>
  <c r="IJ18" i="4"/>
  <c r="II18" i="4"/>
  <c r="IH18" i="4"/>
  <c r="IG18" i="4"/>
  <c r="IF18" i="4"/>
  <c r="IE18" i="4"/>
  <c r="ID18" i="4"/>
  <c r="IC18" i="4"/>
  <c r="IB18" i="4"/>
  <c r="IA18" i="4"/>
  <c r="HZ18" i="4"/>
  <c r="HY18" i="4"/>
  <c r="HX18" i="4"/>
  <c r="HW18" i="4"/>
  <c r="HV18" i="4"/>
  <c r="HU18" i="4"/>
  <c r="HT18" i="4"/>
  <c r="HS18" i="4"/>
  <c r="HR18" i="4"/>
  <c r="HQ18" i="4"/>
  <c r="HP18" i="4"/>
  <c r="HO18" i="4"/>
  <c r="HN18" i="4"/>
  <c r="HM18" i="4"/>
  <c r="HL18" i="4"/>
  <c r="HK18" i="4"/>
  <c r="HJ18" i="4"/>
  <c r="HI18" i="4"/>
  <c r="HH18" i="4"/>
  <c r="HG18" i="4"/>
  <c r="HF18" i="4"/>
  <c r="HE18" i="4"/>
  <c r="HD18" i="4"/>
  <c r="HC18" i="4"/>
  <c r="HB18" i="4"/>
  <c r="HA18" i="4"/>
  <c r="GZ18" i="4"/>
  <c r="GY18" i="4"/>
  <c r="GX18" i="4"/>
  <c r="GW18" i="4"/>
  <c r="GV18" i="4"/>
  <c r="GU18" i="4"/>
  <c r="GT18" i="4"/>
  <c r="GS18" i="4"/>
  <c r="GR18" i="4"/>
  <c r="GQ18" i="4"/>
  <c r="GP18" i="4"/>
  <c r="GO18" i="4"/>
  <c r="GN18" i="4"/>
  <c r="GM18" i="4"/>
  <c r="GL18" i="4"/>
  <c r="GK18" i="4"/>
  <c r="GJ18" i="4"/>
  <c r="GI18" i="4"/>
  <c r="GH18" i="4"/>
  <c r="GG18" i="4"/>
  <c r="GF18" i="4"/>
  <c r="GE18" i="4"/>
  <c r="GD18" i="4"/>
  <c r="GC18" i="4"/>
  <c r="GB18" i="4"/>
  <c r="GA18" i="4"/>
  <c r="FZ18" i="4"/>
  <c r="FY18" i="4"/>
  <c r="FX18" i="4"/>
  <c r="FW18" i="4"/>
  <c r="FV18" i="4"/>
  <c r="FU18" i="4"/>
  <c r="FT18" i="4"/>
  <c r="FS18" i="4"/>
  <c r="FR18" i="4"/>
  <c r="FQ18" i="4"/>
  <c r="FP18" i="4"/>
  <c r="FO18" i="4"/>
  <c r="FN18" i="4"/>
  <c r="FM18" i="4"/>
  <c r="FL18" i="4"/>
  <c r="FK18" i="4"/>
  <c r="FJ18" i="4"/>
  <c r="FI18" i="4"/>
  <c r="FH18" i="4"/>
  <c r="FG18" i="4"/>
  <c r="FF18" i="4"/>
  <c r="FE18" i="4"/>
  <c r="FD18" i="4"/>
  <c r="FC18" i="4"/>
  <c r="FB18" i="4"/>
  <c r="FA18" i="4"/>
  <c r="EZ18" i="4"/>
  <c r="EY18" i="4"/>
  <c r="EX18" i="4"/>
  <c r="EW18" i="4"/>
  <c r="EV18" i="4"/>
  <c r="EU18" i="4"/>
  <c r="ET18" i="4"/>
  <c r="ES18" i="4"/>
  <c r="ER18" i="4"/>
  <c r="EQ18" i="4"/>
  <c r="EP18" i="4"/>
  <c r="EO18" i="4"/>
  <c r="EN18" i="4"/>
  <c r="EM18" i="4"/>
  <c r="EL18" i="4"/>
  <c r="EK18" i="4"/>
  <c r="EJ18" i="4"/>
  <c r="EI18" i="4"/>
  <c r="EH18" i="4"/>
  <c r="EG18" i="4"/>
  <c r="EF18" i="4"/>
  <c r="EE18" i="4"/>
  <c r="ED18" i="4"/>
  <c r="EC18" i="4"/>
  <c r="EB18" i="4"/>
  <c r="EA18" i="4"/>
  <c r="DZ18" i="4"/>
  <c r="DY18" i="4"/>
  <c r="DX18" i="4"/>
  <c r="DW18" i="4"/>
  <c r="DV18" i="4"/>
  <c r="DU18" i="4"/>
  <c r="DT18" i="4"/>
  <c r="DS18" i="4"/>
  <c r="DR18" i="4"/>
  <c r="DQ18" i="4"/>
  <c r="DP18" i="4"/>
  <c r="DO18" i="4"/>
  <c r="DN18" i="4"/>
  <c r="DM18" i="4"/>
  <c r="DL18" i="4"/>
  <c r="DK18" i="4"/>
  <c r="DJ18" i="4"/>
  <c r="DI18" i="4"/>
  <c r="DH18" i="4"/>
  <c r="DG18" i="4"/>
  <c r="DF18" i="4"/>
  <c r="DE18" i="4"/>
  <c r="DD18" i="4"/>
  <c r="DC18" i="4"/>
  <c r="DB18" i="4"/>
  <c r="DA18" i="4"/>
  <c r="CZ18" i="4"/>
  <c r="CY18" i="4"/>
  <c r="CX18" i="4"/>
  <c r="CW18" i="4"/>
  <c r="CV18" i="4"/>
  <c r="CU18" i="4"/>
  <c r="CT18" i="4"/>
  <c r="CS18" i="4"/>
  <c r="CR18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CB18" i="4"/>
  <c r="CA18" i="4"/>
  <c r="BZ18" i="4"/>
  <c r="BY18" i="4"/>
  <c r="BX18" i="4"/>
  <c r="BW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IW17" i="4"/>
  <c r="IV17" i="4"/>
  <c r="IU17" i="4"/>
  <c r="IT17" i="4"/>
  <c r="IS17" i="4"/>
  <c r="IR17" i="4"/>
  <c r="IQ17" i="4"/>
  <c r="IP17" i="4"/>
  <c r="IO17" i="4"/>
  <c r="IN17" i="4"/>
  <c r="IM17" i="4"/>
  <c r="IL17" i="4"/>
  <c r="IK17" i="4"/>
  <c r="IJ17" i="4"/>
  <c r="II17" i="4"/>
  <c r="IH17" i="4"/>
  <c r="IG17" i="4"/>
  <c r="IF17" i="4"/>
  <c r="IE17" i="4"/>
  <c r="ID17" i="4"/>
  <c r="IC17" i="4"/>
  <c r="IB17" i="4"/>
  <c r="IA17" i="4"/>
  <c r="HZ17" i="4"/>
  <c r="HY17" i="4"/>
  <c r="HX17" i="4"/>
  <c r="HW17" i="4"/>
  <c r="HV17" i="4"/>
  <c r="HU17" i="4"/>
  <c r="HT17" i="4"/>
  <c r="HS17" i="4"/>
  <c r="HR17" i="4"/>
  <c r="HQ17" i="4"/>
  <c r="HP17" i="4"/>
  <c r="HO17" i="4"/>
  <c r="HN17" i="4"/>
  <c r="HM17" i="4"/>
  <c r="HL17" i="4"/>
  <c r="HK17" i="4"/>
  <c r="HJ17" i="4"/>
  <c r="HI17" i="4"/>
  <c r="HH17" i="4"/>
  <c r="HG17" i="4"/>
  <c r="HF17" i="4"/>
  <c r="HE17" i="4"/>
  <c r="HD17" i="4"/>
  <c r="HC17" i="4"/>
  <c r="HB17" i="4"/>
  <c r="HA17" i="4"/>
  <c r="GZ17" i="4"/>
  <c r="GY17" i="4"/>
  <c r="GX17" i="4"/>
  <c r="GW17" i="4"/>
  <c r="GV17" i="4"/>
  <c r="GU17" i="4"/>
  <c r="GT17" i="4"/>
  <c r="GS17" i="4"/>
  <c r="GR17" i="4"/>
  <c r="GQ17" i="4"/>
  <c r="GP17" i="4"/>
  <c r="GO17" i="4"/>
  <c r="GN17" i="4"/>
  <c r="GM17" i="4"/>
  <c r="GL17" i="4"/>
  <c r="GK17" i="4"/>
  <c r="GJ17" i="4"/>
  <c r="GI17" i="4"/>
  <c r="GH17" i="4"/>
  <c r="GG17" i="4"/>
  <c r="GF17" i="4"/>
  <c r="GE17" i="4"/>
  <c r="GD17" i="4"/>
  <c r="GC17" i="4"/>
  <c r="GB17" i="4"/>
  <c r="GA17" i="4"/>
  <c r="FZ17" i="4"/>
  <c r="FY17" i="4"/>
  <c r="FX17" i="4"/>
  <c r="FW17" i="4"/>
  <c r="FV17" i="4"/>
  <c r="FU17" i="4"/>
  <c r="FT17" i="4"/>
  <c r="FS17" i="4"/>
  <c r="FR17" i="4"/>
  <c r="FQ17" i="4"/>
  <c r="FP17" i="4"/>
  <c r="FO17" i="4"/>
  <c r="FN17" i="4"/>
  <c r="FM17" i="4"/>
  <c r="FL17" i="4"/>
  <c r="FK17" i="4"/>
  <c r="FJ17" i="4"/>
  <c r="FI17" i="4"/>
  <c r="FH17" i="4"/>
  <c r="FG17" i="4"/>
  <c r="FF17" i="4"/>
  <c r="FE17" i="4"/>
  <c r="FD17" i="4"/>
  <c r="FC17" i="4"/>
  <c r="FB17" i="4"/>
  <c r="FA17" i="4"/>
  <c r="EZ17" i="4"/>
  <c r="EY17" i="4"/>
  <c r="EX17" i="4"/>
  <c r="EW17" i="4"/>
  <c r="EV17" i="4"/>
  <c r="EU17" i="4"/>
  <c r="ET17" i="4"/>
  <c r="ES17" i="4"/>
  <c r="ER17" i="4"/>
  <c r="EQ17" i="4"/>
  <c r="EP17" i="4"/>
  <c r="EO17" i="4"/>
  <c r="EN17" i="4"/>
  <c r="EM17" i="4"/>
  <c r="EL17" i="4"/>
  <c r="EK17" i="4"/>
  <c r="EJ17" i="4"/>
  <c r="EI17" i="4"/>
  <c r="EH17" i="4"/>
  <c r="EG17" i="4"/>
  <c r="EF17" i="4"/>
  <c r="EE17" i="4"/>
  <c r="ED17" i="4"/>
  <c r="EC17" i="4"/>
  <c r="EB17" i="4"/>
  <c r="EA17" i="4"/>
  <c r="DZ17" i="4"/>
  <c r="DY17" i="4"/>
  <c r="DX17" i="4"/>
  <c r="DW17" i="4"/>
  <c r="DV17" i="4"/>
  <c r="DU17" i="4"/>
  <c r="DT17" i="4"/>
  <c r="DS17" i="4"/>
  <c r="DR17" i="4"/>
  <c r="DQ17" i="4"/>
  <c r="DP17" i="4"/>
  <c r="DO17" i="4"/>
  <c r="DN17" i="4"/>
  <c r="DM17" i="4"/>
  <c r="DL17" i="4"/>
  <c r="DK17" i="4"/>
  <c r="DJ17" i="4"/>
  <c r="DI17" i="4"/>
  <c r="DH17" i="4"/>
  <c r="DG17" i="4"/>
  <c r="DF17" i="4"/>
  <c r="DE17" i="4"/>
  <c r="DD17" i="4"/>
  <c r="DC17" i="4"/>
  <c r="DB17" i="4"/>
  <c r="DA17" i="4"/>
  <c r="CZ17" i="4"/>
  <c r="CY17" i="4"/>
  <c r="CX17" i="4"/>
  <c r="CW17" i="4"/>
  <c r="CV17" i="4"/>
  <c r="CU17" i="4"/>
  <c r="CT17" i="4"/>
  <c r="CS17" i="4"/>
  <c r="CR17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CB17" i="4"/>
  <c r="CA17" i="4"/>
  <c r="BZ17" i="4"/>
  <c r="BY17" i="4"/>
  <c r="BX17" i="4"/>
  <c r="BW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IW16" i="4"/>
  <c r="IV16" i="4"/>
  <c r="IU16" i="4"/>
  <c r="IT16" i="4"/>
  <c r="IS16" i="4"/>
  <c r="IR16" i="4"/>
  <c r="IQ16" i="4"/>
  <c r="IP16" i="4"/>
  <c r="IO16" i="4"/>
  <c r="IN16" i="4"/>
  <c r="IM16" i="4"/>
  <c r="IL16" i="4"/>
  <c r="IK16" i="4"/>
  <c r="IJ16" i="4"/>
  <c r="II16" i="4"/>
  <c r="IH16" i="4"/>
  <c r="IG16" i="4"/>
  <c r="IF16" i="4"/>
  <c r="IE16" i="4"/>
  <c r="ID16" i="4"/>
  <c r="IC16" i="4"/>
  <c r="IB16" i="4"/>
  <c r="IA16" i="4"/>
  <c r="HZ16" i="4"/>
  <c r="HY16" i="4"/>
  <c r="HX16" i="4"/>
  <c r="HW16" i="4"/>
  <c r="HV16" i="4"/>
  <c r="HU16" i="4"/>
  <c r="HT16" i="4"/>
  <c r="HS16" i="4"/>
  <c r="HR16" i="4"/>
  <c r="HQ16" i="4"/>
  <c r="HP16" i="4"/>
  <c r="HO16" i="4"/>
  <c r="HN16" i="4"/>
  <c r="HM16" i="4"/>
  <c r="HL16" i="4"/>
  <c r="HK16" i="4"/>
  <c r="HJ16" i="4"/>
  <c r="HI16" i="4"/>
  <c r="HH16" i="4"/>
  <c r="HG16" i="4"/>
  <c r="HF16" i="4"/>
  <c r="HE16" i="4"/>
  <c r="HD16" i="4"/>
  <c r="HC16" i="4"/>
  <c r="HB16" i="4"/>
  <c r="HA16" i="4"/>
  <c r="GZ16" i="4"/>
  <c r="GY16" i="4"/>
  <c r="GX16" i="4"/>
  <c r="GW16" i="4"/>
  <c r="GV16" i="4"/>
  <c r="GU16" i="4"/>
  <c r="GT16" i="4"/>
  <c r="GS16" i="4"/>
  <c r="GR16" i="4"/>
  <c r="GQ16" i="4"/>
  <c r="GP16" i="4"/>
  <c r="GO16" i="4"/>
  <c r="GN16" i="4"/>
  <c r="GM16" i="4"/>
  <c r="GL16" i="4"/>
  <c r="GK16" i="4"/>
  <c r="GJ16" i="4"/>
  <c r="GI16" i="4"/>
  <c r="GH16" i="4"/>
  <c r="GG16" i="4"/>
  <c r="GF16" i="4"/>
  <c r="GE16" i="4"/>
  <c r="GD16" i="4"/>
  <c r="GC16" i="4"/>
  <c r="GB16" i="4"/>
  <c r="GA16" i="4"/>
  <c r="FZ16" i="4"/>
  <c r="FY16" i="4"/>
  <c r="FX16" i="4"/>
  <c r="FW16" i="4"/>
  <c r="FV16" i="4"/>
  <c r="FU16" i="4"/>
  <c r="FT16" i="4"/>
  <c r="FS16" i="4"/>
  <c r="FR16" i="4"/>
  <c r="FQ16" i="4"/>
  <c r="FP16" i="4"/>
  <c r="FO16" i="4"/>
  <c r="FN16" i="4"/>
  <c r="FM16" i="4"/>
  <c r="FL16" i="4"/>
  <c r="FK16" i="4"/>
  <c r="FJ16" i="4"/>
  <c r="FI16" i="4"/>
  <c r="FH16" i="4"/>
  <c r="FG16" i="4"/>
  <c r="FF16" i="4"/>
  <c r="FE16" i="4"/>
  <c r="FD16" i="4"/>
  <c r="FC16" i="4"/>
  <c r="FB16" i="4"/>
  <c r="FA16" i="4"/>
  <c r="EZ16" i="4"/>
  <c r="EY16" i="4"/>
  <c r="EX16" i="4"/>
  <c r="EW16" i="4"/>
  <c r="EV16" i="4"/>
  <c r="EU16" i="4"/>
  <c r="ET16" i="4"/>
  <c r="ES16" i="4"/>
  <c r="ER16" i="4"/>
  <c r="EQ16" i="4"/>
  <c r="EP16" i="4"/>
  <c r="EO16" i="4"/>
  <c r="EN16" i="4"/>
  <c r="EM16" i="4"/>
  <c r="EL16" i="4"/>
  <c r="EK16" i="4"/>
  <c r="EJ16" i="4"/>
  <c r="EI16" i="4"/>
  <c r="EH16" i="4"/>
  <c r="EG16" i="4"/>
  <c r="EF16" i="4"/>
  <c r="EE16" i="4"/>
  <c r="ED16" i="4"/>
  <c r="EC16" i="4"/>
  <c r="EB16" i="4"/>
  <c r="EA16" i="4"/>
  <c r="DZ16" i="4"/>
  <c r="DY16" i="4"/>
  <c r="DX16" i="4"/>
  <c r="DW16" i="4"/>
  <c r="DV16" i="4"/>
  <c r="DU16" i="4"/>
  <c r="DT16" i="4"/>
  <c r="DS16" i="4"/>
  <c r="DR16" i="4"/>
  <c r="DQ16" i="4"/>
  <c r="DP16" i="4"/>
  <c r="DO16" i="4"/>
  <c r="DN16" i="4"/>
  <c r="DM16" i="4"/>
  <c r="DL16" i="4"/>
  <c r="DK16" i="4"/>
  <c r="DJ16" i="4"/>
  <c r="DI16" i="4"/>
  <c r="DH16" i="4"/>
  <c r="DG16" i="4"/>
  <c r="DF16" i="4"/>
  <c r="DE16" i="4"/>
  <c r="DD16" i="4"/>
  <c r="DC16" i="4"/>
  <c r="DB16" i="4"/>
  <c r="DA16" i="4"/>
  <c r="CZ16" i="4"/>
  <c r="CY16" i="4"/>
  <c r="CX16" i="4"/>
  <c r="CW16" i="4"/>
  <c r="CV16" i="4"/>
  <c r="CU16" i="4"/>
  <c r="CT16" i="4"/>
  <c r="CS16" i="4"/>
  <c r="CR16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CB16" i="4"/>
  <c r="CA16" i="4"/>
  <c r="BZ16" i="4"/>
  <c r="BY16" i="4"/>
  <c r="BX16" i="4"/>
  <c r="BW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IW15" i="4"/>
  <c r="IV15" i="4"/>
  <c r="IU15" i="4"/>
  <c r="IT15" i="4"/>
  <c r="IS15" i="4"/>
  <c r="IR15" i="4"/>
  <c r="IQ15" i="4"/>
  <c r="IP15" i="4"/>
  <c r="IO15" i="4"/>
  <c r="IN15" i="4"/>
  <c r="IM15" i="4"/>
  <c r="IL15" i="4"/>
  <c r="IK15" i="4"/>
  <c r="IJ15" i="4"/>
  <c r="II15" i="4"/>
  <c r="IH15" i="4"/>
  <c r="IG15" i="4"/>
  <c r="IF15" i="4"/>
  <c r="IE15" i="4"/>
  <c r="ID15" i="4"/>
  <c r="IC15" i="4"/>
  <c r="IB15" i="4"/>
  <c r="IA15" i="4"/>
  <c r="HZ15" i="4"/>
  <c r="HY15" i="4"/>
  <c r="HX15" i="4"/>
  <c r="HW15" i="4"/>
  <c r="HV15" i="4"/>
  <c r="HU15" i="4"/>
  <c r="HT15" i="4"/>
  <c r="HS15" i="4"/>
  <c r="HR15" i="4"/>
  <c r="HQ15" i="4"/>
  <c r="HP15" i="4"/>
  <c r="HO15" i="4"/>
  <c r="HN15" i="4"/>
  <c r="HM15" i="4"/>
  <c r="HL15" i="4"/>
  <c r="HK15" i="4"/>
  <c r="HJ15" i="4"/>
  <c r="HI15" i="4"/>
  <c r="HH15" i="4"/>
  <c r="HG15" i="4"/>
  <c r="HF15" i="4"/>
  <c r="HE15" i="4"/>
  <c r="HD15" i="4"/>
  <c r="HC15" i="4"/>
  <c r="HB15" i="4"/>
  <c r="HA15" i="4"/>
  <c r="GZ15" i="4"/>
  <c r="GY15" i="4"/>
  <c r="GX15" i="4"/>
  <c r="GW15" i="4"/>
  <c r="GV15" i="4"/>
  <c r="GU15" i="4"/>
  <c r="GT15" i="4"/>
  <c r="GS15" i="4"/>
  <c r="GR15" i="4"/>
  <c r="GQ15" i="4"/>
  <c r="GP15" i="4"/>
  <c r="GO15" i="4"/>
  <c r="GN15" i="4"/>
  <c r="GM15" i="4"/>
  <c r="GL15" i="4"/>
  <c r="GK15" i="4"/>
  <c r="GJ15" i="4"/>
  <c r="GI15" i="4"/>
  <c r="GH15" i="4"/>
  <c r="GG15" i="4"/>
  <c r="GF15" i="4"/>
  <c r="GE15" i="4"/>
  <c r="GD15" i="4"/>
  <c r="GC15" i="4"/>
  <c r="GB15" i="4"/>
  <c r="GA15" i="4"/>
  <c r="FZ15" i="4"/>
  <c r="FY15" i="4"/>
  <c r="FX15" i="4"/>
  <c r="FW15" i="4"/>
  <c r="FV15" i="4"/>
  <c r="FU15" i="4"/>
  <c r="FT15" i="4"/>
  <c r="FS15" i="4"/>
  <c r="FR15" i="4"/>
  <c r="FQ15" i="4"/>
  <c r="FP15" i="4"/>
  <c r="FO15" i="4"/>
  <c r="FN15" i="4"/>
  <c r="FM15" i="4"/>
  <c r="FL15" i="4"/>
  <c r="FK15" i="4"/>
  <c r="FJ15" i="4"/>
  <c r="FI15" i="4"/>
  <c r="FH15" i="4"/>
  <c r="FG15" i="4"/>
  <c r="FF15" i="4"/>
  <c r="FE15" i="4"/>
  <c r="FD15" i="4"/>
  <c r="FC15" i="4"/>
  <c r="FB15" i="4"/>
  <c r="FA15" i="4"/>
  <c r="EZ15" i="4"/>
  <c r="EY15" i="4"/>
  <c r="EX15" i="4"/>
  <c r="EW15" i="4"/>
  <c r="EV15" i="4"/>
  <c r="EU15" i="4"/>
  <c r="ET15" i="4"/>
  <c r="ES15" i="4"/>
  <c r="ER15" i="4"/>
  <c r="EQ15" i="4"/>
  <c r="EP15" i="4"/>
  <c r="EO15" i="4"/>
  <c r="EN15" i="4"/>
  <c r="EM15" i="4"/>
  <c r="EL15" i="4"/>
  <c r="EK15" i="4"/>
  <c r="EJ15" i="4"/>
  <c r="EI15" i="4"/>
  <c r="EH15" i="4"/>
  <c r="EG15" i="4"/>
  <c r="EF15" i="4"/>
  <c r="EE15" i="4"/>
  <c r="ED15" i="4"/>
  <c r="EC15" i="4"/>
  <c r="EB15" i="4"/>
  <c r="EA15" i="4"/>
  <c r="DZ15" i="4"/>
  <c r="DY15" i="4"/>
  <c r="DX15" i="4"/>
  <c r="DW15" i="4"/>
  <c r="DV15" i="4"/>
  <c r="DU15" i="4"/>
  <c r="DT15" i="4"/>
  <c r="DS15" i="4"/>
  <c r="DR15" i="4"/>
  <c r="DQ15" i="4"/>
  <c r="DP15" i="4"/>
  <c r="DO15" i="4"/>
  <c r="DN15" i="4"/>
  <c r="DM15" i="4"/>
  <c r="DL15" i="4"/>
  <c r="DK15" i="4"/>
  <c r="DJ15" i="4"/>
  <c r="DI15" i="4"/>
  <c r="DH15" i="4"/>
  <c r="DG15" i="4"/>
  <c r="DF15" i="4"/>
  <c r="DE15" i="4"/>
  <c r="DD15" i="4"/>
  <c r="DC15" i="4"/>
  <c r="DB15" i="4"/>
  <c r="DA15" i="4"/>
  <c r="CZ15" i="4"/>
  <c r="CY15" i="4"/>
  <c r="CX15" i="4"/>
  <c r="CW15" i="4"/>
  <c r="CV15" i="4"/>
  <c r="CU15" i="4"/>
  <c r="CT15" i="4"/>
  <c r="CS15" i="4"/>
  <c r="CR15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CB15" i="4"/>
  <c r="CA15" i="4"/>
  <c r="BZ15" i="4"/>
  <c r="BY15" i="4"/>
  <c r="BX15" i="4"/>
  <c r="BW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IW14" i="4"/>
  <c r="IV14" i="4"/>
  <c r="IU14" i="4"/>
  <c r="IT14" i="4"/>
  <c r="IS14" i="4"/>
  <c r="IR14" i="4"/>
  <c r="IQ14" i="4"/>
  <c r="IP14" i="4"/>
  <c r="IO14" i="4"/>
  <c r="IN14" i="4"/>
  <c r="IM14" i="4"/>
  <c r="IL14" i="4"/>
  <c r="IK14" i="4"/>
  <c r="IJ14" i="4"/>
  <c r="II14" i="4"/>
  <c r="IH14" i="4"/>
  <c r="IG14" i="4"/>
  <c r="IF14" i="4"/>
  <c r="IE14" i="4"/>
  <c r="ID14" i="4"/>
  <c r="IC14" i="4"/>
  <c r="IB14" i="4"/>
  <c r="IA14" i="4"/>
  <c r="HZ14" i="4"/>
  <c r="HY14" i="4"/>
  <c r="HX14" i="4"/>
  <c r="HW14" i="4"/>
  <c r="HV14" i="4"/>
  <c r="HU14" i="4"/>
  <c r="HT14" i="4"/>
  <c r="HS14" i="4"/>
  <c r="HR14" i="4"/>
  <c r="HQ14" i="4"/>
  <c r="HP14" i="4"/>
  <c r="HO14" i="4"/>
  <c r="HN14" i="4"/>
  <c r="HM14" i="4"/>
  <c r="HL14" i="4"/>
  <c r="HK14" i="4"/>
  <c r="HJ14" i="4"/>
  <c r="HI14" i="4"/>
  <c r="HH14" i="4"/>
  <c r="HG14" i="4"/>
  <c r="HF14" i="4"/>
  <c r="HE14" i="4"/>
  <c r="HD14" i="4"/>
  <c r="HC14" i="4"/>
  <c r="HB14" i="4"/>
  <c r="HA14" i="4"/>
  <c r="GZ14" i="4"/>
  <c r="GY14" i="4"/>
  <c r="GX14" i="4"/>
  <c r="GW14" i="4"/>
  <c r="GV14" i="4"/>
  <c r="GU14" i="4"/>
  <c r="GT14" i="4"/>
  <c r="GS14" i="4"/>
  <c r="GR14" i="4"/>
  <c r="GQ14" i="4"/>
  <c r="GP14" i="4"/>
  <c r="GO14" i="4"/>
  <c r="GN14" i="4"/>
  <c r="GM14" i="4"/>
  <c r="GL14" i="4"/>
  <c r="GK14" i="4"/>
  <c r="GJ14" i="4"/>
  <c r="GI14" i="4"/>
  <c r="GH14" i="4"/>
  <c r="GG14" i="4"/>
  <c r="GF14" i="4"/>
  <c r="GE14" i="4"/>
  <c r="GD14" i="4"/>
  <c r="GC14" i="4"/>
  <c r="GB14" i="4"/>
  <c r="GA14" i="4"/>
  <c r="FZ14" i="4"/>
  <c r="FY14" i="4"/>
  <c r="FX14" i="4"/>
  <c r="FW14" i="4"/>
  <c r="FV14" i="4"/>
  <c r="FU14" i="4"/>
  <c r="FT14" i="4"/>
  <c r="FS14" i="4"/>
  <c r="FR14" i="4"/>
  <c r="FQ14" i="4"/>
  <c r="FP14" i="4"/>
  <c r="FO14" i="4"/>
  <c r="FN14" i="4"/>
  <c r="FM14" i="4"/>
  <c r="FL14" i="4"/>
  <c r="FK14" i="4"/>
  <c r="FJ14" i="4"/>
  <c r="FI14" i="4"/>
  <c r="FH14" i="4"/>
  <c r="FG14" i="4"/>
  <c r="FF14" i="4"/>
  <c r="FE14" i="4"/>
  <c r="FD14" i="4"/>
  <c r="FC14" i="4"/>
  <c r="FB14" i="4"/>
  <c r="FA14" i="4"/>
  <c r="EZ14" i="4"/>
  <c r="EY14" i="4"/>
  <c r="EX14" i="4"/>
  <c r="EW14" i="4"/>
  <c r="EV14" i="4"/>
  <c r="EU14" i="4"/>
  <c r="ET14" i="4"/>
  <c r="ES14" i="4"/>
  <c r="ER14" i="4"/>
  <c r="EQ14" i="4"/>
  <c r="EP14" i="4"/>
  <c r="EO14" i="4"/>
  <c r="EN14" i="4"/>
  <c r="EM14" i="4"/>
  <c r="EL14" i="4"/>
  <c r="EK14" i="4"/>
  <c r="EJ14" i="4"/>
  <c r="EI14" i="4"/>
  <c r="EH14" i="4"/>
  <c r="EG14" i="4"/>
  <c r="EF14" i="4"/>
  <c r="EE14" i="4"/>
  <c r="ED14" i="4"/>
  <c r="EC14" i="4"/>
  <c r="EB14" i="4"/>
  <c r="EA14" i="4"/>
  <c r="DZ14" i="4"/>
  <c r="DY14" i="4"/>
  <c r="DX14" i="4"/>
  <c r="DW14" i="4"/>
  <c r="DV14" i="4"/>
  <c r="DU14" i="4"/>
  <c r="DT14" i="4"/>
  <c r="DS14" i="4"/>
  <c r="DR14" i="4"/>
  <c r="DQ14" i="4"/>
  <c r="DP14" i="4"/>
  <c r="DO14" i="4"/>
  <c r="DN14" i="4"/>
  <c r="DM14" i="4"/>
  <c r="DL14" i="4"/>
  <c r="DK14" i="4"/>
  <c r="DJ14" i="4"/>
  <c r="DI14" i="4"/>
  <c r="DH14" i="4"/>
  <c r="DG14" i="4"/>
  <c r="DF14" i="4"/>
  <c r="DE14" i="4"/>
  <c r="DD14" i="4"/>
  <c r="DC14" i="4"/>
  <c r="DB14" i="4"/>
  <c r="DA14" i="4"/>
  <c r="CZ14" i="4"/>
  <c r="CY14" i="4"/>
  <c r="CX14" i="4"/>
  <c r="CW14" i="4"/>
  <c r="CV14" i="4"/>
  <c r="CU14" i="4"/>
  <c r="CT14" i="4"/>
  <c r="CS14" i="4"/>
  <c r="CR14" i="4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CB14" i="4"/>
  <c r="CA14" i="4"/>
  <c r="BZ14" i="4"/>
  <c r="BY14" i="4"/>
  <c r="BX14" i="4"/>
  <c r="BW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IW13" i="4"/>
  <c r="IV13" i="4"/>
  <c r="IU13" i="4"/>
  <c r="IT13" i="4"/>
  <c r="IS13" i="4"/>
  <c r="IR13" i="4"/>
  <c r="IQ13" i="4"/>
  <c r="IP13" i="4"/>
  <c r="IO13" i="4"/>
  <c r="IN13" i="4"/>
  <c r="IM13" i="4"/>
  <c r="IL13" i="4"/>
  <c r="IK13" i="4"/>
  <c r="IJ13" i="4"/>
  <c r="II13" i="4"/>
  <c r="IH13" i="4"/>
  <c r="IG13" i="4"/>
  <c r="IF13" i="4"/>
  <c r="IE13" i="4"/>
  <c r="ID13" i="4"/>
  <c r="IC13" i="4"/>
  <c r="IB13" i="4"/>
  <c r="IA13" i="4"/>
  <c r="HZ13" i="4"/>
  <c r="HY13" i="4"/>
  <c r="HX13" i="4"/>
  <c r="HW13" i="4"/>
  <c r="HV13" i="4"/>
  <c r="HU13" i="4"/>
  <c r="HT13" i="4"/>
  <c r="HS13" i="4"/>
  <c r="HR13" i="4"/>
  <c r="HQ13" i="4"/>
  <c r="HP13" i="4"/>
  <c r="HO13" i="4"/>
  <c r="HN13" i="4"/>
  <c r="HM13" i="4"/>
  <c r="HL13" i="4"/>
  <c r="HK13" i="4"/>
  <c r="HJ13" i="4"/>
  <c r="HI13" i="4"/>
  <c r="HH13" i="4"/>
  <c r="HG13" i="4"/>
  <c r="HF13" i="4"/>
  <c r="HE13" i="4"/>
  <c r="HD13" i="4"/>
  <c r="HC13" i="4"/>
  <c r="HB13" i="4"/>
  <c r="HA13" i="4"/>
  <c r="GZ13" i="4"/>
  <c r="GY13" i="4"/>
  <c r="GX13" i="4"/>
  <c r="GW13" i="4"/>
  <c r="GV13" i="4"/>
  <c r="GU13" i="4"/>
  <c r="GT13" i="4"/>
  <c r="GS13" i="4"/>
  <c r="GR13" i="4"/>
  <c r="GQ13" i="4"/>
  <c r="GP13" i="4"/>
  <c r="GO13" i="4"/>
  <c r="GN13" i="4"/>
  <c r="GM13" i="4"/>
  <c r="GL13" i="4"/>
  <c r="GK13" i="4"/>
  <c r="GJ13" i="4"/>
  <c r="GI13" i="4"/>
  <c r="GH13" i="4"/>
  <c r="GG13" i="4"/>
  <c r="GF13" i="4"/>
  <c r="GE13" i="4"/>
  <c r="GD13" i="4"/>
  <c r="GC13" i="4"/>
  <c r="GB13" i="4"/>
  <c r="GA13" i="4"/>
  <c r="FZ13" i="4"/>
  <c r="FY13" i="4"/>
  <c r="FX13" i="4"/>
  <c r="FW13" i="4"/>
  <c r="FV13" i="4"/>
  <c r="FU13" i="4"/>
  <c r="FT13" i="4"/>
  <c r="FS13" i="4"/>
  <c r="FR13" i="4"/>
  <c r="FQ13" i="4"/>
  <c r="FP13" i="4"/>
  <c r="FO13" i="4"/>
  <c r="FN13" i="4"/>
  <c r="FM13" i="4"/>
  <c r="FL13" i="4"/>
  <c r="FK13" i="4"/>
  <c r="FJ13" i="4"/>
  <c r="FI13" i="4"/>
  <c r="FH13" i="4"/>
  <c r="FG13" i="4"/>
  <c r="FF13" i="4"/>
  <c r="FE13" i="4"/>
  <c r="FD13" i="4"/>
  <c r="FC13" i="4"/>
  <c r="FB13" i="4"/>
  <c r="FA13" i="4"/>
  <c r="EZ13" i="4"/>
  <c r="EY13" i="4"/>
  <c r="EX13" i="4"/>
  <c r="EW13" i="4"/>
  <c r="EV13" i="4"/>
  <c r="EU13" i="4"/>
  <c r="ET13" i="4"/>
  <c r="ES13" i="4"/>
  <c r="ER13" i="4"/>
  <c r="EQ13" i="4"/>
  <c r="EP13" i="4"/>
  <c r="EO13" i="4"/>
  <c r="EN13" i="4"/>
  <c r="EM13" i="4"/>
  <c r="EL13" i="4"/>
  <c r="EK13" i="4"/>
  <c r="EJ13" i="4"/>
  <c r="EI13" i="4"/>
  <c r="EH13" i="4"/>
  <c r="EG13" i="4"/>
  <c r="EF13" i="4"/>
  <c r="EE13" i="4"/>
  <c r="ED13" i="4"/>
  <c r="EC13" i="4"/>
  <c r="EB13" i="4"/>
  <c r="EA13" i="4"/>
  <c r="DZ13" i="4"/>
  <c r="DY13" i="4"/>
  <c r="DX13" i="4"/>
  <c r="DW13" i="4"/>
  <c r="DV13" i="4"/>
  <c r="DU13" i="4"/>
  <c r="DT13" i="4"/>
  <c r="DS13" i="4"/>
  <c r="DR13" i="4"/>
  <c r="DQ13" i="4"/>
  <c r="DP13" i="4"/>
  <c r="DO13" i="4"/>
  <c r="DN13" i="4"/>
  <c r="DM13" i="4"/>
  <c r="DL13" i="4"/>
  <c r="DK13" i="4"/>
  <c r="DJ13" i="4"/>
  <c r="DI13" i="4"/>
  <c r="DH13" i="4"/>
  <c r="DG13" i="4"/>
  <c r="DF13" i="4"/>
  <c r="DE13" i="4"/>
  <c r="DD13" i="4"/>
  <c r="DC13" i="4"/>
  <c r="DB13" i="4"/>
  <c r="DA13" i="4"/>
  <c r="CZ13" i="4"/>
  <c r="CY13" i="4"/>
  <c r="CX13" i="4"/>
  <c r="CW13" i="4"/>
  <c r="CV13" i="4"/>
  <c r="CU13" i="4"/>
  <c r="CT13" i="4"/>
  <c r="CS13" i="4"/>
  <c r="CR13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CB13" i="4"/>
  <c r="CA13" i="4"/>
  <c r="BZ13" i="4"/>
  <c r="BY13" i="4"/>
  <c r="BX13" i="4"/>
  <c r="BW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BF75" i="4"/>
  <c r="BE75" i="4"/>
  <c r="BD75" i="4"/>
  <c r="BC75" i="4"/>
  <c r="BB75" i="4"/>
  <c r="BA75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AN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BF73" i="4"/>
  <c r="BE73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D10" i="5" s="1"/>
  <c r="G8" i="10" s="1"/>
  <c r="H8" i="10" s="1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BF72" i="4"/>
  <c r="BE72" i="4"/>
  <c r="BD72" i="4"/>
  <c r="BC72" i="4"/>
  <c r="BB72" i="4"/>
  <c r="BA72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D9" i="5" s="1"/>
  <c r="G7" i="10" s="1"/>
  <c r="H7" i="10" s="1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BF70" i="4"/>
  <c r="BE70" i="4"/>
  <c r="BD70" i="4"/>
  <c r="BC70" i="4"/>
  <c r="BB70" i="4"/>
  <c r="BA70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G70" i="4"/>
  <c r="AF70" i="4"/>
  <c r="AE70" i="4"/>
  <c r="D8" i="5" s="1"/>
  <c r="G6" i="10" s="1"/>
  <c r="H6" i="10" s="1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BF68" i="4"/>
  <c r="BE68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G68" i="4"/>
  <c r="AF68" i="4"/>
  <c r="AE68" i="4"/>
  <c r="D7" i="5" s="1"/>
  <c r="G5" i="10" s="1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IV64" i="4"/>
  <c r="IU64" i="4"/>
  <c r="IT64" i="4"/>
  <c r="IS64" i="4"/>
  <c r="IR64" i="4"/>
  <c r="IQ64" i="4"/>
  <c r="IP64" i="4"/>
  <c r="IO64" i="4"/>
  <c r="IN64" i="4"/>
  <c r="IM64" i="4"/>
  <c r="IL64" i="4"/>
  <c r="IK64" i="4"/>
  <c r="IJ64" i="4"/>
  <c r="II64" i="4"/>
  <c r="IH64" i="4"/>
  <c r="IG64" i="4"/>
  <c r="IF64" i="4"/>
  <c r="IE64" i="4"/>
  <c r="ID64" i="4"/>
  <c r="IC64" i="4"/>
  <c r="IB64" i="4"/>
  <c r="IA64" i="4"/>
  <c r="HZ64" i="4"/>
  <c r="HY64" i="4"/>
  <c r="HX64" i="4"/>
  <c r="HW64" i="4"/>
  <c r="HV64" i="4"/>
  <c r="HU64" i="4"/>
  <c r="HT64" i="4"/>
  <c r="HS64" i="4"/>
  <c r="HR64" i="4"/>
  <c r="HQ64" i="4"/>
  <c r="HP64" i="4"/>
  <c r="HO64" i="4"/>
  <c r="HN64" i="4"/>
  <c r="HM64" i="4"/>
  <c r="HL64" i="4"/>
  <c r="HK64" i="4"/>
  <c r="HJ64" i="4"/>
  <c r="HI64" i="4"/>
  <c r="HH64" i="4"/>
  <c r="HG64" i="4"/>
  <c r="HF64" i="4"/>
  <c r="HE64" i="4"/>
  <c r="HD64" i="4"/>
  <c r="HC64" i="4"/>
  <c r="HB64" i="4"/>
  <c r="HA64" i="4"/>
  <c r="GZ64" i="4"/>
  <c r="GY64" i="4"/>
  <c r="GX64" i="4"/>
  <c r="GW64" i="4"/>
  <c r="GV64" i="4"/>
  <c r="GU64" i="4"/>
  <c r="GT64" i="4"/>
  <c r="GS64" i="4"/>
  <c r="GR64" i="4"/>
  <c r="GQ64" i="4"/>
  <c r="GP64" i="4"/>
  <c r="GO64" i="4"/>
  <c r="GN64" i="4"/>
  <c r="GM64" i="4"/>
  <c r="GL64" i="4"/>
  <c r="GK64" i="4"/>
  <c r="GJ64" i="4"/>
  <c r="GI64" i="4"/>
  <c r="GH64" i="4"/>
  <c r="GG64" i="4"/>
  <c r="GF64" i="4"/>
  <c r="GE64" i="4"/>
  <c r="GD64" i="4"/>
  <c r="GC64" i="4"/>
  <c r="GB64" i="4"/>
  <c r="GA64" i="4"/>
  <c r="FZ64" i="4"/>
  <c r="FY64" i="4"/>
  <c r="FX64" i="4"/>
  <c r="FW64" i="4"/>
  <c r="FV64" i="4"/>
  <c r="FU64" i="4"/>
  <c r="FT64" i="4"/>
  <c r="FS64" i="4"/>
  <c r="FR64" i="4"/>
  <c r="FQ64" i="4"/>
  <c r="FP64" i="4"/>
  <c r="FO64" i="4"/>
  <c r="FN64" i="4"/>
  <c r="FM64" i="4"/>
  <c r="FL64" i="4"/>
  <c r="FK64" i="4"/>
  <c r="FJ64" i="4"/>
  <c r="FI64" i="4"/>
  <c r="FH64" i="4"/>
  <c r="FG64" i="4"/>
  <c r="FF64" i="4"/>
  <c r="FE64" i="4"/>
  <c r="FD64" i="4"/>
  <c r="FC64" i="4"/>
  <c r="FB64" i="4"/>
  <c r="FA64" i="4"/>
  <c r="EZ64" i="4"/>
  <c r="EY64" i="4"/>
  <c r="EX64" i="4"/>
  <c r="EW64" i="4"/>
  <c r="EV64" i="4"/>
  <c r="EU64" i="4"/>
  <c r="ET64" i="4"/>
  <c r="ES64" i="4"/>
  <c r="ER64" i="4"/>
  <c r="EQ64" i="4"/>
  <c r="EP64" i="4"/>
  <c r="EO64" i="4"/>
  <c r="EN64" i="4"/>
  <c r="EM64" i="4"/>
  <c r="EL64" i="4"/>
  <c r="EK64" i="4"/>
  <c r="EJ64" i="4"/>
  <c r="EI64" i="4"/>
  <c r="EH64" i="4"/>
  <c r="EG64" i="4"/>
  <c r="EF64" i="4"/>
  <c r="EE64" i="4"/>
  <c r="ED64" i="4"/>
  <c r="EC64" i="4"/>
  <c r="EB64" i="4"/>
  <c r="EA64" i="4"/>
  <c r="DZ64" i="4"/>
  <c r="DY64" i="4"/>
  <c r="DX64" i="4"/>
  <c r="DW64" i="4"/>
  <c r="DV64" i="4"/>
  <c r="DU64" i="4"/>
  <c r="DT64" i="4"/>
  <c r="DS64" i="4"/>
  <c r="DR64" i="4"/>
  <c r="DQ64" i="4"/>
  <c r="DP64" i="4"/>
  <c r="DO64" i="4"/>
  <c r="DN64" i="4"/>
  <c r="DM64" i="4"/>
  <c r="DL64" i="4"/>
  <c r="DK64" i="4"/>
  <c r="DJ64" i="4"/>
  <c r="DI64" i="4"/>
  <c r="DH64" i="4"/>
  <c r="DG64" i="4"/>
  <c r="DF64" i="4"/>
  <c r="DE64" i="4"/>
  <c r="DD64" i="4"/>
  <c r="DC64" i="4"/>
  <c r="DB64" i="4"/>
  <c r="DA64" i="4"/>
  <c r="CZ64" i="4"/>
  <c r="CY64" i="4"/>
  <c r="CX64" i="4"/>
  <c r="CW64" i="4"/>
  <c r="CV64" i="4"/>
  <c r="CU64" i="4"/>
  <c r="CT64" i="4"/>
  <c r="CS64" i="4"/>
  <c r="CR64" i="4"/>
  <c r="CQ64" i="4"/>
  <c r="CP64" i="4"/>
  <c r="CO64" i="4"/>
  <c r="CN64" i="4"/>
  <c r="CM64" i="4"/>
  <c r="CL64" i="4"/>
  <c r="CK64" i="4"/>
  <c r="CJ64" i="4"/>
  <c r="CI64" i="4"/>
  <c r="CH64" i="4"/>
  <c r="CG64" i="4"/>
  <c r="CF64" i="4"/>
  <c r="CE64" i="4"/>
  <c r="CD64" i="4"/>
  <c r="CC64" i="4"/>
  <c r="CB64" i="4"/>
  <c r="CA64" i="4"/>
  <c r="BZ64" i="4"/>
  <c r="BY64" i="4"/>
  <c r="BX64" i="4"/>
  <c r="BW64" i="4"/>
  <c r="BV64" i="4"/>
  <c r="BU64" i="4"/>
  <c r="BT64" i="4"/>
  <c r="BS64" i="4"/>
  <c r="BR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N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IV62" i="4"/>
  <c r="IU62" i="4"/>
  <c r="IT62" i="4"/>
  <c r="IS62" i="4"/>
  <c r="IR62" i="4"/>
  <c r="IQ62" i="4"/>
  <c r="IP62" i="4"/>
  <c r="IO62" i="4"/>
  <c r="IN62" i="4"/>
  <c r="IM62" i="4"/>
  <c r="IL62" i="4"/>
  <c r="IK62" i="4"/>
  <c r="IJ62" i="4"/>
  <c r="II62" i="4"/>
  <c r="IH62" i="4"/>
  <c r="IG62" i="4"/>
  <c r="IF62" i="4"/>
  <c r="IE62" i="4"/>
  <c r="ID62" i="4"/>
  <c r="IC62" i="4"/>
  <c r="IB62" i="4"/>
  <c r="IA62" i="4"/>
  <c r="HZ62" i="4"/>
  <c r="HY62" i="4"/>
  <c r="HX62" i="4"/>
  <c r="HW62" i="4"/>
  <c r="HV62" i="4"/>
  <c r="HU62" i="4"/>
  <c r="HT62" i="4"/>
  <c r="HS62" i="4"/>
  <c r="HR62" i="4"/>
  <c r="HQ62" i="4"/>
  <c r="HP62" i="4"/>
  <c r="HO62" i="4"/>
  <c r="HN62" i="4"/>
  <c r="HM62" i="4"/>
  <c r="HL62" i="4"/>
  <c r="HK62" i="4"/>
  <c r="HJ62" i="4"/>
  <c r="HI62" i="4"/>
  <c r="HH62" i="4"/>
  <c r="HG62" i="4"/>
  <c r="HF62" i="4"/>
  <c r="HE62" i="4"/>
  <c r="HD62" i="4"/>
  <c r="HC62" i="4"/>
  <c r="HB62" i="4"/>
  <c r="HA62" i="4"/>
  <c r="GZ62" i="4"/>
  <c r="GY62" i="4"/>
  <c r="GX62" i="4"/>
  <c r="GW62" i="4"/>
  <c r="GV62" i="4"/>
  <c r="GU62" i="4"/>
  <c r="GT62" i="4"/>
  <c r="GS62" i="4"/>
  <c r="GR62" i="4"/>
  <c r="GQ62" i="4"/>
  <c r="GP62" i="4"/>
  <c r="GO62" i="4"/>
  <c r="GN62" i="4"/>
  <c r="GM62" i="4"/>
  <c r="GL62" i="4"/>
  <c r="GK62" i="4"/>
  <c r="GJ62" i="4"/>
  <c r="GI62" i="4"/>
  <c r="GH62" i="4"/>
  <c r="GG62" i="4"/>
  <c r="GF62" i="4"/>
  <c r="GE62" i="4"/>
  <c r="GD62" i="4"/>
  <c r="GC62" i="4"/>
  <c r="GB62" i="4"/>
  <c r="GA62" i="4"/>
  <c r="FZ62" i="4"/>
  <c r="FY62" i="4"/>
  <c r="FX62" i="4"/>
  <c r="FW62" i="4"/>
  <c r="FV62" i="4"/>
  <c r="FU62" i="4"/>
  <c r="FT62" i="4"/>
  <c r="FS62" i="4"/>
  <c r="FR62" i="4"/>
  <c r="FQ62" i="4"/>
  <c r="FP62" i="4"/>
  <c r="FO62" i="4"/>
  <c r="FN62" i="4"/>
  <c r="FM62" i="4"/>
  <c r="FL62" i="4"/>
  <c r="FK62" i="4"/>
  <c r="FJ62" i="4"/>
  <c r="FI62" i="4"/>
  <c r="FH62" i="4"/>
  <c r="FG62" i="4"/>
  <c r="FF62" i="4"/>
  <c r="FE62" i="4"/>
  <c r="FD62" i="4"/>
  <c r="FC62" i="4"/>
  <c r="FB62" i="4"/>
  <c r="FA62" i="4"/>
  <c r="EZ62" i="4"/>
  <c r="EY62" i="4"/>
  <c r="EX62" i="4"/>
  <c r="EW62" i="4"/>
  <c r="EV62" i="4"/>
  <c r="EU62" i="4"/>
  <c r="ET62" i="4"/>
  <c r="ES62" i="4"/>
  <c r="ER62" i="4"/>
  <c r="EQ62" i="4"/>
  <c r="EP62" i="4"/>
  <c r="EO62" i="4"/>
  <c r="EN62" i="4"/>
  <c r="EM62" i="4"/>
  <c r="EL62" i="4"/>
  <c r="EK62" i="4"/>
  <c r="EJ62" i="4"/>
  <c r="EI62" i="4"/>
  <c r="EH62" i="4"/>
  <c r="EG62" i="4"/>
  <c r="EF62" i="4"/>
  <c r="EE62" i="4"/>
  <c r="ED62" i="4"/>
  <c r="EC62" i="4"/>
  <c r="EB62" i="4"/>
  <c r="EA62" i="4"/>
  <c r="DZ62" i="4"/>
  <c r="DY62" i="4"/>
  <c r="DX62" i="4"/>
  <c r="DW62" i="4"/>
  <c r="DV62" i="4"/>
  <c r="DU62" i="4"/>
  <c r="DT62" i="4"/>
  <c r="DS62" i="4"/>
  <c r="DR62" i="4"/>
  <c r="DQ62" i="4"/>
  <c r="DP62" i="4"/>
  <c r="DO62" i="4"/>
  <c r="DN62" i="4"/>
  <c r="DM62" i="4"/>
  <c r="DL62" i="4"/>
  <c r="DK62" i="4"/>
  <c r="DJ62" i="4"/>
  <c r="DI62" i="4"/>
  <c r="DH62" i="4"/>
  <c r="DG62" i="4"/>
  <c r="DF62" i="4"/>
  <c r="DE62" i="4"/>
  <c r="DD62" i="4"/>
  <c r="DC62" i="4"/>
  <c r="DB62" i="4"/>
  <c r="DA62" i="4"/>
  <c r="CZ62" i="4"/>
  <c r="CY62" i="4"/>
  <c r="CX62" i="4"/>
  <c r="CW62" i="4"/>
  <c r="CV62" i="4"/>
  <c r="CU62" i="4"/>
  <c r="CT62" i="4"/>
  <c r="CS62" i="4"/>
  <c r="CR62" i="4"/>
  <c r="CQ62" i="4"/>
  <c r="CP62" i="4"/>
  <c r="CO62" i="4"/>
  <c r="CN62" i="4"/>
  <c r="CM62" i="4"/>
  <c r="CL62" i="4"/>
  <c r="CK62" i="4"/>
  <c r="CJ62" i="4"/>
  <c r="CI62" i="4"/>
  <c r="CH62" i="4"/>
  <c r="CG62" i="4"/>
  <c r="CF62" i="4"/>
  <c r="CE62" i="4"/>
  <c r="CD62" i="4"/>
  <c r="CC62" i="4"/>
  <c r="CB62" i="4"/>
  <c r="CA62" i="4"/>
  <c r="BZ62" i="4"/>
  <c r="BY62" i="4"/>
  <c r="BX62" i="4"/>
  <c r="BW62" i="4"/>
  <c r="BV62" i="4"/>
  <c r="BU62" i="4"/>
  <c r="BT62" i="4"/>
  <c r="BS62" i="4"/>
  <c r="BR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IV61" i="4"/>
  <c r="IU61" i="4"/>
  <c r="IT61" i="4"/>
  <c r="IS61" i="4"/>
  <c r="IR61" i="4"/>
  <c r="IQ61" i="4"/>
  <c r="IP61" i="4"/>
  <c r="IO61" i="4"/>
  <c r="IN61" i="4"/>
  <c r="IM61" i="4"/>
  <c r="IL61" i="4"/>
  <c r="IK61" i="4"/>
  <c r="IJ61" i="4"/>
  <c r="II61" i="4"/>
  <c r="IH61" i="4"/>
  <c r="IG61" i="4"/>
  <c r="IF61" i="4"/>
  <c r="IE61" i="4"/>
  <c r="ID61" i="4"/>
  <c r="IC61" i="4"/>
  <c r="IB61" i="4"/>
  <c r="IA61" i="4"/>
  <c r="HZ61" i="4"/>
  <c r="HY61" i="4"/>
  <c r="HX61" i="4"/>
  <c r="HW61" i="4"/>
  <c r="HV61" i="4"/>
  <c r="HU61" i="4"/>
  <c r="HT61" i="4"/>
  <c r="HS61" i="4"/>
  <c r="HR61" i="4"/>
  <c r="HQ61" i="4"/>
  <c r="HP61" i="4"/>
  <c r="HO61" i="4"/>
  <c r="HN61" i="4"/>
  <c r="HM61" i="4"/>
  <c r="HL61" i="4"/>
  <c r="HK61" i="4"/>
  <c r="HJ61" i="4"/>
  <c r="HI61" i="4"/>
  <c r="HH61" i="4"/>
  <c r="HG61" i="4"/>
  <c r="HF61" i="4"/>
  <c r="HE61" i="4"/>
  <c r="HD61" i="4"/>
  <c r="HC61" i="4"/>
  <c r="HB61" i="4"/>
  <c r="HA61" i="4"/>
  <c r="GZ61" i="4"/>
  <c r="GY61" i="4"/>
  <c r="GX61" i="4"/>
  <c r="GW61" i="4"/>
  <c r="GV61" i="4"/>
  <c r="GU61" i="4"/>
  <c r="GT61" i="4"/>
  <c r="GS61" i="4"/>
  <c r="GR61" i="4"/>
  <c r="GQ61" i="4"/>
  <c r="GP61" i="4"/>
  <c r="GO61" i="4"/>
  <c r="GN61" i="4"/>
  <c r="GM61" i="4"/>
  <c r="GL61" i="4"/>
  <c r="GK61" i="4"/>
  <c r="GJ61" i="4"/>
  <c r="GI61" i="4"/>
  <c r="GH61" i="4"/>
  <c r="GG61" i="4"/>
  <c r="GF61" i="4"/>
  <c r="GE61" i="4"/>
  <c r="GD61" i="4"/>
  <c r="GC61" i="4"/>
  <c r="GB61" i="4"/>
  <c r="GA61" i="4"/>
  <c r="FZ61" i="4"/>
  <c r="FY61" i="4"/>
  <c r="FX61" i="4"/>
  <c r="FW61" i="4"/>
  <c r="FV61" i="4"/>
  <c r="FU61" i="4"/>
  <c r="FT61" i="4"/>
  <c r="FS61" i="4"/>
  <c r="FR61" i="4"/>
  <c r="FQ61" i="4"/>
  <c r="FP61" i="4"/>
  <c r="FO61" i="4"/>
  <c r="FN61" i="4"/>
  <c r="FM61" i="4"/>
  <c r="FL61" i="4"/>
  <c r="FK61" i="4"/>
  <c r="FJ61" i="4"/>
  <c r="FI61" i="4"/>
  <c r="FH61" i="4"/>
  <c r="FG61" i="4"/>
  <c r="FF61" i="4"/>
  <c r="FE61" i="4"/>
  <c r="FD61" i="4"/>
  <c r="FC61" i="4"/>
  <c r="FB61" i="4"/>
  <c r="FA61" i="4"/>
  <c r="EZ61" i="4"/>
  <c r="EY61" i="4"/>
  <c r="EX61" i="4"/>
  <c r="EW61" i="4"/>
  <c r="EV61" i="4"/>
  <c r="EU61" i="4"/>
  <c r="ET61" i="4"/>
  <c r="ES61" i="4"/>
  <c r="ER61" i="4"/>
  <c r="EQ61" i="4"/>
  <c r="EP61" i="4"/>
  <c r="EO61" i="4"/>
  <c r="EN61" i="4"/>
  <c r="EM61" i="4"/>
  <c r="EL61" i="4"/>
  <c r="EK61" i="4"/>
  <c r="EJ61" i="4"/>
  <c r="EI61" i="4"/>
  <c r="EH61" i="4"/>
  <c r="EG61" i="4"/>
  <c r="EF61" i="4"/>
  <c r="EE61" i="4"/>
  <c r="ED61" i="4"/>
  <c r="EC61" i="4"/>
  <c r="EB61" i="4"/>
  <c r="EA61" i="4"/>
  <c r="DZ61" i="4"/>
  <c r="DY61" i="4"/>
  <c r="DX61" i="4"/>
  <c r="DW61" i="4"/>
  <c r="DV61" i="4"/>
  <c r="DU61" i="4"/>
  <c r="DT61" i="4"/>
  <c r="DS61" i="4"/>
  <c r="DR61" i="4"/>
  <c r="DQ61" i="4"/>
  <c r="DP61" i="4"/>
  <c r="DO61" i="4"/>
  <c r="DN61" i="4"/>
  <c r="DM61" i="4"/>
  <c r="DL61" i="4"/>
  <c r="DK61" i="4"/>
  <c r="DJ61" i="4"/>
  <c r="DI61" i="4"/>
  <c r="DH61" i="4"/>
  <c r="DG61" i="4"/>
  <c r="DF61" i="4"/>
  <c r="DE61" i="4"/>
  <c r="DD61" i="4"/>
  <c r="DC61" i="4"/>
  <c r="DB61" i="4"/>
  <c r="DA61" i="4"/>
  <c r="CZ61" i="4"/>
  <c r="CY61" i="4"/>
  <c r="CX61" i="4"/>
  <c r="CW61" i="4"/>
  <c r="CV61" i="4"/>
  <c r="CU61" i="4"/>
  <c r="CT61" i="4"/>
  <c r="CS61" i="4"/>
  <c r="CR61" i="4"/>
  <c r="CQ61" i="4"/>
  <c r="CP61" i="4"/>
  <c r="CO61" i="4"/>
  <c r="CN61" i="4"/>
  <c r="CM61" i="4"/>
  <c r="CL61" i="4"/>
  <c r="CK61" i="4"/>
  <c r="CJ61" i="4"/>
  <c r="CI61" i="4"/>
  <c r="CH61" i="4"/>
  <c r="CG61" i="4"/>
  <c r="CF61" i="4"/>
  <c r="CE61" i="4"/>
  <c r="CD61" i="4"/>
  <c r="CC61" i="4"/>
  <c r="CB61" i="4"/>
  <c r="CA61" i="4"/>
  <c r="BZ61" i="4"/>
  <c r="BY61" i="4"/>
  <c r="BX61" i="4"/>
  <c r="BW61" i="4"/>
  <c r="BV61" i="4"/>
  <c r="BU61" i="4"/>
  <c r="BT61" i="4"/>
  <c r="BS61" i="4"/>
  <c r="BR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N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IV59" i="4"/>
  <c r="IU59" i="4"/>
  <c r="IT59" i="4"/>
  <c r="IS59" i="4"/>
  <c r="IR59" i="4"/>
  <c r="IQ59" i="4"/>
  <c r="IP59" i="4"/>
  <c r="IO59" i="4"/>
  <c r="IN59" i="4"/>
  <c r="IM59" i="4"/>
  <c r="IL59" i="4"/>
  <c r="IK59" i="4"/>
  <c r="IJ59" i="4"/>
  <c r="II59" i="4"/>
  <c r="IH59" i="4"/>
  <c r="IG59" i="4"/>
  <c r="IF59" i="4"/>
  <c r="IE59" i="4"/>
  <c r="ID59" i="4"/>
  <c r="IC59" i="4"/>
  <c r="IB59" i="4"/>
  <c r="IA59" i="4"/>
  <c r="HZ59" i="4"/>
  <c r="HY59" i="4"/>
  <c r="HX59" i="4"/>
  <c r="HW59" i="4"/>
  <c r="HV59" i="4"/>
  <c r="HU59" i="4"/>
  <c r="HT59" i="4"/>
  <c r="HS59" i="4"/>
  <c r="HR59" i="4"/>
  <c r="HQ59" i="4"/>
  <c r="HP59" i="4"/>
  <c r="HO59" i="4"/>
  <c r="HN59" i="4"/>
  <c r="HM59" i="4"/>
  <c r="HL59" i="4"/>
  <c r="HK59" i="4"/>
  <c r="HJ59" i="4"/>
  <c r="HI59" i="4"/>
  <c r="HH59" i="4"/>
  <c r="HG59" i="4"/>
  <c r="HF59" i="4"/>
  <c r="HE59" i="4"/>
  <c r="HD59" i="4"/>
  <c r="HC59" i="4"/>
  <c r="HB59" i="4"/>
  <c r="HA59" i="4"/>
  <c r="GZ59" i="4"/>
  <c r="GY59" i="4"/>
  <c r="GX59" i="4"/>
  <c r="GW59" i="4"/>
  <c r="GV59" i="4"/>
  <c r="GU59" i="4"/>
  <c r="GT59" i="4"/>
  <c r="GS59" i="4"/>
  <c r="GR59" i="4"/>
  <c r="GQ59" i="4"/>
  <c r="GP59" i="4"/>
  <c r="GO59" i="4"/>
  <c r="GN59" i="4"/>
  <c r="GM59" i="4"/>
  <c r="GL59" i="4"/>
  <c r="GK59" i="4"/>
  <c r="GJ59" i="4"/>
  <c r="GI59" i="4"/>
  <c r="GH59" i="4"/>
  <c r="GG59" i="4"/>
  <c r="GF59" i="4"/>
  <c r="GE59" i="4"/>
  <c r="GD59" i="4"/>
  <c r="GC59" i="4"/>
  <c r="GB59" i="4"/>
  <c r="GA59" i="4"/>
  <c r="FZ59" i="4"/>
  <c r="FY59" i="4"/>
  <c r="FX59" i="4"/>
  <c r="FW59" i="4"/>
  <c r="FV59" i="4"/>
  <c r="FU59" i="4"/>
  <c r="FT59" i="4"/>
  <c r="FS59" i="4"/>
  <c r="FR59" i="4"/>
  <c r="FQ59" i="4"/>
  <c r="FP59" i="4"/>
  <c r="FO59" i="4"/>
  <c r="FN59" i="4"/>
  <c r="FM59" i="4"/>
  <c r="FL59" i="4"/>
  <c r="FK59" i="4"/>
  <c r="FJ59" i="4"/>
  <c r="FI59" i="4"/>
  <c r="FH59" i="4"/>
  <c r="FG59" i="4"/>
  <c r="FF59" i="4"/>
  <c r="FE59" i="4"/>
  <c r="FD59" i="4"/>
  <c r="FC59" i="4"/>
  <c r="FB59" i="4"/>
  <c r="FA59" i="4"/>
  <c r="EZ59" i="4"/>
  <c r="EY59" i="4"/>
  <c r="EX59" i="4"/>
  <c r="EW59" i="4"/>
  <c r="EV59" i="4"/>
  <c r="EU59" i="4"/>
  <c r="ET59" i="4"/>
  <c r="ES59" i="4"/>
  <c r="ER59" i="4"/>
  <c r="EQ59" i="4"/>
  <c r="EP59" i="4"/>
  <c r="EO59" i="4"/>
  <c r="EN59" i="4"/>
  <c r="EM59" i="4"/>
  <c r="EL59" i="4"/>
  <c r="EK59" i="4"/>
  <c r="EJ59" i="4"/>
  <c r="EI59" i="4"/>
  <c r="EH59" i="4"/>
  <c r="EG59" i="4"/>
  <c r="EF59" i="4"/>
  <c r="EE59" i="4"/>
  <c r="ED59" i="4"/>
  <c r="EC59" i="4"/>
  <c r="EB59" i="4"/>
  <c r="EA59" i="4"/>
  <c r="DZ59" i="4"/>
  <c r="DY59" i="4"/>
  <c r="DX59" i="4"/>
  <c r="DW59" i="4"/>
  <c r="DV59" i="4"/>
  <c r="DU59" i="4"/>
  <c r="DT59" i="4"/>
  <c r="DS59" i="4"/>
  <c r="DR59" i="4"/>
  <c r="DQ59" i="4"/>
  <c r="DP59" i="4"/>
  <c r="DO59" i="4"/>
  <c r="DN59" i="4"/>
  <c r="DM59" i="4"/>
  <c r="DL59" i="4"/>
  <c r="DK59" i="4"/>
  <c r="DJ59" i="4"/>
  <c r="DI59" i="4"/>
  <c r="DH59" i="4"/>
  <c r="DG59" i="4"/>
  <c r="DF59" i="4"/>
  <c r="DE59" i="4"/>
  <c r="DD59" i="4"/>
  <c r="DC59" i="4"/>
  <c r="DB59" i="4"/>
  <c r="DA59" i="4"/>
  <c r="CZ59" i="4"/>
  <c r="CY59" i="4"/>
  <c r="CX59" i="4"/>
  <c r="CW59" i="4"/>
  <c r="CV59" i="4"/>
  <c r="CU59" i="4"/>
  <c r="CT59" i="4"/>
  <c r="CS59" i="4"/>
  <c r="CR59" i="4"/>
  <c r="CQ59" i="4"/>
  <c r="CP59" i="4"/>
  <c r="CO59" i="4"/>
  <c r="CN59" i="4"/>
  <c r="CM59" i="4"/>
  <c r="CL59" i="4"/>
  <c r="CK59" i="4"/>
  <c r="CJ59" i="4"/>
  <c r="CI59" i="4"/>
  <c r="CH59" i="4"/>
  <c r="CG59" i="4"/>
  <c r="CF59" i="4"/>
  <c r="CE59" i="4"/>
  <c r="CD59" i="4"/>
  <c r="CC59" i="4"/>
  <c r="CB59" i="4"/>
  <c r="CA59" i="4"/>
  <c r="BZ59" i="4"/>
  <c r="BY59" i="4"/>
  <c r="BX59" i="4"/>
  <c r="BW59" i="4"/>
  <c r="BV59" i="4"/>
  <c r="BU59" i="4"/>
  <c r="BT59" i="4"/>
  <c r="BS59" i="4"/>
  <c r="BR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AN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IV57" i="4"/>
  <c r="IU57" i="4"/>
  <c r="IT57" i="4"/>
  <c r="IS57" i="4"/>
  <c r="IR57" i="4"/>
  <c r="IQ57" i="4"/>
  <c r="IP57" i="4"/>
  <c r="IO57" i="4"/>
  <c r="IN57" i="4"/>
  <c r="IM57" i="4"/>
  <c r="IL57" i="4"/>
  <c r="IK57" i="4"/>
  <c r="IJ57" i="4"/>
  <c r="II57" i="4"/>
  <c r="IH57" i="4"/>
  <c r="IG57" i="4"/>
  <c r="IF57" i="4"/>
  <c r="IE57" i="4"/>
  <c r="ID57" i="4"/>
  <c r="IC57" i="4"/>
  <c r="IB57" i="4"/>
  <c r="IA57" i="4"/>
  <c r="HZ57" i="4"/>
  <c r="HY57" i="4"/>
  <c r="HX57" i="4"/>
  <c r="HW57" i="4"/>
  <c r="HV57" i="4"/>
  <c r="HU57" i="4"/>
  <c r="HT57" i="4"/>
  <c r="HS57" i="4"/>
  <c r="HR57" i="4"/>
  <c r="HQ57" i="4"/>
  <c r="HP57" i="4"/>
  <c r="HO57" i="4"/>
  <c r="HN57" i="4"/>
  <c r="HM57" i="4"/>
  <c r="HL57" i="4"/>
  <c r="HK57" i="4"/>
  <c r="HJ57" i="4"/>
  <c r="HI57" i="4"/>
  <c r="HH57" i="4"/>
  <c r="HG57" i="4"/>
  <c r="HF57" i="4"/>
  <c r="HE57" i="4"/>
  <c r="HD57" i="4"/>
  <c r="HC57" i="4"/>
  <c r="HB57" i="4"/>
  <c r="HA57" i="4"/>
  <c r="GZ57" i="4"/>
  <c r="GY57" i="4"/>
  <c r="GX57" i="4"/>
  <c r="GW57" i="4"/>
  <c r="GV57" i="4"/>
  <c r="GU57" i="4"/>
  <c r="GT57" i="4"/>
  <c r="GS57" i="4"/>
  <c r="GR57" i="4"/>
  <c r="GQ57" i="4"/>
  <c r="GP57" i="4"/>
  <c r="GO57" i="4"/>
  <c r="GN57" i="4"/>
  <c r="GM57" i="4"/>
  <c r="GL57" i="4"/>
  <c r="GK57" i="4"/>
  <c r="GJ57" i="4"/>
  <c r="GI57" i="4"/>
  <c r="GH57" i="4"/>
  <c r="GG57" i="4"/>
  <c r="GF57" i="4"/>
  <c r="GE57" i="4"/>
  <c r="GD57" i="4"/>
  <c r="GC57" i="4"/>
  <c r="GB57" i="4"/>
  <c r="GA57" i="4"/>
  <c r="FZ57" i="4"/>
  <c r="FY57" i="4"/>
  <c r="FX57" i="4"/>
  <c r="FW57" i="4"/>
  <c r="FV57" i="4"/>
  <c r="FU57" i="4"/>
  <c r="FT57" i="4"/>
  <c r="FS57" i="4"/>
  <c r="FR57" i="4"/>
  <c r="FQ57" i="4"/>
  <c r="FP57" i="4"/>
  <c r="FO57" i="4"/>
  <c r="FN57" i="4"/>
  <c r="FM57" i="4"/>
  <c r="FL57" i="4"/>
  <c r="FK57" i="4"/>
  <c r="FJ57" i="4"/>
  <c r="FI57" i="4"/>
  <c r="FH57" i="4"/>
  <c r="FG57" i="4"/>
  <c r="FF57" i="4"/>
  <c r="FE57" i="4"/>
  <c r="FD57" i="4"/>
  <c r="FC57" i="4"/>
  <c r="FB57" i="4"/>
  <c r="FA57" i="4"/>
  <c r="EZ57" i="4"/>
  <c r="EY57" i="4"/>
  <c r="EX57" i="4"/>
  <c r="EW57" i="4"/>
  <c r="EV57" i="4"/>
  <c r="EU57" i="4"/>
  <c r="ET57" i="4"/>
  <c r="ES57" i="4"/>
  <c r="ER57" i="4"/>
  <c r="EQ57" i="4"/>
  <c r="EP57" i="4"/>
  <c r="EO57" i="4"/>
  <c r="EN57" i="4"/>
  <c r="EM57" i="4"/>
  <c r="EL57" i="4"/>
  <c r="EK57" i="4"/>
  <c r="EJ57" i="4"/>
  <c r="EI57" i="4"/>
  <c r="EH57" i="4"/>
  <c r="EG57" i="4"/>
  <c r="EF57" i="4"/>
  <c r="EE57" i="4"/>
  <c r="ED57" i="4"/>
  <c r="EC57" i="4"/>
  <c r="EB57" i="4"/>
  <c r="EA57" i="4"/>
  <c r="DZ57" i="4"/>
  <c r="DY57" i="4"/>
  <c r="DX57" i="4"/>
  <c r="DW57" i="4"/>
  <c r="DV57" i="4"/>
  <c r="DU57" i="4"/>
  <c r="DT57" i="4"/>
  <c r="DS57" i="4"/>
  <c r="DR57" i="4"/>
  <c r="DQ57" i="4"/>
  <c r="DP57" i="4"/>
  <c r="DO57" i="4"/>
  <c r="DN57" i="4"/>
  <c r="DM57" i="4"/>
  <c r="DL57" i="4"/>
  <c r="DK57" i="4"/>
  <c r="DJ57" i="4"/>
  <c r="DI57" i="4"/>
  <c r="DH57" i="4"/>
  <c r="DG57" i="4"/>
  <c r="DF57" i="4"/>
  <c r="DE57" i="4"/>
  <c r="DD57" i="4"/>
  <c r="DC57" i="4"/>
  <c r="DB57" i="4"/>
  <c r="DA57" i="4"/>
  <c r="CZ57" i="4"/>
  <c r="CY57" i="4"/>
  <c r="CX57" i="4"/>
  <c r="CW57" i="4"/>
  <c r="CV57" i="4"/>
  <c r="CU57" i="4"/>
  <c r="CT57" i="4"/>
  <c r="CS57" i="4"/>
  <c r="CR57" i="4"/>
  <c r="CQ57" i="4"/>
  <c r="CP57" i="4"/>
  <c r="CO57" i="4"/>
  <c r="CN57" i="4"/>
  <c r="CM57" i="4"/>
  <c r="CL57" i="4"/>
  <c r="CK57" i="4"/>
  <c r="CJ57" i="4"/>
  <c r="CI57" i="4"/>
  <c r="CH57" i="4"/>
  <c r="CG57" i="4"/>
  <c r="CF57" i="4"/>
  <c r="CE57" i="4"/>
  <c r="CD57" i="4"/>
  <c r="CC57" i="4"/>
  <c r="CB57" i="4"/>
  <c r="CA57" i="4"/>
  <c r="BZ57" i="4"/>
  <c r="BY57" i="4"/>
  <c r="BX57" i="4"/>
  <c r="BW57" i="4"/>
  <c r="BV57" i="4"/>
  <c r="BU57" i="4"/>
  <c r="BT57" i="4"/>
  <c r="BS57" i="4"/>
  <c r="BR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IV53" i="4"/>
  <c r="IU53" i="4"/>
  <c r="IT53" i="4"/>
  <c r="IS53" i="4"/>
  <c r="IR53" i="4"/>
  <c r="IQ53" i="4"/>
  <c r="IP53" i="4"/>
  <c r="IO53" i="4"/>
  <c r="IN53" i="4"/>
  <c r="IM53" i="4"/>
  <c r="IL53" i="4"/>
  <c r="IK53" i="4"/>
  <c r="IJ53" i="4"/>
  <c r="II53" i="4"/>
  <c r="IH53" i="4"/>
  <c r="IG53" i="4"/>
  <c r="IF53" i="4"/>
  <c r="IE53" i="4"/>
  <c r="ID53" i="4"/>
  <c r="IC53" i="4"/>
  <c r="IB53" i="4"/>
  <c r="IA53" i="4"/>
  <c r="HZ53" i="4"/>
  <c r="HY53" i="4"/>
  <c r="HX53" i="4"/>
  <c r="HW53" i="4"/>
  <c r="HV53" i="4"/>
  <c r="HU53" i="4"/>
  <c r="HT53" i="4"/>
  <c r="HS53" i="4"/>
  <c r="HR53" i="4"/>
  <c r="HQ53" i="4"/>
  <c r="HP53" i="4"/>
  <c r="HO53" i="4"/>
  <c r="HN53" i="4"/>
  <c r="HM53" i="4"/>
  <c r="HL53" i="4"/>
  <c r="HK53" i="4"/>
  <c r="HJ53" i="4"/>
  <c r="HI53" i="4"/>
  <c r="HH53" i="4"/>
  <c r="HG53" i="4"/>
  <c r="HF53" i="4"/>
  <c r="HE53" i="4"/>
  <c r="HD53" i="4"/>
  <c r="HC53" i="4"/>
  <c r="HB53" i="4"/>
  <c r="HA53" i="4"/>
  <c r="GZ53" i="4"/>
  <c r="GY53" i="4"/>
  <c r="GX53" i="4"/>
  <c r="GW53" i="4"/>
  <c r="GV53" i="4"/>
  <c r="GU53" i="4"/>
  <c r="GT53" i="4"/>
  <c r="GS53" i="4"/>
  <c r="GR53" i="4"/>
  <c r="GQ53" i="4"/>
  <c r="GP53" i="4"/>
  <c r="GO53" i="4"/>
  <c r="GN53" i="4"/>
  <c r="GM53" i="4"/>
  <c r="GL53" i="4"/>
  <c r="GK53" i="4"/>
  <c r="GJ53" i="4"/>
  <c r="GI53" i="4"/>
  <c r="GH53" i="4"/>
  <c r="GG53" i="4"/>
  <c r="GF53" i="4"/>
  <c r="GE53" i="4"/>
  <c r="GD53" i="4"/>
  <c r="GC53" i="4"/>
  <c r="GB53" i="4"/>
  <c r="GA53" i="4"/>
  <c r="FZ53" i="4"/>
  <c r="FY53" i="4"/>
  <c r="FX53" i="4"/>
  <c r="FW53" i="4"/>
  <c r="FV53" i="4"/>
  <c r="FU53" i="4"/>
  <c r="FT53" i="4"/>
  <c r="FS53" i="4"/>
  <c r="FR53" i="4"/>
  <c r="FQ53" i="4"/>
  <c r="FP53" i="4"/>
  <c r="FO53" i="4"/>
  <c r="FN53" i="4"/>
  <c r="FM53" i="4"/>
  <c r="FL53" i="4"/>
  <c r="FK53" i="4"/>
  <c r="FJ53" i="4"/>
  <c r="FI53" i="4"/>
  <c r="FH53" i="4"/>
  <c r="FG53" i="4"/>
  <c r="FF53" i="4"/>
  <c r="FE53" i="4"/>
  <c r="FD53" i="4"/>
  <c r="FC53" i="4"/>
  <c r="FB53" i="4"/>
  <c r="FA53" i="4"/>
  <c r="EZ53" i="4"/>
  <c r="EY53" i="4"/>
  <c r="EX53" i="4"/>
  <c r="EW53" i="4"/>
  <c r="EV53" i="4"/>
  <c r="EU53" i="4"/>
  <c r="ET53" i="4"/>
  <c r="ES53" i="4"/>
  <c r="ER53" i="4"/>
  <c r="EQ53" i="4"/>
  <c r="EP53" i="4"/>
  <c r="EO53" i="4"/>
  <c r="EN53" i="4"/>
  <c r="EM53" i="4"/>
  <c r="EL53" i="4"/>
  <c r="EK53" i="4"/>
  <c r="EJ53" i="4"/>
  <c r="EI53" i="4"/>
  <c r="EH53" i="4"/>
  <c r="EG53" i="4"/>
  <c r="EF53" i="4"/>
  <c r="EE53" i="4"/>
  <c r="ED53" i="4"/>
  <c r="EC53" i="4"/>
  <c r="EB53" i="4"/>
  <c r="EA53" i="4"/>
  <c r="DZ53" i="4"/>
  <c r="DY53" i="4"/>
  <c r="DX53" i="4"/>
  <c r="DW53" i="4"/>
  <c r="DV53" i="4"/>
  <c r="DU53" i="4"/>
  <c r="DT53" i="4"/>
  <c r="DS53" i="4"/>
  <c r="DR53" i="4"/>
  <c r="DQ53" i="4"/>
  <c r="DP53" i="4"/>
  <c r="DO53" i="4"/>
  <c r="DN53" i="4"/>
  <c r="DM53" i="4"/>
  <c r="DL53" i="4"/>
  <c r="DK53" i="4"/>
  <c r="DJ53" i="4"/>
  <c r="DI53" i="4"/>
  <c r="DH53" i="4"/>
  <c r="DG53" i="4"/>
  <c r="DF53" i="4"/>
  <c r="DE53" i="4"/>
  <c r="DD53" i="4"/>
  <c r="DC53" i="4"/>
  <c r="DB53" i="4"/>
  <c r="DA53" i="4"/>
  <c r="CZ53" i="4"/>
  <c r="CY53" i="4"/>
  <c r="CX53" i="4"/>
  <c r="CW53" i="4"/>
  <c r="CV53" i="4"/>
  <c r="CU53" i="4"/>
  <c r="CT53" i="4"/>
  <c r="CS53" i="4"/>
  <c r="CR53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CB53" i="4"/>
  <c r="CA53" i="4"/>
  <c r="BZ53" i="4"/>
  <c r="BY53" i="4"/>
  <c r="BX53" i="4"/>
  <c r="BW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IC52" i="4"/>
  <c r="IB52" i="4"/>
  <c r="IA52" i="4"/>
  <c r="HZ52" i="4"/>
  <c r="HY52" i="4"/>
  <c r="HX52" i="4"/>
  <c r="HW52" i="4"/>
  <c r="HV52" i="4"/>
  <c r="HU52" i="4"/>
  <c r="HT52" i="4"/>
  <c r="HS52" i="4"/>
  <c r="HR52" i="4"/>
  <c r="HQ52" i="4"/>
  <c r="HP52" i="4"/>
  <c r="HO52" i="4"/>
  <c r="HN52" i="4"/>
  <c r="HM52" i="4"/>
  <c r="HL52" i="4"/>
  <c r="HK52" i="4"/>
  <c r="HJ52" i="4"/>
  <c r="HI52" i="4"/>
  <c r="HH52" i="4"/>
  <c r="HG52" i="4"/>
  <c r="HF52" i="4"/>
  <c r="HE52" i="4"/>
  <c r="HD52" i="4"/>
  <c r="HC52" i="4"/>
  <c r="HB52" i="4"/>
  <c r="HA52" i="4"/>
  <c r="GZ52" i="4"/>
  <c r="GY52" i="4"/>
  <c r="GX52" i="4"/>
  <c r="GW52" i="4"/>
  <c r="GV52" i="4"/>
  <c r="GU52" i="4"/>
  <c r="GT52" i="4"/>
  <c r="GS52" i="4"/>
  <c r="GR52" i="4"/>
  <c r="GQ52" i="4"/>
  <c r="GP52" i="4"/>
  <c r="GO52" i="4"/>
  <c r="GN52" i="4"/>
  <c r="GM52" i="4"/>
  <c r="GL52" i="4"/>
  <c r="GK52" i="4"/>
  <c r="GJ52" i="4"/>
  <c r="GI52" i="4"/>
  <c r="GH52" i="4"/>
  <c r="GG52" i="4"/>
  <c r="GF52" i="4"/>
  <c r="GE52" i="4"/>
  <c r="GD52" i="4"/>
  <c r="GC52" i="4"/>
  <c r="GB52" i="4"/>
  <c r="GA52" i="4"/>
  <c r="FZ52" i="4"/>
  <c r="FY52" i="4"/>
  <c r="FX52" i="4"/>
  <c r="FW52" i="4"/>
  <c r="FV52" i="4"/>
  <c r="FU52" i="4"/>
  <c r="FT52" i="4"/>
  <c r="FS52" i="4"/>
  <c r="FR52" i="4"/>
  <c r="FQ52" i="4"/>
  <c r="FP52" i="4"/>
  <c r="FO52" i="4"/>
  <c r="FN52" i="4"/>
  <c r="FM52" i="4"/>
  <c r="FL52" i="4"/>
  <c r="FK52" i="4"/>
  <c r="FJ52" i="4"/>
  <c r="FI52" i="4"/>
  <c r="FH52" i="4"/>
  <c r="FG52" i="4"/>
  <c r="FF52" i="4"/>
  <c r="FE52" i="4"/>
  <c r="FD52" i="4"/>
  <c r="FC52" i="4"/>
  <c r="FB52" i="4"/>
  <c r="FA52" i="4"/>
  <c r="EZ52" i="4"/>
  <c r="EY52" i="4"/>
  <c r="EX52" i="4"/>
  <c r="EW52" i="4"/>
  <c r="EV52" i="4"/>
  <c r="EU52" i="4"/>
  <c r="ET52" i="4"/>
  <c r="ES52" i="4"/>
  <c r="ER52" i="4"/>
  <c r="EQ52" i="4"/>
  <c r="EP52" i="4"/>
  <c r="EO52" i="4"/>
  <c r="EN52" i="4"/>
  <c r="EM52" i="4"/>
  <c r="EL52" i="4"/>
  <c r="EK52" i="4"/>
  <c r="EJ52" i="4"/>
  <c r="EI52" i="4"/>
  <c r="EH52" i="4"/>
  <c r="EG52" i="4"/>
  <c r="EF52" i="4"/>
  <c r="EE52" i="4"/>
  <c r="ED52" i="4"/>
  <c r="EC52" i="4"/>
  <c r="EB52" i="4"/>
  <c r="EA52" i="4"/>
  <c r="DZ52" i="4"/>
  <c r="DY52" i="4"/>
  <c r="DX52" i="4"/>
  <c r="DW52" i="4"/>
  <c r="DV52" i="4"/>
  <c r="DU52" i="4"/>
  <c r="DT52" i="4"/>
  <c r="DS52" i="4"/>
  <c r="DR52" i="4"/>
  <c r="DQ52" i="4"/>
  <c r="DP52" i="4"/>
  <c r="DO52" i="4"/>
  <c r="DN52" i="4"/>
  <c r="DM52" i="4"/>
  <c r="DL52" i="4"/>
  <c r="DK52" i="4"/>
  <c r="DJ52" i="4"/>
  <c r="DI52" i="4"/>
  <c r="DH52" i="4"/>
  <c r="DG52" i="4"/>
  <c r="DF52" i="4"/>
  <c r="DE52" i="4"/>
  <c r="DD52" i="4"/>
  <c r="DC52" i="4"/>
  <c r="DB52" i="4"/>
  <c r="DA52" i="4"/>
  <c r="CZ52" i="4"/>
  <c r="CY52" i="4"/>
  <c r="CX52" i="4"/>
  <c r="CW52" i="4"/>
  <c r="CV52" i="4"/>
  <c r="CU52" i="4"/>
  <c r="CT52" i="4"/>
  <c r="CS52" i="4"/>
  <c r="CR52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CB52" i="4"/>
  <c r="CA52" i="4"/>
  <c r="BZ52" i="4"/>
  <c r="BY52" i="4"/>
  <c r="BX52" i="4"/>
  <c r="BW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IV51" i="4"/>
  <c r="IU51" i="4"/>
  <c r="IT51" i="4"/>
  <c r="IS51" i="4"/>
  <c r="IR51" i="4"/>
  <c r="IQ51" i="4"/>
  <c r="IP51" i="4"/>
  <c r="IO51" i="4"/>
  <c r="IN51" i="4"/>
  <c r="IM51" i="4"/>
  <c r="IL51" i="4"/>
  <c r="IK51" i="4"/>
  <c r="IJ51" i="4"/>
  <c r="II51" i="4"/>
  <c r="IH51" i="4"/>
  <c r="IG51" i="4"/>
  <c r="IF51" i="4"/>
  <c r="IE51" i="4"/>
  <c r="ID51" i="4"/>
  <c r="IC51" i="4"/>
  <c r="IB51" i="4"/>
  <c r="IA51" i="4"/>
  <c r="HZ51" i="4"/>
  <c r="HY51" i="4"/>
  <c r="HX51" i="4"/>
  <c r="HW51" i="4"/>
  <c r="HV51" i="4"/>
  <c r="HU51" i="4"/>
  <c r="HT51" i="4"/>
  <c r="HS51" i="4"/>
  <c r="HR51" i="4"/>
  <c r="HQ51" i="4"/>
  <c r="HP51" i="4"/>
  <c r="HO51" i="4"/>
  <c r="HN51" i="4"/>
  <c r="HM51" i="4"/>
  <c r="HL51" i="4"/>
  <c r="HK51" i="4"/>
  <c r="HJ51" i="4"/>
  <c r="HI51" i="4"/>
  <c r="HH51" i="4"/>
  <c r="HG51" i="4"/>
  <c r="HF51" i="4"/>
  <c r="HE51" i="4"/>
  <c r="HD51" i="4"/>
  <c r="HC51" i="4"/>
  <c r="HB51" i="4"/>
  <c r="HA51" i="4"/>
  <c r="GZ51" i="4"/>
  <c r="GY51" i="4"/>
  <c r="GX51" i="4"/>
  <c r="GW51" i="4"/>
  <c r="GV51" i="4"/>
  <c r="GU51" i="4"/>
  <c r="GT51" i="4"/>
  <c r="GS51" i="4"/>
  <c r="GR51" i="4"/>
  <c r="GQ51" i="4"/>
  <c r="GP51" i="4"/>
  <c r="GO51" i="4"/>
  <c r="GN51" i="4"/>
  <c r="GM51" i="4"/>
  <c r="GL51" i="4"/>
  <c r="GK51" i="4"/>
  <c r="GJ51" i="4"/>
  <c r="GI51" i="4"/>
  <c r="GH51" i="4"/>
  <c r="GG51" i="4"/>
  <c r="GF51" i="4"/>
  <c r="GE51" i="4"/>
  <c r="GD51" i="4"/>
  <c r="GC51" i="4"/>
  <c r="GB51" i="4"/>
  <c r="GA51" i="4"/>
  <c r="FZ51" i="4"/>
  <c r="FY51" i="4"/>
  <c r="FX51" i="4"/>
  <c r="FW51" i="4"/>
  <c r="FV51" i="4"/>
  <c r="FU51" i="4"/>
  <c r="FT51" i="4"/>
  <c r="FS51" i="4"/>
  <c r="FR51" i="4"/>
  <c r="FQ51" i="4"/>
  <c r="FP51" i="4"/>
  <c r="FO51" i="4"/>
  <c r="FN51" i="4"/>
  <c r="FM51" i="4"/>
  <c r="FL51" i="4"/>
  <c r="FK51" i="4"/>
  <c r="FJ51" i="4"/>
  <c r="FI51" i="4"/>
  <c r="FH51" i="4"/>
  <c r="FG51" i="4"/>
  <c r="FF51" i="4"/>
  <c r="FE51" i="4"/>
  <c r="FD51" i="4"/>
  <c r="FC51" i="4"/>
  <c r="FB51" i="4"/>
  <c r="FA51" i="4"/>
  <c r="EZ51" i="4"/>
  <c r="EY51" i="4"/>
  <c r="EX51" i="4"/>
  <c r="EW51" i="4"/>
  <c r="EV51" i="4"/>
  <c r="EU51" i="4"/>
  <c r="ET51" i="4"/>
  <c r="ES51" i="4"/>
  <c r="ER51" i="4"/>
  <c r="EQ51" i="4"/>
  <c r="EP51" i="4"/>
  <c r="EO51" i="4"/>
  <c r="EN51" i="4"/>
  <c r="EM51" i="4"/>
  <c r="EL51" i="4"/>
  <c r="EK51" i="4"/>
  <c r="EJ51" i="4"/>
  <c r="EI51" i="4"/>
  <c r="EH51" i="4"/>
  <c r="EG51" i="4"/>
  <c r="EF51" i="4"/>
  <c r="EE51" i="4"/>
  <c r="ED51" i="4"/>
  <c r="EC51" i="4"/>
  <c r="EB51" i="4"/>
  <c r="EA51" i="4"/>
  <c r="DZ51" i="4"/>
  <c r="DY51" i="4"/>
  <c r="DX51" i="4"/>
  <c r="DW51" i="4"/>
  <c r="DV51" i="4"/>
  <c r="DU51" i="4"/>
  <c r="DT51" i="4"/>
  <c r="DS51" i="4"/>
  <c r="DR51" i="4"/>
  <c r="DQ51" i="4"/>
  <c r="DP51" i="4"/>
  <c r="DO51" i="4"/>
  <c r="DN51" i="4"/>
  <c r="DM51" i="4"/>
  <c r="DL51" i="4"/>
  <c r="DK51" i="4"/>
  <c r="DJ51" i="4"/>
  <c r="DI51" i="4"/>
  <c r="DH51" i="4"/>
  <c r="DG51" i="4"/>
  <c r="DF51" i="4"/>
  <c r="DE51" i="4"/>
  <c r="DD51" i="4"/>
  <c r="DC51" i="4"/>
  <c r="DB51" i="4"/>
  <c r="DA51" i="4"/>
  <c r="CZ51" i="4"/>
  <c r="CY51" i="4"/>
  <c r="CX51" i="4"/>
  <c r="CW51" i="4"/>
  <c r="CV51" i="4"/>
  <c r="CU51" i="4"/>
  <c r="CT51" i="4"/>
  <c r="CS51" i="4"/>
  <c r="CR51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CB51" i="4"/>
  <c r="CA51" i="4"/>
  <c r="BZ51" i="4"/>
  <c r="BY51" i="4"/>
  <c r="BX51" i="4"/>
  <c r="BW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IV50" i="4"/>
  <c r="IU50" i="4"/>
  <c r="IT50" i="4"/>
  <c r="IS50" i="4"/>
  <c r="IR50" i="4"/>
  <c r="IQ50" i="4"/>
  <c r="IP50" i="4"/>
  <c r="IO50" i="4"/>
  <c r="IN50" i="4"/>
  <c r="IM50" i="4"/>
  <c r="IL50" i="4"/>
  <c r="IK50" i="4"/>
  <c r="IJ50" i="4"/>
  <c r="II50" i="4"/>
  <c r="IH50" i="4"/>
  <c r="IG50" i="4"/>
  <c r="IF50" i="4"/>
  <c r="IE50" i="4"/>
  <c r="ID50" i="4"/>
  <c r="IC50" i="4"/>
  <c r="IB50" i="4"/>
  <c r="IA50" i="4"/>
  <c r="HZ50" i="4"/>
  <c r="HY50" i="4"/>
  <c r="HX50" i="4"/>
  <c r="HW50" i="4"/>
  <c r="HV50" i="4"/>
  <c r="HU50" i="4"/>
  <c r="HT50" i="4"/>
  <c r="HS50" i="4"/>
  <c r="HR50" i="4"/>
  <c r="HQ50" i="4"/>
  <c r="HP50" i="4"/>
  <c r="HO50" i="4"/>
  <c r="HN50" i="4"/>
  <c r="HM50" i="4"/>
  <c r="HL50" i="4"/>
  <c r="HK50" i="4"/>
  <c r="HJ50" i="4"/>
  <c r="HI50" i="4"/>
  <c r="HH50" i="4"/>
  <c r="HG50" i="4"/>
  <c r="HF50" i="4"/>
  <c r="HE50" i="4"/>
  <c r="HD50" i="4"/>
  <c r="HC50" i="4"/>
  <c r="HB50" i="4"/>
  <c r="HA50" i="4"/>
  <c r="GZ50" i="4"/>
  <c r="GY50" i="4"/>
  <c r="GX50" i="4"/>
  <c r="GW50" i="4"/>
  <c r="GV50" i="4"/>
  <c r="GU50" i="4"/>
  <c r="GT50" i="4"/>
  <c r="GS50" i="4"/>
  <c r="GR50" i="4"/>
  <c r="GQ50" i="4"/>
  <c r="GP50" i="4"/>
  <c r="GO50" i="4"/>
  <c r="GN50" i="4"/>
  <c r="GM50" i="4"/>
  <c r="GL50" i="4"/>
  <c r="GK50" i="4"/>
  <c r="GJ50" i="4"/>
  <c r="GI50" i="4"/>
  <c r="GH50" i="4"/>
  <c r="GG50" i="4"/>
  <c r="GF50" i="4"/>
  <c r="GE50" i="4"/>
  <c r="GD50" i="4"/>
  <c r="GC50" i="4"/>
  <c r="GB50" i="4"/>
  <c r="GA50" i="4"/>
  <c r="FZ50" i="4"/>
  <c r="FY50" i="4"/>
  <c r="FX50" i="4"/>
  <c r="FW50" i="4"/>
  <c r="FV50" i="4"/>
  <c r="FU50" i="4"/>
  <c r="FT50" i="4"/>
  <c r="FS50" i="4"/>
  <c r="FR50" i="4"/>
  <c r="FQ50" i="4"/>
  <c r="FP50" i="4"/>
  <c r="FO50" i="4"/>
  <c r="FN50" i="4"/>
  <c r="FM50" i="4"/>
  <c r="FL50" i="4"/>
  <c r="FK50" i="4"/>
  <c r="FJ50" i="4"/>
  <c r="FI50" i="4"/>
  <c r="FH50" i="4"/>
  <c r="FG50" i="4"/>
  <c r="FF50" i="4"/>
  <c r="FE50" i="4"/>
  <c r="FD50" i="4"/>
  <c r="FC50" i="4"/>
  <c r="FB50" i="4"/>
  <c r="FA50" i="4"/>
  <c r="EZ50" i="4"/>
  <c r="EY50" i="4"/>
  <c r="EX50" i="4"/>
  <c r="EW50" i="4"/>
  <c r="EV50" i="4"/>
  <c r="EU50" i="4"/>
  <c r="ET50" i="4"/>
  <c r="ES50" i="4"/>
  <c r="ER50" i="4"/>
  <c r="EQ50" i="4"/>
  <c r="EP50" i="4"/>
  <c r="EO50" i="4"/>
  <c r="EN50" i="4"/>
  <c r="EM50" i="4"/>
  <c r="EL50" i="4"/>
  <c r="EK50" i="4"/>
  <c r="EJ50" i="4"/>
  <c r="EI50" i="4"/>
  <c r="EH50" i="4"/>
  <c r="EG50" i="4"/>
  <c r="EF50" i="4"/>
  <c r="EE50" i="4"/>
  <c r="ED50" i="4"/>
  <c r="EC50" i="4"/>
  <c r="EB50" i="4"/>
  <c r="EA50" i="4"/>
  <c r="DZ50" i="4"/>
  <c r="DY50" i="4"/>
  <c r="DX50" i="4"/>
  <c r="DW50" i="4"/>
  <c r="DV50" i="4"/>
  <c r="DU50" i="4"/>
  <c r="DT50" i="4"/>
  <c r="DS50" i="4"/>
  <c r="DR50" i="4"/>
  <c r="DQ50" i="4"/>
  <c r="DP50" i="4"/>
  <c r="DO50" i="4"/>
  <c r="DN50" i="4"/>
  <c r="DM50" i="4"/>
  <c r="DL50" i="4"/>
  <c r="DK50" i="4"/>
  <c r="DJ50" i="4"/>
  <c r="DI50" i="4"/>
  <c r="DH50" i="4"/>
  <c r="DG50" i="4"/>
  <c r="DF50" i="4"/>
  <c r="DE50" i="4"/>
  <c r="DD50" i="4"/>
  <c r="DC50" i="4"/>
  <c r="DB50" i="4"/>
  <c r="DA50" i="4"/>
  <c r="CZ50" i="4"/>
  <c r="CY50" i="4"/>
  <c r="CX50" i="4"/>
  <c r="CW50" i="4"/>
  <c r="CV50" i="4"/>
  <c r="CU50" i="4"/>
  <c r="CT50" i="4"/>
  <c r="CS50" i="4"/>
  <c r="CR50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CB50" i="4"/>
  <c r="CA50" i="4"/>
  <c r="BZ50" i="4"/>
  <c r="BY50" i="4"/>
  <c r="BX50" i="4"/>
  <c r="BW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IC49" i="4"/>
  <c r="IB49" i="4"/>
  <c r="IA49" i="4"/>
  <c r="HZ49" i="4"/>
  <c r="HY49" i="4"/>
  <c r="HX49" i="4"/>
  <c r="HW49" i="4"/>
  <c r="HV49" i="4"/>
  <c r="HU49" i="4"/>
  <c r="HT49" i="4"/>
  <c r="HS49" i="4"/>
  <c r="HR49" i="4"/>
  <c r="HQ49" i="4"/>
  <c r="HP49" i="4"/>
  <c r="HO49" i="4"/>
  <c r="HN49" i="4"/>
  <c r="HM49" i="4"/>
  <c r="HL49" i="4"/>
  <c r="HK49" i="4"/>
  <c r="HJ49" i="4"/>
  <c r="HI49" i="4"/>
  <c r="HH49" i="4"/>
  <c r="HG49" i="4"/>
  <c r="HF49" i="4"/>
  <c r="HE49" i="4"/>
  <c r="HD49" i="4"/>
  <c r="HC49" i="4"/>
  <c r="HB49" i="4"/>
  <c r="HA49" i="4"/>
  <c r="GZ49" i="4"/>
  <c r="GY49" i="4"/>
  <c r="GX49" i="4"/>
  <c r="GW49" i="4"/>
  <c r="GV49" i="4"/>
  <c r="GU49" i="4"/>
  <c r="GT49" i="4"/>
  <c r="GS49" i="4"/>
  <c r="GR49" i="4"/>
  <c r="GQ49" i="4"/>
  <c r="GP49" i="4"/>
  <c r="GO49" i="4"/>
  <c r="GN49" i="4"/>
  <c r="GM49" i="4"/>
  <c r="GL49" i="4"/>
  <c r="GK49" i="4"/>
  <c r="GJ49" i="4"/>
  <c r="GI49" i="4"/>
  <c r="GH49" i="4"/>
  <c r="GG49" i="4"/>
  <c r="GF49" i="4"/>
  <c r="GE49" i="4"/>
  <c r="GD49" i="4"/>
  <c r="GC49" i="4"/>
  <c r="GB49" i="4"/>
  <c r="GA49" i="4"/>
  <c r="FZ49" i="4"/>
  <c r="FY49" i="4"/>
  <c r="FX49" i="4"/>
  <c r="FW49" i="4"/>
  <c r="FV49" i="4"/>
  <c r="FU49" i="4"/>
  <c r="FT49" i="4"/>
  <c r="FS49" i="4"/>
  <c r="FR49" i="4"/>
  <c r="FQ49" i="4"/>
  <c r="FP49" i="4"/>
  <c r="FO49" i="4"/>
  <c r="FN49" i="4"/>
  <c r="FM49" i="4"/>
  <c r="FL49" i="4"/>
  <c r="FK49" i="4"/>
  <c r="FJ49" i="4"/>
  <c r="FI49" i="4"/>
  <c r="FH49" i="4"/>
  <c r="FG49" i="4"/>
  <c r="FF49" i="4"/>
  <c r="FE49" i="4"/>
  <c r="FD49" i="4"/>
  <c r="FC49" i="4"/>
  <c r="FB49" i="4"/>
  <c r="FA49" i="4"/>
  <c r="EZ49" i="4"/>
  <c r="EY49" i="4"/>
  <c r="EX49" i="4"/>
  <c r="EW49" i="4"/>
  <c r="EV49" i="4"/>
  <c r="EU49" i="4"/>
  <c r="ET49" i="4"/>
  <c r="ES49" i="4"/>
  <c r="ER49" i="4"/>
  <c r="EQ49" i="4"/>
  <c r="EP49" i="4"/>
  <c r="EO49" i="4"/>
  <c r="EN49" i="4"/>
  <c r="EM49" i="4"/>
  <c r="EL49" i="4"/>
  <c r="EK49" i="4"/>
  <c r="EJ49" i="4"/>
  <c r="EI49" i="4"/>
  <c r="EH49" i="4"/>
  <c r="EG49" i="4"/>
  <c r="EF49" i="4"/>
  <c r="EE49" i="4"/>
  <c r="ED49" i="4"/>
  <c r="EC49" i="4"/>
  <c r="EB49" i="4"/>
  <c r="EA49" i="4"/>
  <c r="DZ49" i="4"/>
  <c r="DY49" i="4"/>
  <c r="DX49" i="4"/>
  <c r="DW49" i="4"/>
  <c r="DV49" i="4"/>
  <c r="DU49" i="4"/>
  <c r="DT49" i="4"/>
  <c r="DS49" i="4"/>
  <c r="DR49" i="4"/>
  <c r="DQ49" i="4"/>
  <c r="DP49" i="4"/>
  <c r="DO49" i="4"/>
  <c r="DN49" i="4"/>
  <c r="DM49" i="4"/>
  <c r="DL49" i="4"/>
  <c r="DK49" i="4"/>
  <c r="DJ49" i="4"/>
  <c r="DI49" i="4"/>
  <c r="DH49" i="4"/>
  <c r="DG49" i="4"/>
  <c r="DF49" i="4"/>
  <c r="DE49" i="4"/>
  <c r="DD49" i="4"/>
  <c r="DC49" i="4"/>
  <c r="DB49" i="4"/>
  <c r="DA49" i="4"/>
  <c r="CZ49" i="4"/>
  <c r="CY49" i="4"/>
  <c r="CX49" i="4"/>
  <c r="CW49" i="4"/>
  <c r="CV49" i="4"/>
  <c r="CU49" i="4"/>
  <c r="CT49" i="4"/>
  <c r="CS49" i="4"/>
  <c r="CR49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CB49" i="4"/>
  <c r="CA49" i="4"/>
  <c r="BZ49" i="4"/>
  <c r="BY49" i="4"/>
  <c r="BX49" i="4"/>
  <c r="BW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IV48" i="4"/>
  <c r="IU48" i="4"/>
  <c r="IT48" i="4"/>
  <c r="IS48" i="4"/>
  <c r="IR48" i="4"/>
  <c r="IQ48" i="4"/>
  <c r="IP48" i="4"/>
  <c r="IO48" i="4"/>
  <c r="IN48" i="4"/>
  <c r="IM48" i="4"/>
  <c r="IL48" i="4"/>
  <c r="IK48" i="4"/>
  <c r="IJ48" i="4"/>
  <c r="II48" i="4"/>
  <c r="IH48" i="4"/>
  <c r="IG48" i="4"/>
  <c r="IF48" i="4"/>
  <c r="IE48" i="4"/>
  <c r="ID48" i="4"/>
  <c r="IC48" i="4"/>
  <c r="IB48" i="4"/>
  <c r="IA48" i="4"/>
  <c r="HZ48" i="4"/>
  <c r="HY48" i="4"/>
  <c r="HX48" i="4"/>
  <c r="HW48" i="4"/>
  <c r="HV48" i="4"/>
  <c r="HU48" i="4"/>
  <c r="HT48" i="4"/>
  <c r="HS48" i="4"/>
  <c r="HR48" i="4"/>
  <c r="HQ48" i="4"/>
  <c r="HP48" i="4"/>
  <c r="HO48" i="4"/>
  <c r="HN48" i="4"/>
  <c r="HM48" i="4"/>
  <c r="HL48" i="4"/>
  <c r="HK48" i="4"/>
  <c r="HJ48" i="4"/>
  <c r="HI48" i="4"/>
  <c r="HH48" i="4"/>
  <c r="HG48" i="4"/>
  <c r="HF48" i="4"/>
  <c r="HE48" i="4"/>
  <c r="HD48" i="4"/>
  <c r="HC48" i="4"/>
  <c r="HB48" i="4"/>
  <c r="HA48" i="4"/>
  <c r="GZ48" i="4"/>
  <c r="GY48" i="4"/>
  <c r="GX48" i="4"/>
  <c r="GW48" i="4"/>
  <c r="GV48" i="4"/>
  <c r="GU48" i="4"/>
  <c r="GT48" i="4"/>
  <c r="GS48" i="4"/>
  <c r="GR48" i="4"/>
  <c r="GQ48" i="4"/>
  <c r="GP48" i="4"/>
  <c r="GO48" i="4"/>
  <c r="GN48" i="4"/>
  <c r="GM48" i="4"/>
  <c r="GL48" i="4"/>
  <c r="GK48" i="4"/>
  <c r="GJ48" i="4"/>
  <c r="GI48" i="4"/>
  <c r="GH48" i="4"/>
  <c r="GG48" i="4"/>
  <c r="GF48" i="4"/>
  <c r="GE48" i="4"/>
  <c r="GD48" i="4"/>
  <c r="GC48" i="4"/>
  <c r="GB48" i="4"/>
  <c r="GA48" i="4"/>
  <c r="FZ48" i="4"/>
  <c r="FY48" i="4"/>
  <c r="FX48" i="4"/>
  <c r="FW48" i="4"/>
  <c r="FV48" i="4"/>
  <c r="FU48" i="4"/>
  <c r="FT48" i="4"/>
  <c r="FS48" i="4"/>
  <c r="FR48" i="4"/>
  <c r="FQ48" i="4"/>
  <c r="FP48" i="4"/>
  <c r="FO48" i="4"/>
  <c r="FN48" i="4"/>
  <c r="FM48" i="4"/>
  <c r="FL48" i="4"/>
  <c r="FK48" i="4"/>
  <c r="FJ48" i="4"/>
  <c r="FI48" i="4"/>
  <c r="FH48" i="4"/>
  <c r="FG48" i="4"/>
  <c r="FF48" i="4"/>
  <c r="FE48" i="4"/>
  <c r="FD48" i="4"/>
  <c r="FC48" i="4"/>
  <c r="FB48" i="4"/>
  <c r="FA48" i="4"/>
  <c r="EZ48" i="4"/>
  <c r="EY48" i="4"/>
  <c r="EX48" i="4"/>
  <c r="EW48" i="4"/>
  <c r="EV48" i="4"/>
  <c r="EU48" i="4"/>
  <c r="ET48" i="4"/>
  <c r="ES48" i="4"/>
  <c r="ER48" i="4"/>
  <c r="EQ48" i="4"/>
  <c r="EP48" i="4"/>
  <c r="EO48" i="4"/>
  <c r="EN48" i="4"/>
  <c r="EM48" i="4"/>
  <c r="EL48" i="4"/>
  <c r="EK48" i="4"/>
  <c r="EJ48" i="4"/>
  <c r="EI48" i="4"/>
  <c r="EH48" i="4"/>
  <c r="EG48" i="4"/>
  <c r="EF48" i="4"/>
  <c r="EE48" i="4"/>
  <c r="ED48" i="4"/>
  <c r="EC48" i="4"/>
  <c r="EB48" i="4"/>
  <c r="EA48" i="4"/>
  <c r="DZ48" i="4"/>
  <c r="DY48" i="4"/>
  <c r="DX48" i="4"/>
  <c r="DW48" i="4"/>
  <c r="DV48" i="4"/>
  <c r="DU48" i="4"/>
  <c r="DT48" i="4"/>
  <c r="DS48" i="4"/>
  <c r="DR48" i="4"/>
  <c r="DQ48" i="4"/>
  <c r="DP48" i="4"/>
  <c r="DO48" i="4"/>
  <c r="DN48" i="4"/>
  <c r="DM48" i="4"/>
  <c r="DL48" i="4"/>
  <c r="DK48" i="4"/>
  <c r="DJ48" i="4"/>
  <c r="DI48" i="4"/>
  <c r="DH48" i="4"/>
  <c r="DG48" i="4"/>
  <c r="DF48" i="4"/>
  <c r="DE48" i="4"/>
  <c r="DD48" i="4"/>
  <c r="DC48" i="4"/>
  <c r="DB48" i="4"/>
  <c r="DA48" i="4"/>
  <c r="CZ48" i="4"/>
  <c r="CY48" i="4"/>
  <c r="CX48" i="4"/>
  <c r="CW48" i="4"/>
  <c r="CV48" i="4"/>
  <c r="CU48" i="4"/>
  <c r="CT48" i="4"/>
  <c r="CS48" i="4"/>
  <c r="CR48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CB48" i="4"/>
  <c r="CA48" i="4"/>
  <c r="BZ48" i="4"/>
  <c r="BY48" i="4"/>
  <c r="BX48" i="4"/>
  <c r="BW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IC47" i="4"/>
  <c r="IB47" i="4"/>
  <c r="IA47" i="4"/>
  <c r="HZ47" i="4"/>
  <c r="HY47" i="4"/>
  <c r="HX47" i="4"/>
  <c r="HW47" i="4"/>
  <c r="HV47" i="4"/>
  <c r="HU47" i="4"/>
  <c r="HT47" i="4"/>
  <c r="HS47" i="4"/>
  <c r="HR47" i="4"/>
  <c r="HQ47" i="4"/>
  <c r="HP47" i="4"/>
  <c r="HO47" i="4"/>
  <c r="HN47" i="4"/>
  <c r="HM47" i="4"/>
  <c r="HL47" i="4"/>
  <c r="HK47" i="4"/>
  <c r="HJ47" i="4"/>
  <c r="HI47" i="4"/>
  <c r="HH47" i="4"/>
  <c r="HG47" i="4"/>
  <c r="HF47" i="4"/>
  <c r="HE47" i="4"/>
  <c r="HD47" i="4"/>
  <c r="HC47" i="4"/>
  <c r="HB47" i="4"/>
  <c r="HA47" i="4"/>
  <c r="GZ47" i="4"/>
  <c r="GY47" i="4"/>
  <c r="GX47" i="4"/>
  <c r="GW47" i="4"/>
  <c r="GV47" i="4"/>
  <c r="GU47" i="4"/>
  <c r="GT47" i="4"/>
  <c r="GS47" i="4"/>
  <c r="GR47" i="4"/>
  <c r="GQ47" i="4"/>
  <c r="GP47" i="4"/>
  <c r="GO47" i="4"/>
  <c r="GN47" i="4"/>
  <c r="GM47" i="4"/>
  <c r="GL47" i="4"/>
  <c r="GK47" i="4"/>
  <c r="GJ47" i="4"/>
  <c r="GI47" i="4"/>
  <c r="GH47" i="4"/>
  <c r="GG47" i="4"/>
  <c r="GF47" i="4"/>
  <c r="GE47" i="4"/>
  <c r="GD47" i="4"/>
  <c r="GC47" i="4"/>
  <c r="GB47" i="4"/>
  <c r="GA47" i="4"/>
  <c r="FZ47" i="4"/>
  <c r="FY47" i="4"/>
  <c r="FX47" i="4"/>
  <c r="FW47" i="4"/>
  <c r="FV47" i="4"/>
  <c r="FU47" i="4"/>
  <c r="FT47" i="4"/>
  <c r="FS47" i="4"/>
  <c r="FR47" i="4"/>
  <c r="FQ47" i="4"/>
  <c r="FP47" i="4"/>
  <c r="FO47" i="4"/>
  <c r="FN47" i="4"/>
  <c r="FM47" i="4"/>
  <c r="FL47" i="4"/>
  <c r="FK47" i="4"/>
  <c r="FJ47" i="4"/>
  <c r="FI47" i="4"/>
  <c r="FH47" i="4"/>
  <c r="FG47" i="4"/>
  <c r="FF47" i="4"/>
  <c r="FE47" i="4"/>
  <c r="FD47" i="4"/>
  <c r="FC47" i="4"/>
  <c r="FB47" i="4"/>
  <c r="FA47" i="4"/>
  <c r="EZ47" i="4"/>
  <c r="EY47" i="4"/>
  <c r="EX47" i="4"/>
  <c r="EW47" i="4"/>
  <c r="EV47" i="4"/>
  <c r="EU47" i="4"/>
  <c r="ET47" i="4"/>
  <c r="ES47" i="4"/>
  <c r="ER47" i="4"/>
  <c r="EQ47" i="4"/>
  <c r="EP47" i="4"/>
  <c r="EO47" i="4"/>
  <c r="EN47" i="4"/>
  <c r="EM47" i="4"/>
  <c r="EL47" i="4"/>
  <c r="EK47" i="4"/>
  <c r="EJ47" i="4"/>
  <c r="EI47" i="4"/>
  <c r="EH47" i="4"/>
  <c r="EG47" i="4"/>
  <c r="EF47" i="4"/>
  <c r="EE47" i="4"/>
  <c r="ED47" i="4"/>
  <c r="EC47" i="4"/>
  <c r="EB47" i="4"/>
  <c r="EA47" i="4"/>
  <c r="DZ47" i="4"/>
  <c r="DY47" i="4"/>
  <c r="DX47" i="4"/>
  <c r="DW47" i="4"/>
  <c r="DV47" i="4"/>
  <c r="DU47" i="4"/>
  <c r="DT47" i="4"/>
  <c r="DS47" i="4"/>
  <c r="DR47" i="4"/>
  <c r="DQ47" i="4"/>
  <c r="DP47" i="4"/>
  <c r="DO47" i="4"/>
  <c r="DN47" i="4"/>
  <c r="DM47" i="4"/>
  <c r="DL47" i="4"/>
  <c r="DK47" i="4"/>
  <c r="DJ47" i="4"/>
  <c r="DI47" i="4"/>
  <c r="DH47" i="4"/>
  <c r="DG47" i="4"/>
  <c r="DF47" i="4"/>
  <c r="DE47" i="4"/>
  <c r="DD47" i="4"/>
  <c r="DC47" i="4"/>
  <c r="DB47" i="4"/>
  <c r="DA47" i="4"/>
  <c r="CZ47" i="4"/>
  <c r="CY47" i="4"/>
  <c r="CX47" i="4"/>
  <c r="CW47" i="4"/>
  <c r="CV47" i="4"/>
  <c r="CU47" i="4"/>
  <c r="CT47" i="4"/>
  <c r="CS47" i="4"/>
  <c r="CR47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CB47" i="4"/>
  <c r="CA47" i="4"/>
  <c r="BZ47" i="4"/>
  <c r="BY47" i="4"/>
  <c r="BX47" i="4"/>
  <c r="BW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IV46" i="4"/>
  <c r="IU46" i="4"/>
  <c r="IT46" i="4"/>
  <c r="IS46" i="4"/>
  <c r="IR46" i="4"/>
  <c r="IQ46" i="4"/>
  <c r="IP46" i="4"/>
  <c r="IO46" i="4"/>
  <c r="IN46" i="4"/>
  <c r="IM46" i="4"/>
  <c r="IL46" i="4"/>
  <c r="IK46" i="4"/>
  <c r="IJ46" i="4"/>
  <c r="II46" i="4"/>
  <c r="IH46" i="4"/>
  <c r="IG46" i="4"/>
  <c r="IF46" i="4"/>
  <c r="IE46" i="4"/>
  <c r="ID46" i="4"/>
  <c r="IC46" i="4"/>
  <c r="IB46" i="4"/>
  <c r="IA46" i="4"/>
  <c r="HZ46" i="4"/>
  <c r="HY46" i="4"/>
  <c r="HX46" i="4"/>
  <c r="HW46" i="4"/>
  <c r="HV46" i="4"/>
  <c r="HU46" i="4"/>
  <c r="HT46" i="4"/>
  <c r="HS46" i="4"/>
  <c r="HR46" i="4"/>
  <c r="HQ46" i="4"/>
  <c r="HP46" i="4"/>
  <c r="HO46" i="4"/>
  <c r="HN46" i="4"/>
  <c r="HM46" i="4"/>
  <c r="HL46" i="4"/>
  <c r="HK46" i="4"/>
  <c r="HJ46" i="4"/>
  <c r="HI46" i="4"/>
  <c r="HH46" i="4"/>
  <c r="HG46" i="4"/>
  <c r="HF46" i="4"/>
  <c r="HE46" i="4"/>
  <c r="HD46" i="4"/>
  <c r="HC46" i="4"/>
  <c r="HB46" i="4"/>
  <c r="HA46" i="4"/>
  <c r="GZ46" i="4"/>
  <c r="GY46" i="4"/>
  <c r="GX46" i="4"/>
  <c r="GW46" i="4"/>
  <c r="GV46" i="4"/>
  <c r="GU46" i="4"/>
  <c r="GT46" i="4"/>
  <c r="GS46" i="4"/>
  <c r="GR46" i="4"/>
  <c r="GQ46" i="4"/>
  <c r="GP46" i="4"/>
  <c r="GO46" i="4"/>
  <c r="GN46" i="4"/>
  <c r="GM46" i="4"/>
  <c r="GL46" i="4"/>
  <c r="GK46" i="4"/>
  <c r="GJ46" i="4"/>
  <c r="GI46" i="4"/>
  <c r="GH46" i="4"/>
  <c r="GG46" i="4"/>
  <c r="GF46" i="4"/>
  <c r="GE46" i="4"/>
  <c r="GD46" i="4"/>
  <c r="GC46" i="4"/>
  <c r="GB46" i="4"/>
  <c r="GA46" i="4"/>
  <c r="FZ46" i="4"/>
  <c r="FY46" i="4"/>
  <c r="FX46" i="4"/>
  <c r="FW46" i="4"/>
  <c r="FV46" i="4"/>
  <c r="FU46" i="4"/>
  <c r="FT46" i="4"/>
  <c r="FS46" i="4"/>
  <c r="FR46" i="4"/>
  <c r="FQ46" i="4"/>
  <c r="FP46" i="4"/>
  <c r="FO46" i="4"/>
  <c r="FN46" i="4"/>
  <c r="FM46" i="4"/>
  <c r="FL46" i="4"/>
  <c r="FK46" i="4"/>
  <c r="FJ46" i="4"/>
  <c r="FI46" i="4"/>
  <c r="FH46" i="4"/>
  <c r="FG46" i="4"/>
  <c r="FF46" i="4"/>
  <c r="FE46" i="4"/>
  <c r="FD46" i="4"/>
  <c r="FC46" i="4"/>
  <c r="FB46" i="4"/>
  <c r="FA46" i="4"/>
  <c r="EZ46" i="4"/>
  <c r="EY46" i="4"/>
  <c r="EX46" i="4"/>
  <c r="EW46" i="4"/>
  <c r="EV46" i="4"/>
  <c r="EU46" i="4"/>
  <c r="ET46" i="4"/>
  <c r="ES46" i="4"/>
  <c r="ER46" i="4"/>
  <c r="EQ46" i="4"/>
  <c r="EP46" i="4"/>
  <c r="EO46" i="4"/>
  <c r="EN46" i="4"/>
  <c r="EM46" i="4"/>
  <c r="EL46" i="4"/>
  <c r="EK46" i="4"/>
  <c r="EJ46" i="4"/>
  <c r="EI46" i="4"/>
  <c r="EH46" i="4"/>
  <c r="EG46" i="4"/>
  <c r="EF46" i="4"/>
  <c r="EE46" i="4"/>
  <c r="ED46" i="4"/>
  <c r="EC46" i="4"/>
  <c r="EB46" i="4"/>
  <c r="EA46" i="4"/>
  <c r="DZ46" i="4"/>
  <c r="DY46" i="4"/>
  <c r="DX46" i="4"/>
  <c r="DW46" i="4"/>
  <c r="DV46" i="4"/>
  <c r="DU46" i="4"/>
  <c r="DT46" i="4"/>
  <c r="DS46" i="4"/>
  <c r="DR46" i="4"/>
  <c r="DQ46" i="4"/>
  <c r="DP46" i="4"/>
  <c r="DO46" i="4"/>
  <c r="DN46" i="4"/>
  <c r="DM46" i="4"/>
  <c r="DL46" i="4"/>
  <c r="DK46" i="4"/>
  <c r="DJ46" i="4"/>
  <c r="DI46" i="4"/>
  <c r="DH46" i="4"/>
  <c r="DG46" i="4"/>
  <c r="DF46" i="4"/>
  <c r="DE46" i="4"/>
  <c r="DD46" i="4"/>
  <c r="DC46" i="4"/>
  <c r="DB46" i="4"/>
  <c r="DA46" i="4"/>
  <c r="CZ46" i="4"/>
  <c r="CY46" i="4"/>
  <c r="CX46" i="4"/>
  <c r="CW46" i="4"/>
  <c r="CV46" i="4"/>
  <c r="CU46" i="4"/>
  <c r="CT46" i="4"/>
  <c r="CS46" i="4"/>
  <c r="CR46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CB46" i="4"/>
  <c r="CA46" i="4"/>
  <c r="BZ46" i="4"/>
  <c r="BY46" i="4"/>
  <c r="BX46" i="4"/>
  <c r="BW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IV42" i="4"/>
  <c r="IU42" i="4"/>
  <c r="IT42" i="4"/>
  <c r="IS42" i="4"/>
  <c r="IR42" i="4"/>
  <c r="IQ42" i="4"/>
  <c r="IP42" i="4"/>
  <c r="IO42" i="4"/>
  <c r="IN42" i="4"/>
  <c r="IM42" i="4"/>
  <c r="IL42" i="4"/>
  <c r="IK42" i="4"/>
  <c r="IJ42" i="4"/>
  <c r="II42" i="4"/>
  <c r="IH42" i="4"/>
  <c r="IG42" i="4"/>
  <c r="IF42" i="4"/>
  <c r="IE42" i="4"/>
  <c r="ID42" i="4"/>
  <c r="IC42" i="4"/>
  <c r="IB42" i="4"/>
  <c r="IA42" i="4"/>
  <c r="HZ42" i="4"/>
  <c r="HY42" i="4"/>
  <c r="HX42" i="4"/>
  <c r="HW42" i="4"/>
  <c r="HV42" i="4"/>
  <c r="HU42" i="4"/>
  <c r="HT42" i="4"/>
  <c r="HS42" i="4"/>
  <c r="HR42" i="4"/>
  <c r="HQ42" i="4"/>
  <c r="HP42" i="4"/>
  <c r="HO42" i="4"/>
  <c r="HN42" i="4"/>
  <c r="HM42" i="4"/>
  <c r="HL42" i="4"/>
  <c r="HK42" i="4"/>
  <c r="HJ42" i="4"/>
  <c r="HI42" i="4"/>
  <c r="HH42" i="4"/>
  <c r="HG42" i="4"/>
  <c r="HF42" i="4"/>
  <c r="HE42" i="4"/>
  <c r="HD42" i="4"/>
  <c r="HC42" i="4"/>
  <c r="HB42" i="4"/>
  <c r="HA42" i="4"/>
  <c r="GZ42" i="4"/>
  <c r="GY42" i="4"/>
  <c r="GX42" i="4"/>
  <c r="GW42" i="4"/>
  <c r="GV42" i="4"/>
  <c r="GU42" i="4"/>
  <c r="GT42" i="4"/>
  <c r="GS42" i="4"/>
  <c r="GR42" i="4"/>
  <c r="GQ42" i="4"/>
  <c r="GP42" i="4"/>
  <c r="GO42" i="4"/>
  <c r="GN42" i="4"/>
  <c r="GM42" i="4"/>
  <c r="GL42" i="4"/>
  <c r="GK42" i="4"/>
  <c r="GJ42" i="4"/>
  <c r="GI42" i="4"/>
  <c r="GH42" i="4"/>
  <c r="GG42" i="4"/>
  <c r="GF42" i="4"/>
  <c r="GE42" i="4"/>
  <c r="GD42" i="4"/>
  <c r="GC42" i="4"/>
  <c r="GB42" i="4"/>
  <c r="GA42" i="4"/>
  <c r="FZ42" i="4"/>
  <c r="FY42" i="4"/>
  <c r="FX42" i="4"/>
  <c r="FW42" i="4"/>
  <c r="FV42" i="4"/>
  <c r="FU42" i="4"/>
  <c r="FT42" i="4"/>
  <c r="FS42" i="4"/>
  <c r="FR42" i="4"/>
  <c r="FQ42" i="4"/>
  <c r="FP42" i="4"/>
  <c r="FO42" i="4"/>
  <c r="FN42" i="4"/>
  <c r="FM42" i="4"/>
  <c r="FL42" i="4"/>
  <c r="FK42" i="4"/>
  <c r="FJ42" i="4"/>
  <c r="FI42" i="4"/>
  <c r="FH42" i="4"/>
  <c r="FG42" i="4"/>
  <c r="FF42" i="4"/>
  <c r="FE42" i="4"/>
  <c r="FD42" i="4"/>
  <c r="FC42" i="4"/>
  <c r="FB42" i="4"/>
  <c r="FA42" i="4"/>
  <c r="EZ42" i="4"/>
  <c r="EY42" i="4"/>
  <c r="EX42" i="4"/>
  <c r="EW42" i="4"/>
  <c r="EV42" i="4"/>
  <c r="EU42" i="4"/>
  <c r="ET42" i="4"/>
  <c r="ES42" i="4"/>
  <c r="ER42" i="4"/>
  <c r="EQ42" i="4"/>
  <c r="EP42" i="4"/>
  <c r="EO42" i="4"/>
  <c r="EN42" i="4"/>
  <c r="EM42" i="4"/>
  <c r="EL42" i="4"/>
  <c r="EK42" i="4"/>
  <c r="EJ42" i="4"/>
  <c r="EI42" i="4"/>
  <c r="EH42" i="4"/>
  <c r="EG42" i="4"/>
  <c r="EF42" i="4"/>
  <c r="EE42" i="4"/>
  <c r="ED42" i="4"/>
  <c r="EC42" i="4"/>
  <c r="EB42" i="4"/>
  <c r="EA42" i="4"/>
  <c r="DZ42" i="4"/>
  <c r="DY42" i="4"/>
  <c r="DX42" i="4"/>
  <c r="DW42" i="4"/>
  <c r="DV42" i="4"/>
  <c r="DU42" i="4"/>
  <c r="DT42" i="4"/>
  <c r="DS42" i="4"/>
  <c r="DR42" i="4"/>
  <c r="DQ42" i="4"/>
  <c r="DP42" i="4"/>
  <c r="DO42" i="4"/>
  <c r="DN42" i="4"/>
  <c r="DM42" i="4"/>
  <c r="DL42" i="4"/>
  <c r="DK42" i="4"/>
  <c r="DJ42" i="4"/>
  <c r="DI42" i="4"/>
  <c r="DH42" i="4"/>
  <c r="DG42" i="4"/>
  <c r="DF42" i="4"/>
  <c r="DE42" i="4"/>
  <c r="DD42" i="4"/>
  <c r="DC42" i="4"/>
  <c r="DB42" i="4"/>
  <c r="DA42" i="4"/>
  <c r="CZ42" i="4"/>
  <c r="CY42" i="4"/>
  <c r="CX42" i="4"/>
  <c r="CW42" i="4"/>
  <c r="CV42" i="4"/>
  <c r="CU42" i="4"/>
  <c r="CT42" i="4"/>
  <c r="CS42" i="4"/>
  <c r="CR42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CB42" i="4"/>
  <c r="CA42" i="4"/>
  <c r="BZ42" i="4"/>
  <c r="BY42" i="4"/>
  <c r="BX42" i="4"/>
  <c r="BW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IV41" i="4"/>
  <c r="IU41" i="4"/>
  <c r="IT41" i="4"/>
  <c r="IS41" i="4"/>
  <c r="IR41" i="4"/>
  <c r="IQ41" i="4"/>
  <c r="IP41" i="4"/>
  <c r="IO41" i="4"/>
  <c r="IN41" i="4"/>
  <c r="IM41" i="4"/>
  <c r="IL41" i="4"/>
  <c r="IK41" i="4"/>
  <c r="IJ41" i="4"/>
  <c r="II41" i="4"/>
  <c r="IH41" i="4"/>
  <c r="IG41" i="4"/>
  <c r="IF41" i="4"/>
  <c r="IE41" i="4"/>
  <c r="ID41" i="4"/>
  <c r="IC41" i="4"/>
  <c r="IB41" i="4"/>
  <c r="IA41" i="4"/>
  <c r="HZ41" i="4"/>
  <c r="HY41" i="4"/>
  <c r="HX41" i="4"/>
  <c r="HW41" i="4"/>
  <c r="HV41" i="4"/>
  <c r="HU41" i="4"/>
  <c r="HT41" i="4"/>
  <c r="HS41" i="4"/>
  <c r="HR41" i="4"/>
  <c r="HQ41" i="4"/>
  <c r="HP41" i="4"/>
  <c r="HO41" i="4"/>
  <c r="HN41" i="4"/>
  <c r="HM41" i="4"/>
  <c r="HL41" i="4"/>
  <c r="HK41" i="4"/>
  <c r="HJ41" i="4"/>
  <c r="HI41" i="4"/>
  <c r="HH41" i="4"/>
  <c r="HG41" i="4"/>
  <c r="HF41" i="4"/>
  <c r="HE41" i="4"/>
  <c r="HD41" i="4"/>
  <c r="HC41" i="4"/>
  <c r="HB41" i="4"/>
  <c r="HA41" i="4"/>
  <c r="GZ41" i="4"/>
  <c r="GY41" i="4"/>
  <c r="GX41" i="4"/>
  <c r="GW41" i="4"/>
  <c r="GV41" i="4"/>
  <c r="GU41" i="4"/>
  <c r="GT41" i="4"/>
  <c r="GS41" i="4"/>
  <c r="GR41" i="4"/>
  <c r="GQ41" i="4"/>
  <c r="GP41" i="4"/>
  <c r="GO41" i="4"/>
  <c r="GN41" i="4"/>
  <c r="GM41" i="4"/>
  <c r="GL41" i="4"/>
  <c r="GK41" i="4"/>
  <c r="GJ41" i="4"/>
  <c r="GI41" i="4"/>
  <c r="GH41" i="4"/>
  <c r="GG41" i="4"/>
  <c r="GF41" i="4"/>
  <c r="GE41" i="4"/>
  <c r="GD41" i="4"/>
  <c r="GC41" i="4"/>
  <c r="GB41" i="4"/>
  <c r="GA41" i="4"/>
  <c r="FZ41" i="4"/>
  <c r="FY41" i="4"/>
  <c r="FX41" i="4"/>
  <c r="FW41" i="4"/>
  <c r="FV41" i="4"/>
  <c r="FU41" i="4"/>
  <c r="FT41" i="4"/>
  <c r="FS41" i="4"/>
  <c r="FR41" i="4"/>
  <c r="FQ41" i="4"/>
  <c r="FP41" i="4"/>
  <c r="FO41" i="4"/>
  <c r="FN41" i="4"/>
  <c r="FM41" i="4"/>
  <c r="FL41" i="4"/>
  <c r="FK41" i="4"/>
  <c r="FJ41" i="4"/>
  <c r="FI41" i="4"/>
  <c r="FH41" i="4"/>
  <c r="FG41" i="4"/>
  <c r="FF41" i="4"/>
  <c r="FE41" i="4"/>
  <c r="FD41" i="4"/>
  <c r="FC41" i="4"/>
  <c r="FB41" i="4"/>
  <c r="FA41" i="4"/>
  <c r="EZ41" i="4"/>
  <c r="EY41" i="4"/>
  <c r="EX41" i="4"/>
  <c r="EW41" i="4"/>
  <c r="EV41" i="4"/>
  <c r="EU41" i="4"/>
  <c r="ET41" i="4"/>
  <c r="ES41" i="4"/>
  <c r="ER41" i="4"/>
  <c r="EQ41" i="4"/>
  <c r="EP41" i="4"/>
  <c r="EO41" i="4"/>
  <c r="EN41" i="4"/>
  <c r="EM41" i="4"/>
  <c r="EL41" i="4"/>
  <c r="EK41" i="4"/>
  <c r="EJ41" i="4"/>
  <c r="EI41" i="4"/>
  <c r="EH41" i="4"/>
  <c r="EG41" i="4"/>
  <c r="EF41" i="4"/>
  <c r="EE41" i="4"/>
  <c r="ED41" i="4"/>
  <c r="EC41" i="4"/>
  <c r="EB41" i="4"/>
  <c r="EA41" i="4"/>
  <c r="DZ41" i="4"/>
  <c r="DY41" i="4"/>
  <c r="DX41" i="4"/>
  <c r="DW41" i="4"/>
  <c r="DV41" i="4"/>
  <c r="DU41" i="4"/>
  <c r="DT41" i="4"/>
  <c r="DS41" i="4"/>
  <c r="DR41" i="4"/>
  <c r="DQ41" i="4"/>
  <c r="DP41" i="4"/>
  <c r="DO41" i="4"/>
  <c r="DN41" i="4"/>
  <c r="DM41" i="4"/>
  <c r="DL41" i="4"/>
  <c r="DK41" i="4"/>
  <c r="DJ41" i="4"/>
  <c r="DI41" i="4"/>
  <c r="DH41" i="4"/>
  <c r="DG41" i="4"/>
  <c r="DF41" i="4"/>
  <c r="DE41" i="4"/>
  <c r="DD41" i="4"/>
  <c r="DC41" i="4"/>
  <c r="DB41" i="4"/>
  <c r="DA41" i="4"/>
  <c r="CZ41" i="4"/>
  <c r="CY41" i="4"/>
  <c r="CX41" i="4"/>
  <c r="CW41" i="4"/>
  <c r="CV41" i="4"/>
  <c r="CU41" i="4"/>
  <c r="CT41" i="4"/>
  <c r="CS41" i="4"/>
  <c r="CR41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CB41" i="4"/>
  <c r="CA41" i="4"/>
  <c r="BZ41" i="4"/>
  <c r="BY41" i="4"/>
  <c r="BX41" i="4"/>
  <c r="BW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Q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IV40" i="4"/>
  <c r="IU40" i="4"/>
  <c r="IT40" i="4"/>
  <c r="IS40" i="4"/>
  <c r="IR40" i="4"/>
  <c r="IQ40" i="4"/>
  <c r="IP40" i="4"/>
  <c r="IO40" i="4"/>
  <c r="IN40" i="4"/>
  <c r="IM40" i="4"/>
  <c r="IL40" i="4"/>
  <c r="IK40" i="4"/>
  <c r="IJ40" i="4"/>
  <c r="II40" i="4"/>
  <c r="IH40" i="4"/>
  <c r="IG40" i="4"/>
  <c r="IF40" i="4"/>
  <c r="IE40" i="4"/>
  <c r="ID40" i="4"/>
  <c r="IC40" i="4"/>
  <c r="IB40" i="4"/>
  <c r="IA40" i="4"/>
  <c r="HZ40" i="4"/>
  <c r="HY40" i="4"/>
  <c r="HX40" i="4"/>
  <c r="HW40" i="4"/>
  <c r="HV40" i="4"/>
  <c r="HU40" i="4"/>
  <c r="HT40" i="4"/>
  <c r="HS40" i="4"/>
  <c r="HR40" i="4"/>
  <c r="HQ40" i="4"/>
  <c r="HP40" i="4"/>
  <c r="HO40" i="4"/>
  <c r="HN40" i="4"/>
  <c r="HM40" i="4"/>
  <c r="HL40" i="4"/>
  <c r="HK40" i="4"/>
  <c r="HJ40" i="4"/>
  <c r="HI40" i="4"/>
  <c r="HH40" i="4"/>
  <c r="HG40" i="4"/>
  <c r="HF40" i="4"/>
  <c r="HE40" i="4"/>
  <c r="HD40" i="4"/>
  <c r="HC40" i="4"/>
  <c r="HB40" i="4"/>
  <c r="HA40" i="4"/>
  <c r="GZ40" i="4"/>
  <c r="GY40" i="4"/>
  <c r="GX40" i="4"/>
  <c r="GW40" i="4"/>
  <c r="GV40" i="4"/>
  <c r="GU40" i="4"/>
  <c r="GT40" i="4"/>
  <c r="GS40" i="4"/>
  <c r="GR40" i="4"/>
  <c r="GQ40" i="4"/>
  <c r="GP40" i="4"/>
  <c r="GO40" i="4"/>
  <c r="GN40" i="4"/>
  <c r="GM40" i="4"/>
  <c r="GL40" i="4"/>
  <c r="GK40" i="4"/>
  <c r="GJ40" i="4"/>
  <c r="GI40" i="4"/>
  <c r="GH40" i="4"/>
  <c r="GG40" i="4"/>
  <c r="GF40" i="4"/>
  <c r="GE40" i="4"/>
  <c r="GD40" i="4"/>
  <c r="GC40" i="4"/>
  <c r="GB40" i="4"/>
  <c r="GA40" i="4"/>
  <c r="FZ40" i="4"/>
  <c r="FY40" i="4"/>
  <c r="FX40" i="4"/>
  <c r="FW40" i="4"/>
  <c r="FV40" i="4"/>
  <c r="FU40" i="4"/>
  <c r="FT40" i="4"/>
  <c r="FS40" i="4"/>
  <c r="FR40" i="4"/>
  <c r="FQ40" i="4"/>
  <c r="FP40" i="4"/>
  <c r="FO40" i="4"/>
  <c r="FN40" i="4"/>
  <c r="FM40" i="4"/>
  <c r="FL40" i="4"/>
  <c r="FK40" i="4"/>
  <c r="FJ40" i="4"/>
  <c r="FI40" i="4"/>
  <c r="FH40" i="4"/>
  <c r="FG40" i="4"/>
  <c r="FF40" i="4"/>
  <c r="FE40" i="4"/>
  <c r="FD40" i="4"/>
  <c r="FC40" i="4"/>
  <c r="FB40" i="4"/>
  <c r="FA40" i="4"/>
  <c r="EZ40" i="4"/>
  <c r="EY40" i="4"/>
  <c r="EX40" i="4"/>
  <c r="EW40" i="4"/>
  <c r="EV40" i="4"/>
  <c r="EU40" i="4"/>
  <c r="ET40" i="4"/>
  <c r="ES40" i="4"/>
  <c r="ER40" i="4"/>
  <c r="EQ40" i="4"/>
  <c r="EP40" i="4"/>
  <c r="EO40" i="4"/>
  <c r="EN40" i="4"/>
  <c r="EM40" i="4"/>
  <c r="EL40" i="4"/>
  <c r="EK40" i="4"/>
  <c r="EJ40" i="4"/>
  <c r="EI40" i="4"/>
  <c r="EH40" i="4"/>
  <c r="EG40" i="4"/>
  <c r="EF40" i="4"/>
  <c r="EE40" i="4"/>
  <c r="ED40" i="4"/>
  <c r="EC40" i="4"/>
  <c r="EB40" i="4"/>
  <c r="EA40" i="4"/>
  <c r="DZ40" i="4"/>
  <c r="DY40" i="4"/>
  <c r="DX40" i="4"/>
  <c r="DW40" i="4"/>
  <c r="DV40" i="4"/>
  <c r="DU40" i="4"/>
  <c r="DT40" i="4"/>
  <c r="DS40" i="4"/>
  <c r="DR40" i="4"/>
  <c r="DQ40" i="4"/>
  <c r="DP40" i="4"/>
  <c r="DO40" i="4"/>
  <c r="DN40" i="4"/>
  <c r="DM40" i="4"/>
  <c r="DL40" i="4"/>
  <c r="DK40" i="4"/>
  <c r="DJ40" i="4"/>
  <c r="DI40" i="4"/>
  <c r="DH40" i="4"/>
  <c r="DG40" i="4"/>
  <c r="DF40" i="4"/>
  <c r="DE40" i="4"/>
  <c r="DD40" i="4"/>
  <c r="DC40" i="4"/>
  <c r="DB40" i="4"/>
  <c r="DA40" i="4"/>
  <c r="CZ40" i="4"/>
  <c r="CY40" i="4"/>
  <c r="CX40" i="4"/>
  <c r="CW40" i="4"/>
  <c r="CV40" i="4"/>
  <c r="CU40" i="4"/>
  <c r="CT40" i="4"/>
  <c r="CS40" i="4"/>
  <c r="CR40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CB40" i="4"/>
  <c r="CA40" i="4"/>
  <c r="BZ40" i="4"/>
  <c r="BY40" i="4"/>
  <c r="BX40" i="4"/>
  <c r="BW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IV39" i="4"/>
  <c r="IU39" i="4"/>
  <c r="IT39" i="4"/>
  <c r="IS39" i="4"/>
  <c r="IR39" i="4"/>
  <c r="IQ39" i="4"/>
  <c r="IP39" i="4"/>
  <c r="IO39" i="4"/>
  <c r="IN39" i="4"/>
  <c r="IM39" i="4"/>
  <c r="IL39" i="4"/>
  <c r="IK39" i="4"/>
  <c r="IJ39" i="4"/>
  <c r="II39" i="4"/>
  <c r="IH39" i="4"/>
  <c r="IG39" i="4"/>
  <c r="IF39" i="4"/>
  <c r="IE39" i="4"/>
  <c r="ID39" i="4"/>
  <c r="IC39" i="4"/>
  <c r="IB39" i="4"/>
  <c r="IA39" i="4"/>
  <c r="HZ39" i="4"/>
  <c r="HY39" i="4"/>
  <c r="HX39" i="4"/>
  <c r="HW39" i="4"/>
  <c r="HV39" i="4"/>
  <c r="HU39" i="4"/>
  <c r="HT39" i="4"/>
  <c r="HS39" i="4"/>
  <c r="HR39" i="4"/>
  <c r="HQ39" i="4"/>
  <c r="HP39" i="4"/>
  <c r="HO39" i="4"/>
  <c r="HN39" i="4"/>
  <c r="HM39" i="4"/>
  <c r="HL39" i="4"/>
  <c r="HK39" i="4"/>
  <c r="HJ39" i="4"/>
  <c r="HI39" i="4"/>
  <c r="HH39" i="4"/>
  <c r="HG39" i="4"/>
  <c r="HF39" i="4"/>
  <c r="HE39" i="4"/>
  <c r="HD39" i="4"/>
  <c r="HC39" i="4"/>
  <c r="HB39" i="4"/>
  <c r="HA39" i="4"/>
  <c r="GZ39" i="4"/>
  <c r="GY39" i="4"/>
  <c r="GX39" i="4"/>
  <c r="GW39" i="4"/>
  <c r="GV39" i="4"/>
  <c r="GU39" i="4"/>
  <c r="GT39" i="4"/>
  <c r="GS39" i="4"/>
  <c r="GR39" i="4"/>
  <c r="GQ39" i="4"/>
  <c r="GP39" i="4"/>
  <c r="GO39" i="4"/>
  <c r="GN39" i="4"/>
  <c r="GM39" i="4"/>
  <c r="GL39" i="4"/>
  <c r="GK39" i="4"/>
  <c r="GJ39" i="4"/>
  <c r="GI39" i="4"/>
  <c r="GH39" i="4"/>
  <c r="GG39" i="4"/>
  <c r="GF39" i="4"/>
  <c r="GE39" i="4"/>
  <c r="GD39" i="4"/>
  <c r="GC39" i="4"/>
  <c r="GB39" i="4"/>
  <c r="GA39" i="4"/>
  <c r="FZ39" i="4"/>
  <c r="FY39" i="4"/>
  <c r="FX39" i="4"/>
  <c r="FW39" i="4"/>
  <c r="FV39" i="4"/>
  <c r="FU39" i="4"/>
  <c r="FT39" i="4"/>
  <c r="FS39" i="4"/>
  <c r="FR39" i="4"/>
  <c r="FQ39" i="4"/>
  <c r="FP39" i="4"/>
  <c r="FO39" i="4"/>
  <c r="FN39" i="4"/>
  <c r="FM39" i="4"/>
  <c r="FL39" i="4"/>
  <c r="FK39" i="4"/>
  <c r="FJ39" i="4"/>
  <c r="FI39" i="4"/>
  <c r="FH39" i="4"/>
  <c r="FG39" i="4"/>
  <c r="FF39" i="4"/>
  <c r="FE39" i="4"/>
  <c r="FD39" i="4"/>
  <c r="FC39" i="4"/>
  <c r="FB39" i="4"/>
  <c r="FA39" i="4"/>
  <c r="EZ39" i="4"/>
  <c r="EY39" i="4"/>
  <c r="EX39" i="4"/>
  <c r="EW39" i="4"/>
  <c r="EV39" i="4"/>
  <c r="EU39" i="4"/>
  <c r="ET39" i="4"/>
  <c r="ES39" i="4"/>
  <c r="ER39" i="4"/>
  <c r="EQ39" i="4"/>
  <c r="EP39" i="4"/>
  <c r="EO39" i="4"/>
  <c r="EN39" i="4"/>
  <c r="EM39" i="4"/>
  <c r="EL39" i="4"/>
  <c r="EK39" i="4"/>
  <c r="EJ39" i="4"/>
  <c r="EI39" i="4"/>
  <c r="EH39" i="4"/>
  <c r="EG39" i="4"/>
  <c r="EF39" i="4"/>
  <c r="EE39" i="4"/>
  <c r="ED39" i="4"/>
  <c r="EC39" i="4"/>
  <c r="EB39" i="4"/>
  <c r="EA39" i="4"/>
  <c r="DZ39" i="4"/>
  <c r="DY39" i="4"/>
  <c r="DX39" i="4"/>
  <c r="DW39" i="4"/>
  <c r="DV39" i="4"/>
  <c r="DU39" i="4"/>
  <c r="DT39" i="4"/>
  <c r="DS39" i="4"/>
  <c r="DR39" i="4"/>
  <c r="DQ39" i="4"/>
  <c r="DP39" i="4"/>
  <c r="DO39" i="4"/>
  <c r="DN39" i="4"/>
  <c r="DM39" i="4"/>
  <c r="DL39" i="4"/>
  <c r="DK39" i="4"/>
  <c r="DJ39" i="4"/>
  <c r="DI39" i="4"/>
  <c r="DH39" i="4"/>
  <c r="DG39" i="4"/>
  <c r="DF39" i="4"/>
  <c r="DE39" i="4"/>
  <c r="DD39" i="4"/>
  <c r="DC39" i="4"/>
  <c r="DB39" i="4"/>
  <c r="DA39" i="4"/>
  <c r="CZ39" i="4"/>
  <c r="CY39" i="4"/>
  <c r="CX39" i="4"/>
  <c r="CW39" i="4"/>
  <c r="CV39" i="4"/>
  <c r="CU39" i="4"/>
  <c r="CT39" i="4"/>
  <c r="CS39" i="4"/>
  <c r="CR39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CB39" i="4"/>
  <c r="CA39" i="4"/>
  <c r="BZ39" i="4"/>
  <c r="BY39" i="4"/>
  <c r="BX39" i="4"/>
  <c r="BW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IV38" i="4"/>
  <c r="IU38" i="4"/>
  <c r="IT38" i="4"/>
  <c r="IS38" i="4"/>
  <c r="IR38" i="4"/>
  <c r="IQ38" i="4"/>
  <c r="IP38" i="4"/>
  <c r="IO38" i="4"/>
  <c r="IN38" i="4"/>
  <c r="IM38" i="4"/>
  <c r="IL38" i="4"/>
  <c r="IK38" i="4"/>
  <c r="IJ38" i="4"/>
  <c r="II38" i="4"/>
  <c r="IH38" i="4"/>
  <c r="IG38" i="4"/>
  <c r="IF38" i="4"/>
  <c r="IE38" i="4"/>
  <c r="ID38" i="4"/>
  <c r="IC38" i="4"/>
  <c r="IB38" i="4"/>
  <c r="IA38" i="4"/>
  <c r="HZ38" i="4"/>
  <c r="HY38" i="4"/>
  <c r="HX38" i="4"/>
  <c r="HW38" i="4"/>
  <c r="HV38" i="4"/>
  <c r="HU38" i="4"/>
  <c r="HT38" i="4"/>
  <c r="HS38" i="4"/>
  <c r="HR38" i="4"/>
  <c r="HQ38" i="4"/>
  <c r="HP38" i="4"/>
  <c r="HO38" i="4"/>
  <c r="HN38" i="4"/>
  <c r="HM38" i="4"/>
  <c r="HL38" i="4"/>
  <c r="HK38" i="4"/>
  <c r="HJ38" i="4"/>
  <c r="HI38" i="4"/>
  <c r="HH38" i="4"/>
  <c r="HG38" i="4"/>
  <c r="HF38" i="4"/>
  <c r="HE38" i="4"/>
  <c r="HD38" i="4"/>
  <c r="HC38" i="4"/>
  <c r="HB38" i="4"/>
  <c r="HA38" i="4"/>
  <c r="GZ38" i="4"/>
  <c r="GY38" i="4"/>
  <c r="GX38" i="4"/>
  <c r="GW38" i="4"/>
  <c r="GV38" i="4"/>
  <c r="GU38" i="4"/>
  <c r="GT38" i="4"/>
  <c r="GS38" i="4"/>
  <c r="GR38" i="4"/>
  <c r="GQ38" i="4"/>
  <c r="GP38" i="4"/>
  <c r="GO38" i="4"/>
  <c r="GN38" i="4"/>
  <c r="GM38" i="4"/>
  <c r="GL38" i="4"/>
  <c r="GK38" i="4"/>
  <c r="GJ38" i="4"/>
  <c r="GI38" i="4"/>
  <c r="GH38" i="4"/>
  <c r="GG38" i="4"/>
  <c r="GF38" i="4"/>
  <c r="GE38" i="4"/>
  <c r="GD38" i="4"/>
  <c r="GC38" i="4"/>
  <c r="GB38" i="4"/>
  <c r="GA38" i="4"/>
  <c r="FZ38" i="4"/>
  <c r="FY38" i="4"/>
  <c r="FX38" i="4"/>
  <c r="FW38" i="4"/>
  <c r="FV38" i="4"/>
  <c r="FU38" i="4"/>
  <c r="FT38" i="4"/>
  <c r="FS38" i="4"/>
  <c r="FR38" i="4"/>
  <c r="FQ38" i="4"/>
  <c r="FP38" i="4"/>
  <c r="FO38" i="4"/>
  <c r="FN38" i="4"/>
  <c r="FM38" i="4"/>
  <c r="FL38" i="4"/>
  <c r="FK38" i="4"/>
  <c r="FJ38" i="4"/>
  <c r="FI38" i="4"/>
  <c r="FH38" i="4"/>
  <c r="FG38" i="4"/>
  <c r="FF38" i="4"/>
  <c r="FE38" i="4"/>
  <c r="FD38" i="4"/>
  <c r="FC38" i="4"/>
  <c r="FB38" i="4"/>
  <c r="FA38" i="4"/>
  <c r="EZ38" i="4"/>
  <c r="EY38" i="4"/>
  <c r="EX38" i="4"/>
  <c r="EW38" i="4"/>
  <c r="EV38" i="4"/>
  <c r="EU38" i="4"/>
  <c r="ET38" i="4"/>
  <c r="ES38" i="4"/>
  <c r="ER38" i="4"/>
  <c r="EQ38" i="4"/>
  <c r="EP38" i="4"/>
  <c r="EO38" i="4"/>
  <c r="EN38" i="4"/>
  <c r="EM38" i="4"/>
  <c r="EL38" i="4"/>
  <c r="EK38" i="4"/>
  <c r="EJ38" i="4"/>
  <c r="EI38" i="4"/>
  <c r="EH38" i="4"/>
  <c r="EG38" i="4"/>
  <c r="EF38" i="4"/>
  <c r="EE38" i="4"/>
  <c r="ED38" i="4"/>
  <c r="EC38" i="4"/>
  <c r="EB38" i="4"/>
  <c r="EA38" i="4"/>
  <c r="DZ38" i="4"/>
  <c r="DY38" i="4"/>
  <c r="DX38" i="4"/>
  <c r="DW38" i="4"/>
  <c r="DV38" i="4"/>
  <c r="DU38" i="4"/>
  <c r="DT38" i="4"/>
  <c r="DS38" i="4"/>
  <c r="DR38" i="4"/>
  <c r="DQ38" i="4"/>
  <c r="DP38" i="4"/>
  <c r="DO38" i="4"/>
  <c r="DN38" i="4"/>
  <c r="DM38" i="4"/>
  <c r="DL38" i="4"/>
  <c r="DK38" i="4"/>
  <c r="DJ38" i="4"/>
  <c r="DI38" i="4"/>
  <c r="DH38" i="4"/>
  <c r="DG38" i="4"/>
  <c r="DF38" i="4"/>
  <c r="DE38" i="4"/>
  <c r="DD38" i="4"/>
  <c r="DC38" i="4"/>
  <c r="DB38" i="4"/>
  <c r="DA38" i="4"/>
  <c r="CZ38" i="4"/>
  <c r="CY38" i="4"/>
  <c r="CX38" i="4"/>
  <c r="CW38" i="4"/>
  <c r="CV38" i="4"/>
  <c r="CU38" i="4"/>
  <c r="CT38" i="4"/>
  <c r="CS38" i="4"/>
  <c r="CR38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CB38" i="4"/>
  <c r="CA38" i="4"/>
  <c r="BZ38" i="4"/>
  <c r="BY38" i="4"/>
  <c r="BX38" i="4"/>
  <c r="BW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IV37" i="4"/>
  <c r="IU37" i="4"/>
  <c r="IT37" i="4"/>
  <c r="IS37" i="4"/>
  <c r="IR37" i="4"/>
  <c r="IQ37" i="4"/>
  <c r="IP37" i="4"/>
  <c r="IO37" i="4"/>
  <c r="IN37" i="4"/>
  <c r="IM37" i="4"/>
  <c r="IL37" i="4"/>
  <c r="IK37" i="4"/>
  <c r="IJ37" i="4"/>
  <c r="II37" i="4"/>
  <c r="IH37" i="4"/>
  <c r="IG37" i="4"/>
  <c r="IF37" i="4"/>
  <c r="IE37" i="4"/>
  <c r="ID37" i="4"/>
  <c r="IC37" i="4"/>
  <c r="IB37" i="4"/>
  <c r="IA37" i="4"/>
  <c r="HZ37" i="4"/>
  <c r="HY37" i="4"/>
  <c r="HX37" i="4"/>
  <c r="HW37" i="4"/>
  <c r="HV37" i="4"/>
  <c r="HU37" i="4"/>
  <c r="HT37" i="4"/>
  <c r="HS37" i="4"/>
  <c r="HR37" i="4"/>
  <c r="HQ37" i="4"/>
  <c r="HP37" i="4"/>
  <c r="HO37" i="4"/>
  <c r="HN37" i="4"/>
  <c r="HM37" i="4"/>
  <c r="HL37" i="4"/>
  <c r="HK37" i="4"/>
  <c r="HJ37" i="4"/>
  <c r="HI37" i="4"/>
  <c r="HH37" i="4"/>
  <c r="HG37" i="4"/>
  <c r="HF37" i="4"/>
  <c r="HE37" i="4"/>
  <c r="HD37" i="4"/>
  <c r="HC37" i="4"/>
  <c r="HB37" i="4"/>
  <c r="HA37" i="4"/>
  <c r="GZ37" i="4"/>
  <c r="GY37" i="4"/>
  <c r="GX37" i="4"/>
  <c r="GW37" i="4"/>
  <c r="GV37" i="4"/>
  <c r="GU37" i="4"/>
  <c r="GT37" i="4"/>
  <c r="GS37" i="4"/>
  <c r="GR37" i="4"/>
  <c r="GQ37" i="4"/>
  <c r="GP37" i="4"/>
  <c r="GO37" i="4"/>
  <c r="GN37" i="4"/>
  <c r="GM37" i="4"/>
  <c r="GL37" i="4"/>
  <c r="GK37" i="4"/>
  <c r="GJ37" i="4"/>
  <c r="GI37" i="4"/>
  <c r="GH37" i="4"/>
  <c r="GG37" i="4"/>
  <c r="GF37" i="4"/>
  <c r="GE37" i="4"/>
  <c r="GD37" i="4"/>
  <c r="GC37" i="4"/>
  <c r="GB37" i="4"/>
  <c r="GA37" i="4"/>
  <c r="FZ37" i="4"/>
  <c r="FY37" i="4"/>
  <c r="FX37" i="4"/>
  <c r="FW37" i="4"/>
  <c r="FV37" i="4"/>
  <c r="FU37" i="4"/>
  <c r="FT37" i="4"/>
  <c r="FS37" i="4"/>
  <c r="FR37" i="4"/>
  <c r="FQ37" i="4"/>
  <c r="FP37" i="4"/>
  <c r="FO37" i="4"/>
  <c r="FN37" i="4"/>
  <c r="FM37" i="4"/>
  <c r="FL37" i="4"/>
  <c r="FK37" i="4"/>
  <c r="FJ37" i="4"/>
  <c r="FI37" i="4"/>
  <c r="FH37" i="4"/>
  <c r="FG37" i="4"/>
  <c r="FF37" i="4"/>
  <c r="FE37" i="4"/>
  <c r="FD37" i="4"/>
  <c r="FC37" i="4"/>
  <c r="FB37" i="4"/>
  <c r="FA37" i="4"/>
  <c r="EZ37" i="4"/>
  <c r="EY37" i="4"/>
  <c r="EX37" i="4"/>
  <c r="EW37" i="4"/>
  <c r="EV37" i="4"/>
  <c r="EU37" i="4"/>
  <c r="ET37" i="4"/>
  <c r="ES37" i="4"/>
  <c r="ER37" i="4"/>
  <c r="EQ37" i="4"/>
  <c r="EP37" i="4"/>
  <c r="EO37" i="4"/>
  <c r="EN37" i="4"/>
  <c r="EM37" i="4"/>
  <c r="EL37" i="4"/>
  <c r="EK37" i="4"/>
  <c r="EJ37" i="4"/>
  <c r="EI37" i="4"/>
  <c r="EH37" i="4"/>
  <c r="EG37" i="4"/>
  <c r="EF37" i="4"/>
  <c r="EE37" i="4"/>
  <c r="ED37" i="4"/>
  <c r="EC37" i="4"/>
  <c r="EB37" i="4"/>
  <c r="EA37" i="4"/>
  <c r="DZ37" i="4"/>
  <c r="DY37" i="4"/>
  <c r="DX37" i="4"/>
  <c r="DW37" i="4"/>
  <c r="DV37" i="4"/>
  <c r="DU37" i="4"/>
  <c r="DT37" i="4"/>
  <c r="DS37" i="4"/>
  <c r="DR37" i="4"/>
  <c r="DQ37" i="4"/>
  <c r="DP37" i="4"/>
  <c r="DO37" i="4"/>
  <c r="DN37" i="4"/>
  <c r="DM37" i="4"/>
  <c r="DL37" i="4"/>
  <c r="DK37" i="4"/>
  <c r="DJ37" i="4"/>
  <c r="DI37" i="4"/>
  <c r="DH37" i="4"/>
  <c r="DG37" i="4"/>
  <c r="DF37" i="4"/>
  <c r="DE37" i="4"/>
  <c r="DD37" i="4"/>
  <c r="DC37" i="4"/>
  <c r="DB37" i="4"/>
  <c r="DA37" i="4"/>
  <c r="CZ37" i="4"/>
  <c r="CY37" i="4"/>
  <c r="CX37" i="4"/>
  <c r="CW37" i="4"/>
  <c r="CV37" i="4"/>
  <c r="CU37" i="4"/>
  <c r="CT37" i="4"/>
  <c r="CS37" i="4"/>
  <c r="CR37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CB37" i="4"/>
  <c r="CA37" i="4"/>
  <c r="BZ37" i="4"/>
  <c r="BY37" i="4"/>
  <c r="BX37" i="4"/>
  <c r="BW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IV36" i="4"/>
  <c r="IU36" i="4"/>
  <c r="IT36" i="4"/>
  <c r="IS36" i="4"/>
  <c r="IR36" i="4"/>
  <c r="IQ36" i="4"/>
  <c r="IP36" i="4"/>
  <c r="IO36" i="4"/>
  <c r="IN36" i="4"/>
  <c r="IM36" i="4"/>
  <c r="IL36" i="4"/>
  <c r="IK36" i="4"/>
  <c r="IJ36" i="4"/>
  <c r="II36" i="4"/>
  <c r="IH36" i="4"/>
  <c r="IG36" i="4"/>
  <c r="IF36" i="4"/>
  <c r="IE36" i="4"/>
  <c r="ID36" i="4"/>
  <c r="IC36" i="4"/>
  <c r="IB36" i="4"/>
  <c r="IA36" i="4"/>
  <c r="HZ36" i="4"/>
  <c r="HY36" i="4"/>
  <c r="HX36" i="4"/>
  <c r="HW36" i="4"/>
  <c r="HV36" i="4"/>
  <c r="HU36" i="4"/>
  <c r="HT36" i="4"/>
  <c r="HS36" i="4"/>
  <c r="HR36" i="4"/>
  <c r="HQ36" i="4"/>
  <c r="HP36" i="4"/>
  <c r="HO36" i="4"/>
  <c r="HN36" i="4"/>
  <c r="HM36" i="4"/>
  <c r="HL36" i="4"/>
  <c r="HK36" i="4"/>
  <c r="HJ36" i="4"/>
  <c r="HI36" i="4"/>
  <c r="HH36" i="4"/>
  <c r="HG36" i="4"/>
  <c r="HF36" i="4"/>
  <c r="HE36" i="4"/>
  <c r="HD36" i="4"/>
  <c r="HC36" i="4"/>
  <c r="HB36" i="4"/>
  <c r="HA36" i="4"/>
  <c r="GZ36" i="4"/>
  <c r="GY36" i="4"/>
  <c r="GX36" i="4"/>
  <c r="GW36" i="4"/>
  <c r="GV36" i="4"/>
  <c r="GU36" i="4"/>
  <c r="GT36" i="4"/>
  <c r="GS36" i="4"/>
  <c r="GR36" i="4"/>
  <c r="GQ36" i="4"/>
  <c r="GP36" i="4"/>
  <c r="GO36" i="4"/>
  <c r="GN36" i="4"/>
  <c r="GM36" i="4"/>
  <c r="GL36" i="4"/>
  <c r="GK36" i="4"/>
  <c r="GJ36" i="4"/>
  <c r="GI36" i="4"/>
  <c r="GH36" i="4"/>
  <c r="GG36" i="4"/>
  <c r="GF36" i="4"/>
  <c r="GE36" i="4"/>
  <c r="GD36" i="4"/>
  <c r="GC36" i="4"/>
  <c r="GB36" i="4"/>
  <c r="GA36" i="4"/>
  <c r="FZ36" i="4"/>
  <c r="FY36" i="4"/>
  <c r="FX36" i="4"/>
  <c r="FW36" i="4"/>
  <c r="FV36" i="4"/>
  <c r="FU36" i="4"/>
  <c r="FT36" i="4"/>
  <c r="FS36" i="4"/>
  <c r="FR36" i="4"/>
  <c r="FQ36" i="4"/>
  <c r="FP36" i="4"/>
  <c r="FO36" i="4"/>
  <c r="FN36" i="4"/>
  <c r="FM36" i="4"/>
  <c r="FL36" i="4"/>
  <c r="FK36" i="4"/>
  <c r="FJ36" i="4"/>
  <c r="FI36" i="4"/>
  <c r="FH36" i="4"/>
  <c r="FG36" i="4"/>
  <c r="FF36" i="4"/>
  <c r="FE36" i="4"/>
  <c r="FD36" i="4"/>
  <c r="FC36" i="4"/>
  <c r="FB36" i="4"/>
  <c r="FA36" i="4"/>
  <c r="EZ36" i="4"/>
  <c r="EY36" i="4"/>
  <c r="EX36" i="4"/>
  <c r="EW36" i="4"/>
  <c r="EV36" i="4"/>
  <c r="EU36" i="4"/>
  <c r="ET36" i="4"/>
  <c r="ES36" i="4"/>
  <c r="ER36" i="4"/>
  <c r="EQ36" i="4"/>
  <c r="EP36" i="4"/>
  <c r="EO36" i="4"/>
  <c r="EN36" i="4"/>
  <c r="EM36" i="4"/>
  <c r="EL36" i="4"/>
  <c r="EK36" i="4"/>
  <c r="EJ36" i="4"/>
  <c r="EI36" i="4"/>
  <c r="EH36" i="4"/>
  <c r="EG36" i="4"/>
  <c r="EF36" i="4"/>
  <c r="EE36" i="4"/>
  <c r="ED36" i="4"/>
  <c r="EC36" i="4"/>
  <c r="EB36" i="4"/>
  <c r="EA36" i="4"/>
  <c r="DZ36" i="4"/>
  <c r="DY36" i="4"/>
  <c r="DX36" i="4"/>
  <c r="DW36" i="4"/>
  <c r="DV36" i="4"/>
  <c r="DU36" i="4"/>
  <c r="DT36" i="4"/>
  <c r="DS36" i="4"/>
  <c r="DR36" i="4"/>
  <c r="DQ36" i="4"/>
  <c r="DP36" i="4"/>
  <c r="DO36" i="4"/>
  <c r="DN36" i="4"/>
  <c r="DM36" i="4"/>
  <c r="DL36" i="4"/>
  <c r="DK36" i="4"/>
  <c r="DJ36" i="4"/>
  <c r="DI36" i="4"/>
  <c r="DH36" i="4"/>
  <c r="DG36" i="4"/>
  <c r="DF36" i="4"/>
  <c r="DE36" i="4"/>
  <c r="DD36" i="4"/>
  <c r="DC36" i="4"/>
  <c r="DB36" i="4"/>
  <c r="DA36" i="4"/>
  <c r="CZ36" i="4"/>
  <c r="CY36" i="4"/>
  <c r="CX36" i="4"/>
  <c r="CW36" i="4"/>
  <c r="CV36" i="4"/>
  <c r="CU36" i="4"/>
  <c r="CT36" i="4"/>
  <c r="CS36" i="4"/>
  <c r="CR36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CB36" i="4"/>
  <c r="CA36" i="4"/>
  <c r="BZ36" i="4"/>
  <c r="BY36" i="4"/>
  <c r="BX36" i="4"/>
  <c r="BW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IV35" i="4"/>
  <c r="IU35" i="4"/>
  <c r="IT35" i="4"/>
  <c r="IS35" i="4"/>
  <c r="IR35" i="4"/>
  <c r="IQ35" i="4"/>
  <c r="IP35" i="4"/>
  <c r="IO35" i="4"/>
  <c r="IN35" i="4"/>
  <c r="IM35" i="4"/>
  <c r="IL35" i="4"/>
  <c r="IK35" i="4"/>
  <c r="IJ35" i="4"/>
  <c r="II35" i="4"/>
  <c r="IH35" i="4"/>
  <c r="IG35" i="4"/>
  <c r="IF35" i="4"/>
  <c r="IE35" i="4"/>
  <c r="ID35" i="4"/>
  <c r="IC35" i="4"/>
  <c r="IB35" i="4"/>
  <c r="IA35" i="4"/>
  <c r="HZ35" i="4"/>
  <c r="HY35" i="4"/>
  <c r="HX35" i="4"/>
  <c r="HW35" i="4"/>
  <c r="HV35" i="4"/>
  <c r="HU35" i="4"/>
  <c r="HT35" i="4"/>
  <c r="HS35" i="4"/>
  <c r="HR35" i="4"/>
  <c r="HQ35" i="4"/>
  <c r="HP35" i="4"/>
  <c r="HO35" i="4"/>
  <c r="HN35" i="4"/>
  <c r="HM35" i="4"/>
  <c r="HL35" i="4"/>
  <c r="HK35" i="4"/>
  <c r="HJ35" i="4"/>
  <c r="HI35" i="4"/>
  <c r="HH35" i="4"/>
  <c r="HG35" i="4"/>
  <c r="HF35" i="4"/>
  <c r="HE35" i="4"/>
  <c r="HD35" i="4"/>
  <c r="HC35" i="4"/>
  <c r="HB35" i="4"/>
  <c r="HA35" i="4"/>
  <c r="GZ35" i="4"/>
  <c r="GY35" i="4"/>
  <c r="GX35" i="4"/>
  <c r="GW35" i="4"/>
  <c r="GV35" i="4"/>
  <c r="GU35" i="4"/>
  <c r="GT35" i="4"/>
  <c r="GS35" i="4"/>
  <c r="GR35" i="4"/>
  <c r="GQ35" i="4"/>
  <c r="GP35" i="4"/>
  <c r="GO35" i="4"/>
  <c r="GN35" i="4"/>
  <c r="GM35" i="4"/>
  <c r="GL35" i="4"/>
  <c r="GK35" i="4"/>
  <c r="GJ35" i="4"/>
  <c r="GI35" i="4"/>
  <c r="GH35" i="4"/>
  <c r="GG35" i="4"/>
  <c r="GF35" i="4"/>
  <c r="GE35" i="4"/>
  <c r="GD35" i="4"/>
  <c r="GC35" i="4"/>
  <c r="GB35" i="4"/>
  <c r="GA35" i="4"/>
  <c r="FZ35" i="4"/>
  <c r="FY35" i="4"/>
  <c r="FX35" i="4"/>
  <c r="FW35" i="4"/>
  <c r="FV35" i="4"/>
  <c r="FU35" i="4"/>
  <c r="FT35" i="4"/>
  <c r="FS35" i="4"/>
  <c r="FR35" i="4"/>
  <c r="FQ35" i="4"/>
  <c r="FP35" i="4"/>
  <c r="FO35" i="4"/>
  <c r="FN35" i="4"/>
  <c r="FM35" i="4"/>
  <c r="FL35" i="4"/>
  <c r="FK35" i="4"/>
  <c r="FJ35" i="4"/>
  <c r="FI35" i="4"/>
  <c r="FH35" i="4"/>
  <c r="FG35" i="4"/>
  <c r="FF35" i="4"/>
  <c r="FE35" i="4"/>
  <c r="FD35" i="4"/>
  <c r="FC35" i="4"/>
  <c r="FB35" i="4"/>
  <c r="FA35" i="4"/>
  <c r="EZ35" i="4"/>
  <c r="EY35" i="4"/>
  <c r="EX35" i="4"/>
  <c r="EW35" i="4"/>
  <c r="EV35" i="4"/>
  <c r="EU35" i="4"/>
  <c r="ET35" i="4"/>
  <c r="ES35" i="4"/>
  <c r="ER35" i="4"/>
  <c r="EQ35" i="4"/>
  <c r="EP35" i="4"/>
  <c r="EO35" i="4"/>
  <c r="EN35" i="4"/>
  <c r="EM35" i="4"/>
  <c r="EL35" i="4"/>
  <c r="EK35" i="4"/>
  <c r="EJ35" i="4"/>
  <c r="EI35" i="4"/>
  <c r="EH35" i="4"/>
  <c r="EG35" i="4"/>
  <c r="EF35" i="4"/>
  <c r="EE35" i="4"/>
  <c r="ED35" i="4"/>
  <c r="EC35" i="4"/>
  <c r="EB35" i="4"/>
  <c r="EA35" i="4"/>
  <c r="DZ35" i="4"/>
  <c r="DY35" i="4"/>
  <c r="DX35" i="4"/>
  <c r="DW35" i="4"/>
  <c r="DV35" i="4"/>
  <c r="DU35" i="4"/>
  <c r="DT35" i="4"/>
  <c r="DS35" i="4"/>
  <c r="DR35" i="4"/>
  <c r="DQ35" i="4"/>
  <c r="DP35" i="4"/>
  <c r="DO35" i="4"/>
  <c r="DN35" i="4"/>
  <c r="DM35" i="4"/>
  <c r="DL35" i="4"/>
  <c r="DK35" i="4"/>
  <c r="DJ35" i="4"/>
  <c r="DI35" i="4"/>
  <c r="DH35" i="4"/>
  <c r="DG35" i="4"/>
  <c r="DF35" i="4"/>
  <c r="DE35" i="4"/>
  <c r="DD35" i="4"/>
  <c r="DC35" i="4"/>
  <c r="DB35" i="4"/>
  <c r="DA35" i="4"/>
  <c r="CZ35" i="4"/>
  <c r="CY35" i="4"/>
  <c r="CX35" i="4"/>
  <c r="CW35" i="4"/>
  <c r="CV35" i="4"/>
  <c r="CU35" i="4"/>
  <c r="CT35" i="4"/>
  <c r="CS35" i="4"/>
  <c r="CR35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CB35" i="4"/>
  <c r="CA35" i="4"/>
  <c r="BZ35" i="4"/>
  <c r="BY35" i="4"/>
  <c r="BX35" i="4"/>
  <c r="BW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IX31" i="4"/>
  <c r="IW31" i="4"/>
  <c r="IV31" i="4"/>
  <c r="IU31" i="4"/>
  <c r="IT31" i="4"/>
  <c r="IS31" i="4"/>
  <c r="IR31" i="4"/>
  <c r="IQ31" i="4"/>
  <c r="IP31" i="4"/>
  <c r="IO31" i="4"/>
  <c r="IN31" i="4"/>
  <c r="IM31" i="4"/>
  <c r="IL31" i="4"/>
  <c r="IK31" i="4"/>
  <c r="IJ31" i="4"/>
  <c r="II31" i="4"/>
  <c r="IH31" i="4"/>
  <c r="IG31" i="4"/>
  <c r="IF31" i="4"/>
  <c r="IE31" i="4"/>
  <c r="ID31" i="4"/>
  <c r="IC31" i="4"/>
  <c r="IB31" i="4"/>
  <c r="IA31" i="4"/>
  <c r="HZ31" i="4"/>
  <c r="HY31" i="4"/>
  <c r="HX31" i="4"/>
  <c r="HW31" i="4"/>
  <c r="HV31" i="4"/>
  <c r="HU31" i="4"/>
  <c r="HT31" i="4"/>
  <c r="HS31" i="4"/>
  <c r="HR31" i="4"/>
  <c r="HQ31" i="4"/>
  <c r="HP31" i="4"/>
  <c r="HO31" i="4"/>
  <c r="HN31" i="4"/>
  <c r="HM31" i="4"/>
  <c r="HL31" i="4"/>
  <c r="HK31" i="4"/>
  <c r="HJ31" i="4"/>
  <c r="HI31" i="4"/>
  <c r="HH31" i="4"/>
  <c r="HG31" i="4"/>
  <c r="HF31" i="4"/>
  <c r="HE31" i="4"/>
  <c r="HD31" i="4"/>
  <c r="HC31" i="4"/>
  <c r="HB31" i="4"/>
  <c r="HA31" i="4"/>
  <c r="GZ31" i="4"/>
  <c r="GY31" i="4"/>
  <c r="GX31" i="4"/>
  <c r="GW31" i="4"/>
  <c r="GV31" i="4"/>
  <c r="GU31" i="4"/>
  <c r="GT31" i="4"/>
  <c r="GS31" i="4"/>
  <c r="GR31" i="4"/>
  <c r="GQ31" i="4"/>
  <c r="GP31" i="4"/>
  <c r="GO31" i="4"/>
  <c r="GN31" i="4"/>
  <c r="GM31" i="4"/>
  <c r="GL31" i="4"/>
  <c r="GK31" i="4"/>
  <c r="GJ31" i="4"/>
  <c r="GI31" i="4"/>
  <c r="GH31" i="4"/>
  <c r="GG31" i="4"/>
  <c r="GF31" i="4"/>
  <c r="GE31" i="4"/>
  <c r="GD31" i="4"/>
  <c r="GC31" i="4"/>
  <c r="GB31" i="4"/>
  <c r="GA31" i="4"/>
  <c r="FZ31" i="4"/>
  <c r="FY31" i="4"/>
  <c r="FX31" i="4"/>
  <c r="FW31" i="4"/>
  <c r="FV31" i="4"/>
  <c r="FU31" i="4"/>
  <c r="FT31" i="4"/>
  <c r="FS31" i="4"/>
  <c r="FR31" i="4"/>
  <c r="FQ31" i="4"/>
  <c r="FP31" i="4"/>
  <c r="FO31" i="4"/>
  <c r="FN31" i="4"/>
  <c r="FM31" i="4"/>
  <c r="FL31" i="4"/>
  <c r="FK31" i="4"/>
  <c r="FJ31" i="4"/>
  <c r="FI31" i="4"/>
  <c r="FH31" i="4"/>
  <c r="FG31" i="4"/>
  <c r="FF31" i="4"/>
  <c r="FE31" i="4"/>
  <c r="FD31" i="4"/>
  <c r="FC31" i="4"/>
  <c r="FB31" i="4"/>
  <c r="FA31" i="4"/>
  <c r="EZ31" i="4"/>
  <c r="EY31" i="4"/>
  <c r="EX31" i="4"/>
  <c r="EW31" i="4"/>
  <c r="EV31" i="4"/>
  <c r="EU31" i="4"/>
  <c r="ET31" i="4"/>
  <c r="ES31" i="4"/>
  <c r="ER31" i="4"/>
  <c r="EQ31" i="4"/>
  <c r="EP31" i="4"/>
  <c r="EO31" i="4"/>
  <c r="EN31" i="4"/>
  <c r="EM31" i="4"/>
  <c r="EL31" i="4"/>
  <c r="EK31" i="4"/>
  <c r="EJ31" i="4"/>
  <c r="EI31" i="4"/>
  <c r="EH31" i="4"/>
  <c r="EG31" i="4"/>
  <c r="EF31" i="4"/>
  <c r="EE31" i="4"/>
  <c r="ED31" i="4"/>
  <c r="EC31" i="4"/>
  <c r="EB31" i="4"/>
  <c r="EA31" i="4"/>
  <c r="DZ31" i="4"/>
  <c r="DY31" i="4"/>
  <c r="DX31" i="4"/>
  <c r="DW31" i="4"/>
  <c r="DV31" i="4"/>
  <c r="DU31" i="4"/>
  <c r="DT31" i="4"/>
  <c r="DS31" i="4"/>
  <c r="DR31" i="4"/>
  <c r="DQ31" i="4"/>
  <c r="DP31" i="4"/>
  <c r="DO31" i="4"/>
  <c r="DN31" i="4"/>
  <c r="DM31" i="4"/>
  <c r="DL31" i="4"/>
  <c r="DK31" i="4"/>
  <c r="DJ31" i="4"/>
  <c r="DI31" i="4"/>
  <c r="DH31" i="4"/>
  <c r="DG31" i="4"/>
  <c r="DF31" i="4"/>
  <c r="DE31" i="4"/>
  <c r="DD31" i="4"/>
  <c r="DC31" i="4"/>
  <c r="DB31" i="4"/>
  <c r="DA31" i="4"/>
  <c r="CZ31" i="4"/>
  <c r="CY31" i="4"/>
  <c r="CX31" i="4"/>
  <c r="CW31" i="4"/>
  <c r="CV31" i="4"/>
  <c r="CU31" i="4"/>
  <c r="CT31" i="4"/>
  <c r="CS31" i="4"/>
  <c r="CR31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CB31" i="4"/>
  <c r="CA31" i="4"/>
  <c r="BZ31" i="4"/>
  <c r="BY31" i="4"/>
  <c r="BX31" i="4"/>
  <c r="BW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IX30" i="4"/>
  <c r="IW30" i="4"/>
  <c r="IV30" i="4"/>
  <c r="IU30" i="4"/>
  <c r="IT30" i="4"/>
  <c r="IS30" i="4"/>
  <c r="IR30" i="4"/>
  <c r="IQ30" i="4"/>
  <c r="IP30" i="4"/>
  <c r="IO30" i="4"/>
  <c r="IN30" i="4"/>
  <c r="IM30" i="4"/>
  <c r="IL30" i="4"/>
  <c r="IK30" i="4"/>
  <c r="IJ30" i="4"/>
  <c r="II30" i="4"/>
  <c r="IH30" i="4"/>
  <c r="IG30" i="4"/>
  <c r="IF30" i="4"/>
  <c r="IE30" i="4"/>
  <c r="ID30" i="4"/>
  <c r="IC30" i="4"/>
  <c r="IB30" i="4"/>
  <c r="IA30" i="4"/>
  <c r="HZ30" i="4"/>
  <c r="HY30" i="4"/>
  <c r="HX30" i="4"/>
  <c r="HW30" i="4"/>
  <c r="HV30" i="4"/>
  <c r="HU30" i="4"/>
  <c r="HT30" i="4"/>
  <c r="HS30" i="4"/>
  <c r="HR30" i="4"/>
  <c r="HQ30" i="4"/>
  <c r="HP30" i="4"/>
  <c r="HO30" i="4"/>
  <c r="HN30" i="4"/>
  <c r="HM30" i="4"/>
  <c r="HL30" i="4"/>
  <c r="HK30" i="4"/>
  <c r="HJ30" i="4"/>
  <c r="HI30" i="4"/>
  <c r="HH30" i="4"/>
  <c r="HG30" i="4"/>
  <c r="HF30" i="4"/>
  <c r="HE30" i="4"/>
  <c r="HD30" i="4"/>
  <c r="HC30" i="4"/>
  <c r="HB30" i="4"/>
  <c r="HA30" i="4"/>
  <c r="GZ30" i="4"/>
  <c r="GY30" i="4"/>
  <c r="GX30" i="4"/>
  <c r="GW30" i="4"/>
  <c r="GV30" i="4"/>
  <c r="GU30" i="4"/>
  <c r="GT30" i="4"/>
  <c r="GS30" i="4"/>
  <c r="GR30" i="4"/>
  <c r="GQ30" i="4"/>
  <c r="GP30" i="4"/>
  <c r="GO30" i="4"/>
  <c r="GN30" i="4"/>
  <c r="GM30" i="4"/>
  <c r="GL30" i="4"/>
  <c r="GK30" i="4"/>
  <c r="GJ30" i="4"/>
  <c r="GI30" i="4"/>
  <c r="GH30" i="4"/>
  <c r="GG30" i="4"/>
  <c r="GF30" i="4"/>
  <c r="GE30" i="4"/>
  <c r="GD30" i="4"/>
  <c r="GC30" i="4"/>
  <c r="GB30" i="4"/>
  <c r="GA30" i="4"/>
  <c r="FZ30" i="4"/>
  <c r="FY30" i="4"/>
  <c r="FX30" i="4"/>
  <c r="FW30" i="4"/>
  <c r="FV30" i="4"/>
  <c r="FU30" i="4"/>
  <c r="FT30" i="4"/>
  <c r="FS30" i="4"/>
  <c r="FR30" i="4"/>
  <c r="FQ30" i="4"/>
  <c r="FP30" i="4"/>
  <c r="FO30" i="4"/>
  <c r="FN30" i="4"/>
  <c r="FM30" i="4"/>
  <c r="FL30" i="4"/>
  <c r="FK30" i="4"/>
  <c r="FJ30" i="4"/>
  <c r="FI30" i="4"/>
  <c r="FH30" i="4"/>
  <c r="FG30" i="4"/>
  <c r="FF30" i="4"/>
  <c r="FE30" i="4"/>
  <c r="FD30" i="4"/>
  <c r="FC30" i="4"/>
  <c r="FB30" i="4"/>
  <c r="FA30" i="4"/>
  <c r="EZ30" i="4"/>
  <c r="EY30" i="4"/>
  <c r="EX30" i="4"/>
  <c r="EW30" i="4"/>
  <c r="EV30" i="4"/>
  <c r="EU30" i="4"/>
  <c r="ET30" i="4"/>
  <c r="ES30" i="4"/>
  <c r="ER30" i="4"/>
  <c r="EQ30" i="4"/>
  <c r="EP30" i="4"/>
  <c r="EO30" i="4"/>
  <c r="EN30" i="4"/>
  <c r="EM30" i="4"/>
  <c r="EL30" i="4"/>
  <c r="EK30" i="4"/>
  <c r="EJ30" i="4"/>
  <c r="EI30" i="4"/>
  <c r="EH30" i="4"/>
  <c r="EG30" i="4"/>
  <c r="EF30" i="4"/>
  <c r="EE30" i="4"/>
  <c r="ED30" i="4"/>
  <c r="EC30" i="4"/>
  <c r="EB30" i="4"/>
  <c r="EA30" i="4"/>
  <c r="DZ30" i="4"/>
  <c r="DY30" i="4"/>
  <c r="DX30" i="4"/>
  <c r="DW30" i="4"/>
  <c r="DV30" i="4"/>
  <c r="DU30" i="4"/>
  <c r="DT30" i="4"/>
  <c r="DS30" i="4"/>
  <c r="DR30" i="4"/>
  <c r="DQ30" i="4"/>
  <c r="DP30" i="4"/>
  <c r="DO30" i="4"/>
  <c r="DN30" i="4"/>
  <c r="DM30" i="4"/>
  <c r="DL30" i="4"/>
  <c r="DK30" i="4"/>
  <c r="DJ30" i="4"/>
  <c r="DI30" i="4"/>
  <c r="DH30" i="4"/>
  <c r="DG30" i="4"/>
  <c r="DF30" i="4"/>
  <c r="DE30" i="4"/>
  <c r="DD30" i="4"/>
  <c r="DC30" i="4"/>
  <c r="DB30" i="4"/>
  <c r="DA30" i="4"/>
  <c r="CZ30" i="4"/>
  <c r="CY30" i="4"/>
  <c r="CX30" i="4"/>
  <c r="CW30" i="4"/>
  <c r="CV30" i="4"/>
  <c r="CU30" i="4"/>
  <c r="CT30" i="4"/>
  <c r="CS30" i="4"/>
  <c r="CR30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CB30" i="4"/>
  <c r="CA30" i="4"/>
  <c r="BZ30" i="4"/>
  <c r="BY30" i="4"/>
  <c r="BX30" i="4"/>
  <c r="BW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IX29" i="4"/>
  <c r="IW29" i="4"/>
  <c r="IV29" i="4"/>
  <c r="IU29" i="4"/>
  <c r="IT29" i="4"/>
  <c r="IS29" i="4"/>
  <c r="IR29" i="4"/>
  <c r="IQ29" i="4"/>
  <c r="IP29" i="4"/>
  <c r="IO29" i="4"/>
  <c r="IN29" i="4"/>
  <c r="IM29" i="4"/>
  <c r="IL29" i="4"/>
  <c r="IK29" i="4"/>
  <c r="IJ29" i="4"/>
  <c r="II29" i="4"/>
  <c r="IH29" i="4"/>
  <c r="IG29" i="4"/>
  <c r="IF29" i="4"/>
  <c r="IE29" i="4"/>
  <c r="ID29" i="4"/>
  <c r="IC29" i="4"/>
  <c r="IB29" i="4"/>
  <c r="IA29" i="4"/>
  <c r="HZ29" i="4"/>
  <c r="HY29" i="4"/>
  <c r="HX29" i="4"/>
  <c r="HW29" i="4"/>
  <c r="HV29" i="4"/>
  <c r="HU29" i="4"/>
  <c r="HT29" i="4"/>
  <c r="HS29" i="4"/>
  <c r="HR29" i="4"/>
  <c r="HQ29" i="4"/>
  <c r="HP29" i="4"/>
  <c r="HO29" i="4"/>
  <c r="HN29" i="4"/>
  <c r="HM29" i="4"/>
  <c r="HL29" i="4"/>
  <c r="HK29" i="4"/>
  <c r="HJ29" i="4"/>
  <c r="HI29" i="4"/>
  <c r="HH29" i="4"/>
  <c r="HG29" i="4"/>
  <c r="HF29" i="4"/>
  <c r="HE29" i="4"/>
  <c r="HD29" i="4"/>
  <c r="HC29" i="4"/>
  <c r="HB29" i="4"/>
  <c r="HA29" i="4"/>
  <c r="GZ29" i="4"/>
  <c r="GY29" i="4"/>
  <c r="GX29" i="4"/>
  <c r="GW29" i="4"/>
  <c r="GV29" i="4"/>
  <c r="GU29" i="4"/>
  <c r="GT29" i="4"/>
  <c r="GS29" i="4"/>
  <c r="GR29" i="4"/>
  <c r="GQ29" i="4"/>
  <c r="GP29" i="4"/>
  <c r="GO29" i="4"/>
  <c r="GN29" i="4"/>
  <c r="GM29" i="4"/>
  <c r="GL29" i="4"/>
  <c r="GK29" i="4"/>
  <c r="GJ29" i="4"/>
  <c r="GI29" i="4"/>
  <c r="GH29" i="4"/>
  <c r="GG29" i="4"/>
  <c r="GF29" i="4"/>
  <c r="GE29" i="4"/>
  <c r="GD29" i="4"/>
  <c r="GC29" i="4"/>
  <c r="GB29" i="4"/>
  <c r="GA29" i="4"/>
  <c r="FZ29" i="4"/>
  <c r="FY29" i="4"/>
  <c r="FX29" i="4"/>
  <c r="FW29" i="4"/>
  <c r="FV29" i="4"/>
  <c r="FU29" i="4"/>
  <c r="FT29" i="4"/>
  <c r="FS29" i="4"/>
  <c r="FR29" i="4"/>
  <c r="FQ29" i="4"/>
  <c r="FP29" i="4"/>
  <c r="FO29" i="4"/>
  <c r="FN29" i="4"/>
  <c r="FM29" i="4"/>
  <c r="FL29" i="4"/>
  <c r="FK29" i="4"/>
  <c r="FJ29" i="4"/>
  <c r="FI29" i="4"/>
  <c r="FH29" i="4"/>
  <c r="FG29" i="4"/>
  <c r="FF29" i="4"/>
  <c r="FE29" i="4"/>
  <c r="FD29" i="4"/>
  <c r="FC29" i="4"/>
  <c r="FB29" i="4"/>
  <c r="FA29" i="4"/>
  <c r="EZ29" i="4"/>
  <c r="EY29" i="4"/>
  <c r="EX29" i="4"/>
  <c r="EW29" i="4"/>
  <c r="EV29" i="4"/>
  <c r="EU29" i="4"/>
  <c r="ET29" i="4"/>
  <c r="ES29" i="4"/>
  <c r="ER29" i="4"/>
  <c r="EQ29" i="4"/>
  <c r="EP29" i="4"/>
  <c r="EO29" i="4"/>
  <c r="EN29" i="4"/>
  <c r="EM29" i="4"/>
  <c r="EL29" i="4"/>
  <c r="EK29" i="4"/>
  <c r="EJ29" i="4"/>
  <c r="EI29" i="4"/>
  <c r="EH29" i="4"/>
  <c r="EG29" i="4"/>
  <c r="EF29" i="4"/>
  <c r="EE29" i="4"/>
  <c r="ED29" i="4"/>
  <c r="EC29" i="4"/>
  <c r="EB29" i="4"/>
  <c r="EA29" i="4"/>
  <c r="DZ29" i="4"/>
  <c r="DY29" i="4"/>
  <c r="DX29" i="4"/>
  <c r="DW29" i="4"/>
  <c r="DV29" i="4"/>
  <c r="DU29" i="4"/>
  <c r="DT29" i="4"/>
  <c r="DS29" i="4"/>
  <c r="DR29" i="4"/>
  <c r="DQ29" i="4"/>
  <c r="DP29" i="4"/>
  <c r="DO29" i="4"/>
  <c r="DN29" i="4"/>
  <c r="DM29" i="4"/>
  <c r="DL29" i="4"/>
  <c r="DK29" i="4"/>
  <c r="DJ29" i="4"/>
  <c r="DI29" i="4"/>
  <c r="DH29" i="4"/>
  <c r="DG29" i="4"/>
  <c r="DF29" i="4"/>
  <c r="DE29" i="4"/>
  <c r="DD29" i="4"/>
  <c r="DC29" i="4"/>
  <c r="DB29" i="4"/>
  <c r="DA29" i="4"/>
  <c r="CZ29" i="4"/>
  <c r="CY29" i="4"/>
  <c r="CX29" i="4"/>
  <c r="CW29" i="4"/>
  <c r="CV29" i="4"/>
  <c r="CU29" i="4"/>
  <c r="CT29" i="4"/>
  <c r="CS29" i="4"/>
  <c r="CR29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CB29" i="4"/>
  <c r="CA29" i="4"/>
  <c r="BZ29" i="4"/>
  <c r="BY29" i="4"/>
  <c r="BX29" i="4"/>
  <c r="BW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IX28" i="4"/>
  <c r="IW28" i="4"/>
  <c r="IV28" i="4"/>
  <c r="IU28" i="4"/>
  <c r="IT28" i="4"/>
  <c r="IS28" i="4"/>
  <c r="IR28" i="4"/>
  <c r="IQ28" i="4"/>
  <c r="IP28" i="4"/>
  <c r="IO28" i="4"/>
  <c r="IN28" i="4"/>
  <c r="IM28" i="4"/>
  <c r="IL28" i="4"/>
  <c r="IK28" i="4"/>
  <c r="IJ28" i="4"/>
  <c r="II28" i="4"/>
  <c r="IH28" i="4"/>
  <c r="IG28" i="4"/>
  <c r="IF28" i="4"/>
  <c r="IE28" i="4"/>
  <c r="ID28" i="4"/>
  <c r="IC28" i="4"/>
  <c r="IB28" i="4"/>
  <c r="IA28" i="4"/>
  <c r="HZ28" i="4"/>
  <c r="HY28" i="4"/>
  <c r="HX28" i="4"/>
  <c r="HW28" i="4"/>
  <c r="HV28" i="4"/>
  <c r="HU28" i="4"/>
  <c r="HT28" i="4"/>
  <c r="HS28" i="4"/>
  <c r="HR28" i="4"/>
  <c r="HQ28" i="4"/>
  <c r="HP28" i="4"/>
  <c r="HO28" i="4"/>
  <c r="HN28" i="4"/>
  <c r="HM28" i="4"/>
  <c r="HL28" i="4"/>
  <c r="HK28" i="4"/>
  <c r="HJ28" i="4"/>
  <c r="HI28" i="4"/>
  <c r="HH28" i="4"/>
  <c r="HG28" i="4"/>
  <c r="HF28" i="4"/>
  <c r="HE28" i="4"/>
  <c r="HD28" i="4"/>
  <c r="HC28" i="4"/>
  <c r="HB28" i="4"/>
  <c r="HA28" i="4"/>
  <c r="GZ28" i="4"/>
  <c r="GY28" i="4"/>
  <c r="GX28" i="4"/>
  <c r="GW28" i="4"/>
  <c r="GV28" i="4"/>
  <c r="GU28" i="4"/>
  <c r="GT28" i="4"/>
  <c r="GS28" i="4"/>
  <c r="GR28" i="4"/>
  <c r="GQ28" i="4"/>
  <c r="GP28" i="4"/>
  <c r="GO28" i="4"/>
  <c r="GN28" i="4"/>
  <c r="GM28" i="4"/>
  <c r="GL28" i="4"/>
  <c r="GK28" i="4"/>
  <c r="GJ28" i="4"/>
  <c r="GI28" i="4"/>
  <c r="GH28" i="4"/>
  <c r="GG28" i="4"/>
  <c r="GF28" i="4"/>
  <c r="GE28" i="4"/>
  <c r="GD28" i="4"/>
  <c r="GC28" i="4"/>
  <c r="GB28" i="4"/>
  <c r="GA28" i="4"/>
  <c r="FZ28" i="4"/>
  <c r="FY28" i="4"/>
  <c r="FX28" i="4"/>
  <c r="FW28" i="4"/>
  <c r="FV28" i="4"/>
  <c r="FU28" i="4"/>
  <c r="FT28" i="4"/>
  <c r="FS28" i="4"/>
  <c r="FR28" i="4"/>
  <c r="FQ28" i="4"/>
  <c r="FP28" i="4"/>
  <c r="FO28" i="4"/>
  <c r="FN28" i="4"/>
  <c r="FM28" i="4"/>
  <c r="FL28" i="4"/>
  <c r="FK28" i="4"/>
  <c r="FJ28" i="4"/>
  <c r="FI28" i="4"/>
  <c r="FH28" i="4"/>
  <c r="FG28" i="4"/>
  <c r="FF28" i="4"/>
  <c r="FE28" i="4"/>
  <c r="FD28" i="4"/>
  <c r="FC28" i="4"/>
  <c r="FB28" i="4"/>
  <c r="FA28" i="4"/>
  <c r="EZ28" i="4"/>
  <c r="EY28" i="4"/>
  <c r="EX28" i="4"/>
  <c r="EW28" i="4"/>
  <c r="EV28" i="4"/>
  <c r="EU28" i="4"/>
  <c r="ET28" i="4"/>
  <c r="ES28" i="4"/>
  <c r="ER28" i="4"/>
  <c r="EQ28" i="4"/>
  <c r="EP28" i="4"/>
  <c r="EO28" i="4"/>
  <c r="EN28" i="4"/>
  <c r="EM28" i="4"/>
  <c r="EL28" i="4"/>
  <c r="EK28" i="4"/>
  <c r="EJ28" i="4"/>
  <c r="EI28" i="4"/>
  <c r="EH28" i="4"/>
  <c r="EG28" i="4"/>
  <c r="EF28" i="4"/>
  <c r="EE28" i="4"/>
  <c r="ED28" i="4"/>
  <c r="EC28" i="4"/>
  <c r="EB28" i="4"/>
  <c r="EA28" i="4"/>
  <c r="DZ28" i="4"/>
  <c r="DY28" i="4"/>
  <c r="DX28" i="4"/>
  <c r="DW28" i="4"/>
  <c r="DV28" i="4"/>
  <c r="DU28" i="4"/>
  <c r="DT28" i="4"/>
  <c r="DS28" i="4"/>
  <c r="DR28" i="4"/>
  <c r="DQ28" i="4"/>
  <c r="DP28" i="4"/>
  <c r="DO28" i="4"/>
  <c r="DN28" i="4"/>
  <c r="DM28" i="4"/>
  <c r="DL28" i="4"/>
  <c r="DK28" i="4"/>
  <c r="DJ28" i="4"/>
  <c r="DI28" i="4"/>
  <c r="DH28" i="4"/>
  <c r="DG28" i="4"/>
  <c r="DF28" i="4"/>
  <c r="DE28" i="4"/>
  <c r="DD28" i="4"/>
  <c r="DC28" i="4"/>
  <c r="DB28" i="4"/>
  <c r="DA28" i="4"/>
  <c r="CZ28" i="4"/>
  <c r="CY28" i="4"/>
  <c r="CX28" i="4"/>
  <c r="CW28" i="4"/>
  <c r="CV28" i="4"/>
  <c r="CU28" i="4"/>
  <c r="CT28" i="4"/>
  <c r="CS28" i="4"/>
  <c r="CR28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CB28" i="4"/>
  <c r="CA28" i="4"/>
  <c r="BZ28" i="4"/>
  <c r="BY28" i="4"/>
  <c r="BX28" i="4"/>
  <c r="BW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IX27" i="4"/>
  <c r="IW27" i="4"/>
  <c r="IV27" i="4"/>
  <c r="IU27" i="4"/>
  <c r="IT27" i="4"/>
  <c r="IS27" i="4"/>
  <c r="IR27" i="4"/>
  <c r="IQ27" i="4"/>
  <c r="IP27" i="4"/>
  <c r="IO27" i="4"/>
  <c r="IN27" i="4"/>
  <c r="IM27" i="4"/>
  <c r="IL27" i="4"/>
  <c r="IK27" i="4"/>
  <c r="IJ27" i="4"/>
  <c r="II27" i="4"/>
  <c r="IH27" i="4"/>
  <c r="IG27" i="4"/>
  <c r="IF27" i="4"/>
  <c r="IE27" i="4"/>
  <c r="ID27" i="4"/>
  <c r="IC27" i="4"/>
  <c r="IB27" i="4"/>
  <c r="IA27" i="4"/>
  <c r="HZ27" i="4"/>
  <c r="HY27" i="4"/>
  <c r="HX27" i="4"/>
  <c r="HW27" i="4"/>
  <c r="HV27" i="4"/>
  <c r="HU27" i="4"/>
  <c r="HT27" i="4"/>
  <c r="HS27" i="4"/>
  <c r="HR27" i="4"/>
  <c r="HQ27" i="4"/>
  <c r="HP27" i="4"/>
  <c r="HO27" i="4"/>
  <c r="HN27" i="4"/>
  <c r="HM27" i="4"/>
  <c r="HL27" i="4"/>
  <c r="HK27" i="4"/>
  <c r="HJ27" i="4"/>
  <c r="HI27" i="4"/>
  <c r="HH27" i="4"/>
  <c r="HG27" i="4"/>
  <c r="HF27" i="4"/>
  <c r="HE27" i="4"/>
  <c r="HD27" i="4"/>
  <c r="HC27" i="4"/>
  <c r="HB27" i="4"/>
  <c r="HA27" i="4"/>
  <c r="GZ27" i="4"/>
  <c r="GY27" i="4"/>
  <c r="GX27" i="4"/>
  <c r="GW27" i="4"/>
  <c r="GV27" i="4"/>
  <c r="GU27" i="4"/>
  <c r="GT27" i="4"/>
  <c r="GS27" i="4"/>
  <c r="GR27" i="4"/>
  <c r="GQ27" i="4"/>
  <c r="GP27" i="4"/>
  <c r="GO27" i="4"/>
  <c r="GN27" i="4"/>
  <c r="GM27" i="4"/>
  <c r="GL27" i="4"/>
  <c r="GK27" i="4"/>
  <c r="GJ27" i="4"/>
  <c r="GI27" i="4"/>
  <c r="GH27" i="4"/>
  <c r="GG27" i="4"/>
  <c r="GF27" i="4"/>
  <c r="GE27" i="4"/>
  <c r="GD27" i="4"/>
  <c r="GC27" i="4"/>
  <c r="GB27" i="4"/>
  <c r="GA27" i="4"/>
  <c r="FZ27" i="4"/>
  <c r="FY27" i="4"/>
  <c r="FX27" i="4"/>
  <c r="FW27" i="4"/>
  <c r="FV27" i="4"/>
  <c r="FU27" i="4"/>
  <c r="FT27" i="4"/>
  <c r="FS27" i="4"/>
  <c r="FR27" i="4"/>
  <c r="FQ27" i="4"/>
  <c r="FP27" i="4"/>
  <c r="FO27" i="4"/>
  <c r="FN27" i="4"/>
  <c r="FM27" i="4"/>
  <c r="FL27" i="4"/>
  <c r="FK27" i="4"/>
  <c r="FJ27" i="4"/>
  <c r="FI27" i="4"/>
  <c r="FH27" i="4"/>
  <c r="FG27" i="4"/>
  <c r="FF27" i="4"/>
  <c r="FE27" i="4"/>
  <c r="FD27" i="4"/>
  <c r="FC27" i="4"/>
  <c r="FB27" i="4"/>
  <c r="FA27" i="4"/>
  <c r="EZ27" i="4"/>
  <c r="EY27" i="4"/>
  <c r="EX27" i="4"/>
  <c r="EW27" i="4"/>
  <c r="EV27" i="4"/>
  <c r="EU27" i="4"/>
  <c r="ET27" i="4"/>
  <c r="ES27" i="4"/>
  <c r="ER27" i="4"/>
  <c r="EQ27" i="4"/>
  <c r="EP27" i="4"/>
  <c r="EO27" i="4"/>
  <c r="EN27" i="4"/>
  <c r="EM27" i="4"/>
  <c r="EL27" i="4"/>
  <c r="EK27" i="4"/>
  <c r="EJ27" i="4"/>
  <c r="EI27" i="4"/>
  <c r="EH27" i="4"/>
  <c r="EG27" i="4"/>
  <c r="EF27" i="4"/>
  <c r="EE27" i="4"/>
  <c r="ED27" i="4"/>
  <c r="EC27" i="4"/>
  <c r="EB27" i="4"/>
  <c r="EA27" i="4"/>
  <c r="DZ27" i="4"/>
  <c r="DY27" i="4"/>
  <c r="DX27" i="4"/>
  <c r="DW27" i="4"/>
  <c r="DV27" i="4"/>
  <c r="DU27" i="4"/>
  <c r="DT27" i="4"/>
  <c r="DS27" i="4"/>
  <c r="DR27" i="4"/>
  <c r="DQ27" i="4"/>
  <c r="DP27" i="4"/>
  <c r="DO27" i="4"/>
  <c r="DN27" i="4"/>
  <c r="DM27" i="4"/>
  <c r="DL27" i="4"/>
  <c r="DK27" i="4"/>
  <c r="DJ27" i="4"/>
  <c r="DI27" i="4"/>
  <c r="DH27" i="4"/>
  <c r="DG27" i="4"/>
  <c r="DF27" i="4"/>
  <c r="DE27" i="4"/>
  <c r="DD27" i="4"/>
  <c r="DC27" i="4"/>
  <c r="DB27" i="4"/>
  <c r="DA27" i="4"/>
  <c r="CZ27" i="4"/>
  <c r="CY27" i="4"/>
  <c r="CX27" i="4"/>
  <c r="CW27" i="4"/>
  <c r="CV27" i="4"/>
  <c r="CU27" i="4"/>
  <c r="CT27" i="4"/>
  <c r="CS27" i="4"/>
  <c r="CR27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CB27" i="4"/>
  <c r="CA27" i="4"/>
  <c r="BZ27" i="4"/>
  <c r="BY27" i="4"/>
  <c r="BX27" i="4"/>
  <c r="BW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IX26" i="4"/>
  <c r="IW26" i="4"/>
  <c r="IV26" i="4"/>
  <c r="IU26" i="4"/>
  <c r="IT26" i="4"/>
  <c r="IS26" i="4"/>
  <c r="IR26" i="4"/>
  <c r="IQ26" i="4"/>
  <c r="IP26" i="4"/>
  <c r="IO26" i="4"/>
  <c r="IN26" i="4"/>
  <c r="IM26" i="4"/>
  <c r="IL26" i="4"/>
  <c r="IK26" i="4"/>
  <c r="IJ26" i="4"/>
  <c r="II26" i="4"/>
  <c r="IH26" i="4"/>
  <c r="IG26" i="4"/>
  <c r="IF26" i="4"/>
  <c r="IE26" i="4"/>
  <c r="ID26" i="4"/>
  <c r="IC26" i="4"/>
  <c r="IB26" i="4"/>
  <c r="IA26" i="4"/>
  <c r="HZ26" i="4"/>
  <c r="HY26" i="4"/>
  <c r="HX26" i="4"/>
  <c r="HW26" i="4"/>
  <c r="HV26" i="4"/>
  <c r="HU26" i="4"/>
  <c r="HT26" i="4"/>
  <c r="HS26" i="4"/>
  <c r="HR26" i="4"/>
  <c r="HQ26" i="4"/>
  <c r="HP26" i="4"/>
  <c r="HO26" i="4"/>
  <c r="HN26" i="4"/>
  <c r="HM26" i="4"/>
  <c r="HL26" i="4"/>
  <c r="HK26" i="4"/>
  <c r="HJ26" i="4"/>
  <c r="HI26" i="4"/>
  <c r="HH26" i="4"/>
  <c r="HG26" i="4"/>
  <c r="HF26" i="4"/>
  <c r="HE26" i="4"/>
  <c r="HD26" i="4"/>
  <c r="HC26" i="4"/>
  <c r="HB26" i="4"/>
  <c r="HA26" i="4"/>
  <c r="GZ26" i="4"/>
  <c r="GY26" i="4"/>
  <c r="GX26" i="4"/>
  <c r="GW26" i="4"/>
  <c r="GV26" i="4"/>
  <c r="GU26" i="4"/>
  <c r="GT26" i="4"/>
  <c r="GS26" i="4"/>
  <c r="GR26" i="4"/>
  <c r="GQ26" i="4"/>
  <c r="GP26" i="4"/>
  <c r="GO26" i="4"/>
  <c r="GN26" i="4"/>
  <c r="GM26" i="4"/>
  <c r="GL26" i="4"/>
  <c r="GK26" i="4"/>
  <c r="GJ26" i="4"/>
  <c r="GI26" i="4"/>
  <c r="GH26" i="4"/>
  <c r="GG26" i="4"/>
  <c r="GF26" i="4"/>
  <c r="GE26" i="4"/>
  <c r="GD26" i="4"/>
  <c r="GC26" i="4"/>
  <c r="GB26" i="4"/>
  <c r="GA26" i="4"/>
  <c r="FZ26" i="4"/>
  <c r="FY26" i="4"/>
  <c r="FX26" i="4"/>
  <c r="FW26" i="4"/>
  <c r="FV26" i="4"/>
  <c r="FU26" i="4"/>
  <c r="FT26" i="4"/>
  <c r="FS26" i="4"/>
  <c r="FR26" i="4"/>
  <c r="FQ26" i="4"/>
  <c r="FP26" i="4"/>
  <c r="FO26" i="4"/>
  <c r="FN26" i="4"/>
  <c r="FM26" i="4"/>
  <c r="FL26" i="4"/>
  <c r="FK26" i="4"/>
  <c r="FJ26" i="4"/>
  <c r="FI26" i="4"/>
  <c r="FH26" i="4"/>
  <c r="FG26" i="4"/>
  <c r="FF26" i="4"/>
  <c r="FE26" i="4"/>
  <c r="FD26" i="4"/>
  <c r="FC26" i="4"/>
  <c r="FB26" i="4"/>
  <c r="FA26" i="4"/>
  <c r="EZ26" i="4"/>
  <c r="EY26" i="4"/>
  <c r="EX26" i="4"/>
  <c r="EW26" i="4"/>
  <c r="EV26" i="4"/>
  <c r="EU26" i="4"/>
  <c r="ET26" i="4"/>
  <c r="ES26" i="4"/>
  <c r="ER26" i="4"/>
  <c r="EQ26" i="4"/>
  <c r="EP26" i="4"/>
  <c r="EO26" i="4"/>
  <c r="EN26" i="4"/>
  <c r="EM26" i="4"/>
  <c r="EL26" i="4"/>
  <c r="EK26" i="4"/>
  <c r="EJ26" i="4"/>
  <c r="EI26" i="4"/>
  <c r="EH26" i="4"/>
  <c r="EG26" i="4"/>
  <c r="EF26" i="4"/>
  <c r="EE26" i="4"/>
  <c r="ED26" i="4"/>
  <c r="EC26" i="4"/>
  <c r="EB26" i="4"/>
  <c r="EA26" i="4"/>
  <c r="DZ26" i="4"/>
  <c r="DY26" i="4"/>
  <c r="DX26" i="4"/>
  <c r="DW26" i="4"/>
  <c r="DV26" i="4"/>
  <c r="DU26" i="4"/>
  <c r="DT26" i="4"/>
  <c r="DS26" i="4"/>
  <c r="DR26" i="4"/>
  <c r="DQ26" i="4"/>
  <c r="DP26" i="4"/>
  <c r="DO26" i="4"/>
  <c r="DN26" i="4"/>
  <c r="DM26" i="4"/>
  <c r="DL26" i="4"/>
  <c r="DK26" i="4"/>
  <c r="DJ26" i="4"/>
  <c r="DI26" i="4"/>
  <c r="DH26" i="4"/>
  <c r="DG26" i="4"/>
  <c r="DF26" i="4"/>
  <c r="DE26" i="4"/>
  <c r="DD26" i="4"/>
  <c r="DC26" i="4"/>
  <c r="DB26" i="4"/>
  <c r="DA26" i="4"/>
  <c r="CZ26" i="4"/>
  <c r="CY26" i="4"/>
  <c r="CX26" i="4"/>
  <c r="CW26" i="4"/>
  <c r="CV26" i="4"/>
  <c r="CU26" i="4"/>
  <c r="CT26" i="4"/>
  <c r="CS26" i="4"/>
  <c r="CR26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CB26" i="4"/>
  <c r="CA26" i="4"/>
  <c r="BZ26" i="4"/>
  <c r="BY26" i="4"/>
  <c r="BX26" i="4"/>
  <c r="BW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IX25" i="4"/>
  <c r="IW25" i="4"/>
  <c r="IV25" i="4"/>
  <c r="IU25" i="4"/>
  <c r="IT25" i="4"/>
  <c r="IS25" i="4"/>
  <c r="IR25" i="4"/>
  <c r="IQ25" i="4"/>
  <c r="IP25" i="4"/>
  <c r="IO25" i="4"/>
  <c r="IN25" i="4"/>
  <c r="IM25" i="4"/>
  <c r="IL25" i="4"/>
  <c r="IK25" i="4"/>
  <c r="IJ25" i="4"/>
  <c r="II25" i="4"/>
  <c r="IH25" i="4"/>
  <c r="IG25" i="4"/>
  <c r="IF25" i="4"/>
  <c r="IE25" i="4"/>
  <c r="ID25" i="4"/>
  <c r="IC25" i="4"/>
  <c r="IB25" i="4"/>
  <c r="IA25" i="4"/>
  <c r="HZ25" i="4"/>
  <c r="HY25" i="4"/>
  <c r="HX25" i="4"/>
  <c r="HW25" i="4"/>
  <c r="HV25" i="4"/>
  <c r="HU25" i="4"/>
  <c r="HT25" i="4"/>
  <c r="HS25" i="4"/>
  <c r="HR25" i="4"/>
  <c r="HQ25" i="4"/>
  <c r="HP25" i="4"/>
  <c r="HO25" i="4"/>
  <c r="HN25" i="4"/>
  <c r="HM25" i="4"/>
  <c r="HL25" i="4"/>
  <c r="HK25" i="4"/>
  <c r="HJ25" i="4"/>
  <c r="HI25" i="4"/>
  <c r="HH25" i="4"/>
  <c r="HG25" i="4"/>
  <c r="HF25" i="4"/>
  <c r="HE25" i="4"/>
  <c r="HD25" i="4"/>
  <c r="HC25" i="4"/>
  <c r="HB25" i="4"/>
  <c r="HA25" i="4"/>
  <c r="GZ25" i="4"/>
  <c r="GY25" i="4"/>
  <c r="GX25" i="4"/>
  <c r="GW25" i="4"/>
  <c r="GV25" i="4"/>
  <c r="GU25" i="4"/>
  <c r="GT25" i="4"/>
  <c r="GS25" i="4"/>
  <c r="GR25" i="4"/>
  <c r="GQ25" i="4"/>
  <c r="GP25" i="4"/>
  <c r="GO25" i="4"/>
  <c r="GN25" i="4"/>
  <c r="GM25" i="4"/>
  <c r="GL25" i="4"/>
  <c r="GK25" i="4"/>
  <c r="GJ25" i="4"/>
  <c r="GI25" i="4"/>
  <c r="GH25" i="4"/>
  <c r="GG25" i="4"/>
  <c r="GF25" i="4"/>
  <c r="GE25" i="4"/>
  <c r="GD25" i="4"/>
  <c r="GC25" i="4"/>
  <c r="GB25" i="4"/>
  <c r="GA25" i="4"/>
  <c r="FZ25" i="4"/>
  <c r="FY25" i="4"/>
  <c r="FX25" i="4"/>
  <c r="FW25" i="4"/>
  <c r="FV25" i="4"/>
  <c r="FU25" i="4"/>
  <c r="FT25" i="4"/>
  <c r="FS25" i="4"/>
  <c r="FR25" i="4"/>
  <c r="FQ25" i="4"/>
  <c r="FP25" i="4"/>
  <c r="FO25" i="4"/>
  <c r="FN25" i="4"/>
  <c r="FM25" i="4"/>
  <c r="FL25" i="4"/>
  <c r="FK25" i="4"/>
  <c r="FJ25" i="4"/>
  <c r="FI25" i="4"/>
  <c r="FH25" i="4"/>
  <c r="FG25" i="4"/>
  <c r="FF25" i="4"/>
  <c r="FE25" i="4"/>
  <c r="FD25" i="4"/>
  <c r="FC25" i="4"/>
  <c r="FB25" i="4"/>
  <c r="FA25" i="4"/>
  <c r="EZ25" i="4"/>
  <c r="EY25" i="4"/>
  <c r="EX25" i="4"/>
  <c r="EW25" i="4"/>
  <c r="EV25" i="4"/>
  <c r="EU25" i="4"/>
  <c r="ET25" i="4"/>
  <c r="ES25" i="4"/>
  <c r="ER25" i="4"/>
  <c r="EQ25" i="4"/>
  <c r="EP25" i="4"/>
  <c r="EO25" i="4"/>
  <c r="EN25" i="4"/>
  <c r="EM25" i="4"/>
  <c r="EL25" i="4"/>
  <c r="EK25" i="4"/>
  <c r="EJ25" i="4"/>
  <c r="EI25" i="4"/>
  <c r="EH25" i="4"/>
  <c r="EG25" i="4"/>
  <c r="EF25" i="4"/>
  <c r="EE25" i="4"/>
  <c r="ED25" i="4"/>
  <c r="EC25" i="4"/>
  <c r="EB25" i="4"/>
  <c r="EA25" i="4"/>
  <c r="DZ25" i="4"/>
  <c r="DY25" i="4"/>
  <c r="DX25" i="4"/>
  <c r="DW25" i="4"/>
  <c r="DV25" i="4"/>
  <c r="DU25" i="4"/>
  <c r="DT25" i="4"/>
  <c r="DS25" i="4"/>
  <c r="DR25" i="4"/>
  <c r="DQ25" i="4"/>
  <c r="DP25" i="4"/>
  <c r="DO25" i="4"/>
  <c r="DN25" i="4"/>
  <c r="DM25" i="4"/>
  <c r="DL25" i="4"/>
  <c r="DK25" i="4"/>
  <c r="DJ25" i="4"/>
  <c r="DI25" i="4"/>
  <c r="DH25" i="4"/>
  <c r="DG25" i="4"/>
  <c r="DF25" i="4"/>
  <c r="DE25" i="4"/>
  <c r="DD25" i="4"/>
  <c r="DC25" i="4"/>
  <c r="DB25" i="4"/>
  <c r="DA25" i="4"/>
  <c r="CZ25" i="4"/>
  <c r="CY25" i="4"/>
  <c r="CX25" i="4"/>
  <c r="CW25" i="4"/>
  <c r="CV25" i="4"/>
  <c r="CU25" i="4"/>
  <c r="CT25" i="4"/>
  <c r="CS25" i="4"/>
  <c r="CR25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CB25" i="4"/>
  <c r="CA25" i="4"/>
  <c r="BZ25" i="4"/>
  <c r="BY25" i="4"/>
  <c r="BX25" i="4"/>
  <c r="BW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IX24" i="4"/>
  <c r="IW24" i="4"/>
  <c r="IV24" i="4"/>
  <c r="IU24" i="4"/>
  <c r="IT24" i="4"/>
  <c r="IS24" i="4"/>
  <c r="IR24" i="4"/>
  <c r="IQ24" i="4"/>
  <c r="IP24" i="4"/>
  <c r="IO24" i="4"/>
  <c r="IN24" i="4"/>
  <c r="IM24" i="4"/>
  <c r="IL24" i="4"/>
  <c r="IK24" i="4"/>
  <c r="IJ24" i="4"/>
  <c r="II24" i="4"/>
  <c r="IH24" i="4"/>
  <c r="IG24" i="4"/>
  <c r="IF24" i="4"/>
  <c r="IE24" i="4"/>
  <c r="ID24" i="4"/>
  <c r="IC24" i="4"/>
  <c r="IB24" i="4"/>
  <c r="IA24" i="4"/>
  <c r="HZ24" i="4"/>
  <c r="HY24" i="4"/>
  <c r="HX24" i="4"/>
  <c r="HW24" i="4"/>
  <c r="HV24" i="4"/>
  <c r="HU24" i="4"/>
  <c r="HT24" i="4"/>
  <c r="HS24" i="4"/>
  <c r="HR24" i="4"/>
  <c r="HQ24" i="4"/>
  <c r="HP24" i="4"/>
  <c r="HO24" i="4"/>
  <c r="HN24" i="4"/>
  <c r="HM24" i="4"/>
  <c r="HL24" i="4"/>
  <c r="HK24" i="4"/>
  <c r="HJ24" i="4"/>
  <c r="HI24" i="4"/>
  <c r="HH24" i="4"/>
  <c r="HG24" i="4"/>
  <c r="HF24" i="4"/>
  <c r="HE24" i="4"/>
  <c r="HD24" i="4"/>
  <c r="HC24" i="4"/>
  <c r="HB24" i="4"/>
  <c r="HA24" i="4"/>
  <c r="GZ24" i="4"/>
  <c r="GY24" i="4"/>
  <c r="GX24" i="4"/>
  <c r="GW24" i="4"/>
  <c r="GV24" i="4"/>
  <c r="GU24" i="4"/>
  <c r="GT24" i="4"/>
  <c r="GS24" i="4"/>
  <c r="GR24" i="4"/>
  <c r="GQ24" i="4"/>
  <c r="GP24" i="4"/>
  <c r="GO24" i="4"/>
  <c r="GN24" i="4"/>
  <c r="GM24" i="4"/>
  <c r="GL24" i="4"/>
  <c r="GK24" i="4"/>
  <c r="GJ24" i="4"/>
  <c r="GI24" i="4"/>
  <c r="GH24" i="4"/>
  <c r="GG24" i="4"/>
  <c r="GF24" i="4"/>
  <c r="GE24" i="4"/>
  <c r="GD24" i="4"/>
  <c r="GC24" i="4"/>
  <c r="GB24" i="4"/>
  <c r="GA24" i="4"/>
  <c r="FZ24" i="4"/>
  <c r="FY24" i="4"/>
  <c r="FX24" i="4"/>
  <c r="FW24" i="4"/>
  <c r="FV24" i="4"/>
  <c r="FU24" i="4"/>
  <c r="FT24" i="4"/>
  <c r="FS24" i="4"/>
  <c r="FR24" i="4"/>
  <c r="FQ24" i="4"/>
  <c r="FP24" i="4"/>
  <c r="FO24" i="4"/>
  <c r="FN24" i="4"/>
  <c r="FM24" i="4"/>
  <c r="FL24" i="4"/>
  <c r="FK24" i="4"/>
  <c r="FJ24" i="4"/>
  <c r="FI24" i="4"/>
  <c r="FH24" i="4"/>
  <c r="FG24" i="4"/>
  <c r="FF24" i="4"/>
  <c r="FE24" i="4"/>
  <c r="FD24" i="4"/>
  <c r="FC24" i="4"/>
  <c r="FB24" i="4"/>
  <c r="FA24" i="4"/>
  <c r="EZ24" i="4"/>
  <c r="EY24" i="4"/>
  <c r="EX24" i="4"/>
  <c r="EW24" i="4"/>
  <c r="EV24" i="4"/>
  <c r="EU24" i="4"/>
  <c r="ET24" i="4"/>
  <c r="ES24" i="4"/>
  <c r="ER24" i="4"/>
  <c r="EQ24" i="4"/>
  <c r="EP24" i="4"/>
  <c r="EO24" i="4"/>
  <c r="EN24" i="4"/>
  <c r="EM24" i="4"/>
  <c r="EL24" i="4"/>
  <c r="EK24" i="4"/>
  <c r="EJ24" i="4"/>
  <c r="EI24" i="4"/>
  <c r="EH24" i="4"/>
  <c r="EG24" i="4"/>
  <c r="EF24" i="4"/>
  <c r="EE24" i="4"/>
  <c r="ED24" i="4"/>
  <c r="EC24" i="4"/>
  <c r="EB24" i="4"/>
  <c r="EA24" i="4"/>
  <c r="DZ24" i="4"/>
  <c r="DY24" i="4"/>
  <c r="DX24" i="4"/>
  <c r="DW24" i="4"/>
  <c r="DV24" i="4"/>
  <c r="DU24" i="4"/>
  <c r="DT24" i="4"/>
  <c r="DS24" i="4"/>
  <c r="DR24" i="4"/>
  <c r="DQ24" i="4"/>
  <c r="DP24" i="4"/>
  <c r="DO24" i="4"/>
  <c r="DN24" i="4"/>
  <c r="DM24" i="4"/>
  <c r="DL24" i="4"/>
  <c r="DK24" i="4"/>
  <c r="DJ24" i="4"/>
  <c r="DI24" i="4"/>
  <c r="DH24" i="4"/>
  <c r="DG24" i="4"/>
  <c r="DF24" i="4"/>
  <c r="DE24" i="4"/>
  <c r="DD24" i="4"/>
  <c r="DC24" i="4"/>
  <c r="DB24" i="4"/>
  <c r="DA24" i="4"/>
  <c r="CZ24" i="4"/>
  <c r="CY24" i="4"/>
  <c r="CX24" i="4"/>
  <c r="CW24" i="4"/>
  <c r="CV24" i="4"/>
  <c r="CU24" i="4"/>
  <c r="CT24" i="4"/>
  <c r="CS24" i="4"/>
  <c r="CR24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CB24" i="4"/>
  <c r="CA24" i="4"/>
  <c r="BZ24" i="4"/>
  <c r="BY24" i="4"/>
  <c r="BX24" i="4"/>
  <c r="BW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C5" i="1"/>
  <c r="C7" i="1"/>
  <c r="C6" i="1"/>
  <c r="H39" i="9" a="1"/>
  <c r="G13" i="8" a="1"/>
  <c r="K39" i="9" a="1"/>
  <c r="F13" i="8" a="1"/>
  <c r="H39" i="9" l="1"/>
  <c r="K39" i="9"/>
  <c r="H5" i="10"/>
  <c r="L27" i="10" a="1"/>
  <c r="D40" i="9"/>
  <c r="E40" i="9" s="1"/>
  <c r="F40" i="9" s="1"/>
  <c r="C41" i="9"/>
  <c r="C7" i="7"/>
  <c r="K7" i="7" s="1"/>
  <c r="L7" i="7" s="1"/>
  <c r="D11" i="5"/>
  <c r="G9" i="10" s="1"/>
  <c r="H9" i="10" s="1"/>
  <c r="C77" i="1"/>
  <c r="C87" i="1" s="1"/>
  <c r="C97" i="1" s="1"/>
  <c r="K30" i="1"/>
  <c r="M4" i="5"/>
  <c r="J10" i="5"/>
  <c r="J11" i="5" s="1"/>
  <c r="J12" i="5" s="1"/>
  <c r="J13" i="5" s="1"/>
  <c r="J14" i="5" s="1"/>
  <c r="J15" i="5" s="1"/>
  <c r="J16" i="5" s="1"/>
  <c r="J17" i="5" s="1"/>
  <c r="J18" i="5" s="1"/>
  <c r="J19" i="5" s="1"/>
  <c r="J20" i="5" s="1"/>
  <c r="J21" i="5" s="1"/>
  <c r="J22" i="5" s="1"/>
  <c r="J23" i="5" s="1"/>
  <c r="J24" i="5" s="1"/>
  <c r="J25" i="5" s="1"/>
  <c r="J26" i="5" s="1"/>
  <c r="J27" i="5" s="1"/>
  <c r="J28" i="5" s="1"/>
  <c r="J29" i="5" s="1"/>
  <c r="J30" i="5" s="1"/>
  <c r="J31" i="5" s="1"/>
  <c r="J32" i="5" s="1"/>
  <c r="J33" i="5" s="1"/>
  <c r="J34" i="5" s="1"/>
  <c r="J35" i="5" s="1"/>
  <c r="J36" i="5" s="1"/>
  <c r="J37" i="5" s="1"/>
  <c r="J38" i="5" s="1"/>
  <c r="J39" i="5" s="1"/>
  <c r="J40" i="5" s="1"/>
  <c r="J41" i="5" s="1"/>
  <c r="J9" i="5"/>
  <c r="J8" i="5"/>
  <c r="K8" i="5" s="1"/>
  <c r="L8" i="5" s="1"/>
  <c r="J7" i="5"/>
  <c r="G13" i="8"/>
  <c r="F13" i="8"/>
  <c r="A15" i="8"/>
  <c r="B14" i="8"/>
  <c r="N4" i="5"/>
  <c r="L4" i="5"/>
  <c r="K29" i="1"/>
  <c r="D30" i="1"/>
  <c r="D31" i="1" s="1"/>
  <c r="D32" i="1" s="1"/>
  <c r="K41" i="1"/>
  <c r="B77" i="1" s="1"/>
  <c r="B87" i="1" s="1"/>
  <c r="B97" i="1" s="1"/>
  <c r="K32" i="1"/>
  <c r="K40" i="1"/>
  <c r="B76" i="1" s="1"/>
  <c r="B86" i="1" s="1"/>
  <c r="B96" i="1" s="1"/>
  <c r="K34" i="1"/>
  <c r="K38" i="1"/>
  <c r="B74" i="1" s="1"/>
  <c r="B84" i="1" s="1"/>
  <c r="B94" i="1" s="1"/>
  <c r="K36" i="1"/>
  <c r="B72" i="1" s="1"/>
  <c r="B82" i="1" s="1"/>
  <c r="B92" i="1" s="1"/>
  <c r="K35" i="1"/>
  <c r="K37" i="1"/>
  <c r="B73" i="1" s="1"/>
  <c r="B83" i="1" s="1"/>
  <c r="B93" i="1" s="1"/>
  <c r="K33" i="1"/>
  <c r="K39" i="1"/>
  <c r="B75" i="1" s="1"/>
  <c r="B85" i="1" s="1"/>
  <c r="B95" i="1" s="1"/>
  <c r="K31" i="1"/>
  <c r="C31" i="1"/>
  <c r="F31" i="1" s="1"/>
  <c r="C30" i="1"/>
  <c r="F30" i="1" s="1"/>
  <c r="C29" i="1"/>
  <c r="F29" i="1" s="1"/>
  <c r="C39" i="1"/>
  <c r="F39" i="1" s="1"/>
  <c r="C38" i="1"/>
  <c r="F38" i="1" s="1"/>
  <c r="C37" i="1"/>
  <c r="F37" i="1" s="1"/>
  <c r="C36" i="1"/>
  <c r="F36" i="1" s="1"/>
  <c r="C34" i="1"/>
  <c r="F34" i="1" s="1"/>
  <c r="C35" i="1"/>
  <c r="F35" i="1" s="1"/>
  <c r="C33" i="1"/>
  <c r="F33" i="1" s="1"/>
  <c r="C40" i="1"/>
  <c r="F40" i="1" s="1"/>
  <c r="C32" i="1"/>
  <c r="F32" i="1" s="1"/>
  <c r="F14" i="8" a="1"/>
  <c r="G14" i="8" a="1"/>
  <c r="H40" i="9" a="1"/>
  <c r="K40" i="9" a="1"/>
  <c r="H40" i="9" l="1"/>
  <c r="K40" i="9"/>
  <c r="C42" i="9"/>
  <c r="D41" i="9"/>
  <c r="E41" i="9" s="1"/>
  <c r="F41" i="9" s="1"/>
  <c r="L27" i="10"/>
  <c r="L28" i="10"/>
  <c r="L29" i="10"/>
  <c r="J42" i="5"/>
  <c r="K41" i="5"/>
  <c r="L41" i="5" s="1"/>
  <c r="L36" i="10"/>
  <c r="C117" i="1"/>
  <c r="C107" i="1"/>
  <c r="C76" i="1"/>
  <c r="C86" i="1" s="1"/>
  <c r="C96" i="1" s="1"/>
  <c r="C72" i="1"/>
  <c r="C82" i="1" s="1"/>
  <c r="C92" i="1" s="1"/>
  <c r="C73" i="1"/>
  <c r="C83" i="1" s="1"/>
  <c r="C93" i="1" s="1"/>
  <c r="C74" i="1"/>
  <c r="C84" i="1" s="1"/>
  <c r="C94" i="1" s="1"/>
  <c r="C75" i="1"/>
  <c r="C85" i="1" s="1"/>
  <c r="C95" i="1" s="1"/>
  <c r="C115" i="1" s="1"/>
  <c r="B112" i="1"/>
  <c r="B102" i="1"/>
  <c r="B113" i="1"/>
  <c r="B103" i="1"/>
  <c r="B116" i="1"/>
  <c r="B106" i="1"/>
  <c r="B115" i="1"/>
  <c r="B105" i="1"/>
  <c r="B114" i="1"/>
  <c r="B104" i="1"/>
  <c r="B117" i="1"/>
  <c r="B107" i="1"/>
  <c r="K22" i="5"/>
  <c r="L22" i="5" s="1"/>
  <c r="K30" i="5"/>
  <c r="L30" i="5" s="1"/>
  <c r="K38" i="5"/>
  <c r="L38" i="5" s="1"/>
  <c r="K35" i="5"/>
  <c r="L35" i="5" s="1"/>
  <c r="K23" i="5"/>
  <c r="L23" i="5" s="1"/>
  <c r="K31" i="5"/>
  <c r="L31" i="5" s="1"/>
  <c r="K39" i="5"/>
  <c r="L39" i="5" s="1"/>
  <c r="K24" i="5"/>
  <c r="L24" i="5" s="1"/>
  <c r="K32" i="5"/>
  <c r="L32" i="5" s="1"/>
  <c r="K40" i="5"/>
  <c r="L40" i="5" s="1"/>
  <c r="M41" i="5" s="1"/>
  <c r="Q41" i="5" s="1"/>
  <c r="K27" i="5"/>
  <c r="L27" i="5" s="1"/>
  <c r="K21" i="5"/>
  <c r="L21" i="5" s="1"/>
  <c r="K25" i="5"/>
  <c r="L25" i="5" s="1"/>
  <c r="K33" i="5"/>
  <c r="L33" i="5" s="1"/>
  <c r="K26" i="5"/>
  <c r="L26" i="5" s="1"/>
  <c r="K34" i="5"/>
  <c r="L34" i="5" s="1"/>
  <c r="K37" i="5"/>
  <c r="L37" i="5" s="1"/>
  <c r="K28" i="5"/>
  <c r="L28" i="5" s="1"/>
  <c r="K36" i="5"/>
  <c r="L36" i="5" s="1"/>
  <c r="K29" i="5"/>
  <c r="L29" i="5" s="1"/>
  <c r="G14" i="8"/>
  <c r="F14" i="8"/>
  <c r="A16" i="8"/>
  <c r="B15" i="8"/>
  <c r="K7" i="5"/>
  <c r="L7" i="5" s="1"/>
  <c r="M7" i="5" s="1"/>
  <c r="E30" i="1"/>
  <c r="G30" i="1" s="1"/>
  <c r="H30" i="1" s="1"/>
  <c r="J30" i="1" s="1"/>
  <c r="N30" i="1" s="1"/>
  <c r="E31" i="1"/>
  <c r="G31" i="1" s="1"/>
  <c r="H31" i="1" s="1"/>
  <c r="J31" i="1" s="1"/>
  <c r="N31" i="1" s="1"/>
  <c r="E32" i="1"/>
  <c r="G32" i="1" s="1"/>
  <c r="D33" i="1"/>
  <c r="I28" i="1"/>
  <c r="H29" i="1"/>
  <c r="J29" i="1" s="1"/>
  <c r="N29" i="1" s="1"/>
  <c r="I29" i="1"/>
  <c r="H41" i="9" a="1"/>
  <c r="K41" i="9" a="1"/>
  <c r="F15" i="8" a="1"/>
  <c r="G15" i="8" a="1"/>
  <c r="H41" i="9" l="1"/>
  <c r="K41" i="9"/>
  <c r="J43" i="5"/>
  <c r="K42" i="5"/>
  <c r="L42" i="5" s="1"/>
  <c r="M42" i="5" s="1"/>
  <c r="Q42" i="5" s="1"/>
  <c r="L32" i="10" a="1"/>
  <c r="D42" i="9"/>
  <c r="E42" i="9" s="1"/>
  <c r="F42" i="9" s="1"/>
  <c r="C43" i="9"/>
  <c r="M36" i="5"/>
  <c r="Q36" i="5" s="1"/>
  <c r="C105" i="1"/>
  <c r="C113" i="1"/>
  <c r="C103" i="1"/>
  <c r="C114" i="1"/>
  <c r="C104" i="1"/>
  <c r="C116" i="1"/>
  <c r="C106" i="1"/>
  <c r="C112" i="1"/>
  <c r="C102" i="1"/>
  <c r="M34" i="5"/>
  <c r="Q34" i="5" s="1"/>
  <c r="M31" i="5"/>
  <c r="Q31" i="5" s="1"/>
  <c r="M24" i="5"/>
  <c r="Q24" i="5" s="1"/>
  <c r="M28" i="5"/>
  <c r="Q28" i="5" s="1"/>
  <c r="M26" i="5"/>
  <c r="Q26" i="5" s="1"/>
  <c r="M23" i="5"/>
  <c r="Q23" i="5" s="1"/>
  <c r="M33" i="5"/>
  <c r="Q33" i="5" s="1"/>
  <c r="M39" i="5"/>
  <c r="Q39" i="5" s="1"/>
  <c r="M32" i="5"/>
  <c r="Q32" i="5" s="1"/>
  <c r="M25" i="5"/>
  <c r="Q25" i="5" s="1"/>
  <c r="M27" i="5"/>
  <c r="Q27" i="5" s="1"/>
  <c r="M29" i="5"/>
  <c r="Q29" i="5" s="1"/>
  <c r="M40" i="5"/>
  <c r="Q40" i="5" s="1"/>
  <c r="M35" i="5"/>
  <c r="Q35" i="5" s="1"/>
  <c r="M38" i="5"/>
  <c r="Q38" i="5" s="1"/>
  <c r="M30" i="5"/>
  <c r="Q30" i="5" s="1"/>
  <c r="M22" i="5"/>
  <c r="Q22" i="5" s="1"/>
  <c r="M37" i="5"/>
  <c r="Q37" i="5" s="1"/>
  <c r="G15" i="8"/>
  <c r="F15" i="8"/>
  <c r="A17" i="8"/>
  <c r="B16" i="8"/>
  <c r="K9" i="5"/>
  <c r="L9" i="5" s="1"/>
  <c r="M9" i="5" s="1"/>
  <c r="N7" i="5"/>
  <c r="O7" i="5" s="1"/>
  <c r="M8" i="5"/>
  <c r="K10" i="5"/>
  <c r="L10" i="5" s="1"/>
  <c r="E33" i="1"/>
  <c r="G33" i="1" s="1"/>
  <c r="D34" i="1"/>
  <c r="I30" i="1"/>
  <c r="H28" i="1"/>
  <c r="J28" i="1" s="1"/>
  <c r="N28" i="1" s="1"/>
  <c r="I31" i="1"/>
  <c r="I32" i="1"/>
  <c r="H32" i="1"/>
  <c r="J32" i="1" s="1"/>
  <c r="N32" i="1" s="1"/>
  <c r="H42" i="9" a="1"/>
  <c r="G16" i="8" a="1"/>
  <c r="K42" i="9" a="1"/>
  <c r="F16" i="8" a="1"/>
  <c r="H42" i="9" l="1"/>
  <c r="K42" i="9"/>
  <c r="C44" i="9"/>
  <c r="D43" i="9"/>
  <c r="E43" i="9" s="1"/>
  <c r="F43" i="9" s="1"/>
  <c r="L34" i="10"/>
  <c r="L32" i="10"/>
  <c r="L33" i="10"/>
  <c r="J44" i="5"/>
  <c r="K43" i="5"/>
  <c r="L43" i="5" s="1"/>
  <c r="M43" i="5" s="1"/>
  <c r="Q43" i="5" s="1"/>
  <c r="A4" i="6"/>
  <c r="B4" i="6" s="1"/>
  <c r="M10" i="5"/>
  <c r="G16" i="8"/>
  <c r="F16" i="8"/>
  <c r="B17" i="8"/>
  <c r="A18" i="8"/>
  <c r="N8" i="5"/>
  <c r="A5" i="6" s="1"/>
  <c r="B5" i="6" s="1"/>
  <c r="K11" i="5"/>
  <c r="L11" i="5" s="1"/>
  <c r="M11" i="5" s="1"/>
  <c r="E34" i="1"/>
  <c r="G34" i="1" s="1"/>
  <c r="D35" i="1"/>
  <c r="I33" i="1"/>
  <c r="H33" i="1"/>
  <c r="J33" i="1" s="1"/>
  <c r="N33" i="1" s="1"/>
  <c r="P7" i="5" a="1"/>
  <c r="F4" i="6" a="1"/>
  <c r="G17" i="8" a="1"/>
  <c r="E5" i="6" a="1"/>
  <c r="F5" i="6" a="1"/>
  <c r="F17" i="8" a="1"/>
  <c r="K43" i="9" a="1"/>
  <c r="H43" i="9" a="1"/>
  <c r="E4" i="6" a="1"/>
  <c r="H43" i="9" l="1"/>
  <c r="K43" i="9"/>
  <c r="J45" i="5"/>
  <c r="K44" i="5"/>
  <c r="L44" i="5" s="1"/>
  <c r="M44" i="5" s="1"/>
  <c r="Q44" i="5" s="1"/>
  <c r="I5" i="10" a="1"/>
  <c r="L37" i="10"/>
  <c r="L35" i="10"/>
  <c r="D44" i="9"/>
  <c r="E44" i="9" s="1"/>
  <c r="F44" i="9" s="1"/>
  <c r="C45" i="9"/>
  <c r="P7" i="5"/>
  <c r="E5" i="6"/>
  <c r="F5" i="6"/>
  <c r="F4" i="6"/>
  <c r="E4" i="6"/>
  <c r="N9" i="5"/>
  <c r="O8" i="5"/>
  <c r="G17" i="8"/>
  <c r="F17" i="8"/>
  <c r="A19" i="8"/>
  <c r="B18" i="8"/>
  <c r="K12" i="5"/>
  <c r="L12" i="5" s="1"/>
  <c r="M12" i="5" s="1"/>
  <c r="Q12" i="5" s="1"/>
  <c r="D36" i="1"/>
  <c r="E35" i="1"/>
  <c r="G35" i="1" s="1"/>
  <c r="I34" i="1"/>
  <c r="H34" i="1"/>
  <c r="J34" i="1" s="1"/>
  <c r="N34" i="1" s="1"/>
  <c r="G18" i="8" a="1"/>
  <c r="F18" i="8" a="1"/>
  <c r="P8" i="5" a="1"/>
  <c r="H44" i="9" a="1"/>
  <c r="K44" i="9" a="1"/>
  <c r="H44" i="9" l="1"/>
  <c r="K44" i="9"/>
  <c r="A76" i="13"/>
  <c r="A137" i="15"/>
  <c r="D45" i="9"/>
  <c r="E45" i="9" s="1"/>
  <c r="F45" i="9" s="1"/>
  <c r="C46" i="9"/>
  <c r="I12" i="10"/>
  <c r="J12" i="10" s="1"/>
  <c r="I19" i="10"/>
  <c r="J19" i="10" s="1"/>
  <c r="I15" i="10"/>
  <c r="J15" i="10" s="1"/>
  <c r="I23" i="10"/>
  <c r="J23" i="10" s="1"/>
  <c r="I17" i="10"/>
  <c r="J17" i="10" s="1"/>
  <c r="I13" i="10"/>
  <c r="J13" i="10" s="1"/>
  <c r="I7" i="10"/>
  <c r="J7" i="10" s="1"/>
  <c r="I18" i="10"/>
  <c r="J18" i="10" s="1"/>
  <c r="I16" i="10"/>
  <c r="J16" i="10" s="1"/>
  <c r="I6" i="10"/>
  <c r="J6" i="10" s="1"/>
  <c r="I8" i="10"/>
  <c r="J8" i="10" s="1"/>
  <c r="I11" i="10"/>
  <c r="J11" i="10" s="1"/>
  <c r="I22" i="10"/>
  <c r="J22" i="10" s="1"/>
  <c r="I14" i="10"/>
  <c r="J14" i="10" s="1"/>
  <c r="I10" i="10"/>
  <c r="J10" i="10" s="1"/>
  <c r="I9" i="10"/>
  <c r="J9" i="10" s="1"/>
  <c r="I20" i="10"/>
  <c r="J20" i="10" s="1"/>
  <c r="I5" i="10"/>
  <c r="J5" i="10" s="1"/>
  <c r="L38" i="10" s="1"/>
  <c r="L39" i="10" s="1"/>
  <c r="I21" i="10"/>
  <c r="J21" i="10" s="1"/>
  <c r="J46" i="5"/>
  <c r="K45" i="5"/>
  <c r="L45" i="5" s="1"/>
  <c r="M45" i="5" s="1"/>
  <c r="Q45" i="5" s="1"/>
  <c r="R7" i="5"/>
  <c r="P8" i="5"/>
  <c r="R8" i="5" s="1"/>
  <c r="A6" i="6"/>
  <c r="B6" i="6" s="1"/>
  <c r="A46" i="1"/>
  <c r="O9" i="5"/>
  <c r="N10" i="5"/>
  <c r="G18" i="8"/>
  <c r="F18" i="8"/>
  <c r="B19" i="8"/>
  <c r="A20" i="8"/>
  <c r="K13" i="5"/>
  <c r="L13" i="5" s="1"/>
  <c r="M13" i="5" s="1"/>
  <c r="Q13" i="5" s="1"/>
  <c r="E36" i="1"/>
  <c r="G36" i="1" s="1"/>
  <c r="D37" i="1"/>
  <c r="H35" i="1"/>
  <c r="J35" i="1" s="1"/>
  <c r="N35" i="1" s="1"/>
  <c r="I35" i="1"/>
  <c r="F19" i="8" a="1"/>
  <c r="F6" i="6" a="1"/>
  <c r="K45" i="9" a="1"/>
  <c r="P9" i="5" a="1"/>
  <c r="E6" i="6" a="1"/>
  <c r="G19" i="8" a="1"/>
  <c r="H45" i="9" a="1"/>
  <c r="H45" i="9" l="1"/>
  <c r="K45" i="9"/>
  <c r="C47" i="9"/>
  <c r="D46" i="9"/>
  <c r="E46" i="9" s="1"/>
  <c r="F46" i="9" s="1"/>
  <c r="A78" i="13"/>
  <c r="A77" i="13"/>
  <c r="A139" i="15"/>
  <c r="A138" i="15"/>
  <c r="M34" i="10"/>
  <c r="M33" i="10"/>
  <c r="N33" i="10" s="1"/>
  <c r="M32" i="10"/>
  <c r="N32" i="10" s="1"/>
  <c r="J47" i="5"/>
  <c r="K46" i="5"/>
  <c r="L46" i="5" s="1"/>
  <c r="M46" i="5" s="1"/>
  <c r="Q46" i="5" s="1"/>
  <c r="G9" i="9"/>
  <c r="J9" i="9" s="1"/>
  <c r="L9" i="9" s="1"/>
  <c r="U7" i="5"/>
  <c r="U8" i="5"/>
  <c r="G10" i="9"/>
  <c r="I10" i="9" s="1"/>
  <c r="D47" i="1"/>
  <c r="E72" i="1" s="1"/>
  <c r="D72" i="1"/>
  <c r="F72" i="1" s="1"/>
  <c r="P9" i="5"/>
  <c r="R9" i="5" s="1"/>
  <c r="E6" i="6"/>
  <c r="F6" i="6"/>
  <c r="A7" i="6"/>
  <c r="B7" i="6" s="1"/>
  <c r="A48" i="1"/>
  <c r="A47" i="1"/>
  <c r="N11" i="5"/>
  <c r="O10" i="5"/>
  <c r="G19" i="8"/>
  <c r="F19" i="8"/>
  <c r="A21" i="8"/>
  <c r="B20" i="8"/>
  <c r="C4" i="6"/>
  <c r="K14" i="5"/>
  <c r="L14" i="5" s="1"/>
  <c r="M14" i="5" s="1"/>
  <c r="Q14" i="5" s="1"/>
  <c r="D38" i="1"/>
  <c r="E37" i="1"/>
  <c r="G37" i="1" s="1"/>
  <c r="H36" i="1"/>
  <c r="J36" i="1" s="1"/>
  <c r="I36" i="1"/>
  <c r="G20" i="8" a="1"/>
  <c r="F7" i="6" a="1"/>
  <c r="P10" i="5" a="1"/>
  <c r="H46" i="9" a="1"/>
  <c r="E7" i="6" a="1"/>
  <c r="K46" i="9" a="1"/>
  <c r="F20" i="8" a="1"/>
  <c r="H46" i="9" l="1"/>
  <c r="K46" i="9"/>
  <c r="M35" i="10"/>
  <c r="N35" i="10" s="1"/>
  <c r="N34" i="10"/>
  <c r="A80" i="13"/>
  <c r="A79" i="13"/>
  <c r="I9" i="9"/>
  <c r="J48" i="5"/>
  <c r="K47" i="5"/>
  <c r="L47" i="5" s="1"/>
  <c r="M47" i="5" s="1"/>
  <c r="Q47" i="5" s="1"/>
  <c r="D47" i="9"/>
  <c r="E47" i="9" s="1"/>
  <c r="F47" i="9" s="1"/>
  <c r="C48" i="9"/>
  <c r="G11" i="9"/>
  <c r="I11" i="9" s="1"/>
  <c r="A141" i="15"/>
  <c r="A140" i="15"/>
  <c r="J10" i="9"/>
  <c r="L10" i="9" s="1"/>
  <c r="D82" i="1"/>
  <c r="D92" i="1" s="1"/>
  <c r="D112" i="1" s="1"/>
  <c r="D73" i="1"/>
  <c r="A62" i="1"/>
  <c r="B62" i="1" s="1"/>
  <c r="B46" i="1"/>
  <c r="J72" i="1"/>
  <c r="F82" i="1"/>
  <c r="F92" i="1" s="1"/>
  <c r="E82" i="1"/>
  <c r="E92" i="1" s="1"/>
  <c r="N12" i="5"/>
  <c r="Q11" i="5"/>
  <c r="E7" i="6"/>
  <c r="F7" i="6"/>
  <c r="P10" i="5"/>
  <c r="R10" i="5" s="1"/>
  <c r="A8" i="6"/>
  <c r="B8" i="6" s="1"/>
  <c r="A50" i="1"/>
  <c r="A49" i="1"/>
  <c r="O11" i="5"/>
  <c r="G20" i="8"/>
  <c r="F20" i="8"/>
  <c r="A22" i="8"/>
  <c r="B21" i="8"/>
  <c r="D4" i="6"/>
  <c r="G4" i="6"/>
  <c r="K15" i="5"/>
  <c r="L15" i="5" s="1"/>
  <c r="M15" i="5" s="1"/>
  <c r="Q15" i="5" s="1"/>
  <c r="D39" i="1"/>
  <c r="E38" i="1"/>
  <c r="G38" i="1" s="1"/>
  <c r="H37" i="1"/>
  <c r="I37" i="1"/>
  <c r="F21" i="8" a="1"/>
  <c r="F8" i="6" a="1"/>
  <c r="C62" i="1" a="1"/>
  <c r="H47" i="9" a="1"/>
  <c r="K47" i="9" a="1"/>
  <c r="E8" i="6" a="1"/>
  <c r="G21" i="8" a="1"/>
  <c r="P11" i="5" a="1"/>
  <c r="H47" i="9" l="1"/>
  <c r="K47" i="9"/>
  <c r="J49" i="5"/>
  <c r="K48" i="5"/>
  <c r="L48" i="5" s="1"/>
  <c r="M48" i="5" s="1"/>
  <c r="Q48" i="5" s="1"/>
  <c r="A82" i="13"/>
  <c r="A81" i="13"/>
  <c r="C49" i="9"/>
  <c r="D48" i="9"/>
  <c r="E48" i="9" s="1"/>
  <c r="F48" i="9" s="1"/>
  <c r="G12" i="9"/>
  <c r="I12" i="9" s="1"/>
  <c r="S10" i="5"/>
  <c r="A147" i="15"/>
  <c r="A145" i="15"/>
  <c r="A143" i="15"/>
  <c r="A142" i="15"/>
  <c r="J11" i="9"/>
  <c r="L11" i="9" s="1"/>
  <c r="D102" i="1"/>
  <c r="A9" i="6"/>
  <c r="B9" i="6" s="1"/>
  <c r="J37" i="1"/>
  <c r="D49" i="1"/>
  <c r="D74" i="1"/>
  <c r="F112" i="1"/>
  <c r="F102" i="1"/>
  <c r="E112" i="1"/>
  <c r="E102" i="1"/>
  <c r="C62" i="1"/>
  <c r="H82" i="1" s="1"/>
  <c r="O12" i="5"/>
  <c r="N13" i="5"/>
  <c r="F73" i="1"/>
  <c r="D83" i="1"/>
  <c r="D93" i="1" s="1"/>
  <c r="L72" i="1"/>
  <c r="AA72" i="1" s="1"/>
  <c r="J82" i="1"/>
  <c r="G72" i="1"/>
  <c r="C33" i="12"/>
  <c r="A51" i="1"/>
  <c r="A52" i="1"/>
  <c r="P11" i="5"/>
  <c r="R11" i="5" s="1"/>
  <c r="E8" i="6"/>
  <c r="F8" i="6"/>
  <c r="B48" i="1"/>
  <c r="B47" i="1"/>
  <c r="C47" i="1" s="1"/>
  <c r="E47" i="1" s="1"/>
  <c r="G21" i="8"/>
  <c r="F21" i="8"/>
  <c r="A23" i="8"/>
  <c r="B22" i="8"/>
  <c r="C5" i="6"/>
  <c r="K16" i="5"/>
  <c r="L16" i="5" s="1"/>
  <c r="M16" i="5" s="1"/>
  <c r="Q16" i="5" s="1"/>
  <c r="D40" i="1"/>
  <c r="E39" i="1"/>
  <c r="G39" i="1" s="1"/>
  <c r="H38" i="1"/>
  <c r="J38" i="1" s="1"/>
  <c r="I38" i="1"/>
  <c r="H48" i="9" a="1"/>
  <c r="F22" i="8" a="1"/>
  <c r="F9" i="6" a="1"/>
  <c r="E9" i="6" a="1"/>
  <c r="P12" i="5" a="1"/>
  <c r="K48" i="9" a="1"/>
  <c r="G22" i="8" a="1"/>
  <c r="S11" i="5" l="1"/>
  <c r="H48" i="9"/>
  <c r="K48" i="9"/>
  <c r="D49" i="9"/>
  <c r="E49" i="9" s="1"/>
  <c r="F49" i="9" s="1"/>
  <c r="C50" i="9"/>
  <c r="A83" i="13"/>
  <c r="A54" i="1"/>
  <c r="A84" i="13"/>
  <c r="K49" i="5"/>
  <c r="L49" i="5" s="1"/>
  <c r="M49" i="5" s="1"/>
  <c r="Q49" i="5" s="1"/>
  <c r="J50" i="5"/>
  <c r="G13" i="9"/>
  <c r="A149" i="15"/>
  <c r="A148" i="15"/>
  <c r="A146" i="15"/>
  <c r="A144" i="15"/>
  <c r="A151" i="15"/>
  <c r="J12" i="9"/>
  <c r="L12" i="9" s="1"/>
  <c r="E9" i="6"/>
  <c r="F9" i="6"/>
  <c r="D51" i="1"/>
  <c r="H72" i="1"/>
  <c r="I72" i="1" s="1"/>
  <c r="D75" i="1"/>
  <c r="A63" i="1"/>
  <c r="B63" i="1" s="1"/>
  <c r="E73" i="1"/>
  <c r="E83" i="1" s="1"/>
  <c r="E93" i="1" s="1"/>
  <c r="E113" i="1" s="1"/>
  <c r="A53" i="1"/>
  <c r="A10" i="6"/>
  <c r="B10" i="6" s="1"/>
  <c r="D113" i="1"/>
  <c r="D103" i="1"/>
  <c r="O13" i="5"/>
  <c r="T72" i="1"/>
  <c r="M72" i="1"/>
  <c r="N14" i="5"/>
  <c r="AC82" i="1"/>
  <c r="P12" i="5"/>
  <c r="F74" i="1"/>
  <c r="D84" i="1"/>
  <c r="D94" i="1" s="1"/>
  <c r="D33" i="12"/>
  <c r="G82" i="1"/>
  <c r="G92" i="1" s="1"/>
  <c r="G102" i="1" s="1"/>
  <c r="L82" i="1"/>
  <c r="M92" i="1"/>
  <c r="J73" i="1"/>
  <c r="F83" i="1"/>
  <c r="F93" i="1" s="1"/>
  <c r="U11" i="5"/>
  <c r="T11" i="5"/>
  <c r="B49" i="1"/>
  <c r="C6" i="6"/>
  <c r="D6" i="6" s="1"/>
  <c r="U9" i="5"/>
  <c r="G22" i="8"/>
  <c r="F22" i="8"/>
  <c r="A24" i="8"/>
  <c r="B23" i="8"/>
  <c r="C7" i="6"/>
  <c r="D5" i="6"/>
  <c r="G5" i="6"/>
  <c r="K17" i="5"/>
  <c r="L17" i="5" s="1"/>
  <c r="M17" i="5" s="1"/>
  <c r="Q17" i="5" s="1"/>
  <c r="E40" i="1"/>
  <c r="G40" i="1" s="1"/>
  <c r="D41" i="1"/>
  <c r="E41" i="1" s="1"/>
  <c r="G41" i="1" s="1"/>
  <c r="H39" i="1"/>
  <c r="J39" i="1" s="1"/>
  <c r="I39" i="1"/>
  <c r="K49" i="9" a="1"/>
  <c r="H49" i="9" a="1"/>
  <c r="E10" i="6" a="1"/>
  <c r="P13" i="5" a="1"/>
  <c r="G23" i="8" a="1"/>
  <c r="E33" i="12" a="1"/>
  <c r="F10" i="6" a="1"/>
  <c r="F23" i="8" a="1"/>
  <c r="C63" i="1" a="1"/>
  <c r="H49" i="9" l="1"/>
  <c r="K49" i="9"/>
  <c r="K50" i="5"/>
  <c r="L50" i="5" s="1"/>
  <c r="M50" i="5" s="1"/>
  <c r="Q50" i="5" s="1"/>
  <c r="J51" i="5"/>
  <c r="A56" i="1"/>
  <c r="A55" i="1"/>
  <c r="A86" i="13"/>
  <c r="A85" i="13"/>
  <c r="D50" i="9"/>
  <c r="E50" i="9" s="1"/>
  <c r="F50" i="9" s="1"/>
  <c r="C51" i="9"/>
  <c r="I13" i="9"/>
  <c r="J13" i="9"/>
  <c r="L13" i="9" s="1"/>
  <c r="A11" i="6"/>
  <c r="B11" i="6" s="1"/>
  <c r="A155" i="15"/>
  <c r="A153" i="15"/>
  <c r="A152" i="15"/>
  <c r="A150" i="15"/>
  <c r="AC72" i="1"/>
  <c r="H102" i="1"/>
  <c r="H112" i="1" s="1"/>
  <c r="H92" i="1"/>
  <c r="C34" i="12"/>
  <c r="D53" i="1"/>
  <c r="G73" i="1"/>
  <c r="G83" i="1" s="1"/>
  <c r="W83" i="1" s="1"/>
  <c r="E103" i="1"/>
  <c r="D77" i="1"/>
  <c r="D87" i="1" s="1"/>
  <c r="D97" i="1" s="1"/>
  <c r="D76" i="1"/>
  <c r="C63" i="1"/>
  <c r="H83" i="1" s="1"/>
  <c r="AC83" i="1" s="1"/>
  <c r="A64" i="1"/>
  <c r="B64" i="1" s="1"/>
  <c r="E74" i="1"/>
  <c r="E84" i="1" s="1"/>
  <c r="E94" i="1" s="1"/>
  <c r="E104" i="1" s="1"/>
  <c r="M102" i="1"/>
  <c r="E10" i="6"/>
  <c r="F10" i="6"/>
  <c r="F113" i="1"/>
  <c r="F103" i="1"/>
  <c r="D114" i="1"/>
  <c r="D104" i="1"/>
  <c r="O14" i="5"/>
  <c r="N15" i="5"/>
  <c r="P13" i="5"/>
  <c r="R12" i="5"/>
  <c r="M82" i="1"/>
  <c r="AA82" i="1"/>
  <c r="AB72" i="1"/>
  <c r="F9" i="1" s="1"/>
  <c r="F10" i="1" s="1"/>
  <c r="E33" i="12"/>
  <c r="F33" i="12" s="1"/>
  <c r="G112" i="1"/>
  <c r="M112" i="1"/>
  <c r="O112" i="1" s="1"/>
  <c r="O92" i="1"/>
  <c r="T82" i="1"/>
  <c r="J83" i="1"/>
  <c r="L73" i="1"/>
  <c r="M73" i="1" s="1"/>
  <c r="F75" i="1"/>
  <c r="D85" i="1"/>
  <c r="D95" i="1" s="1"/>
  <c r="J74" i="1"/>
  <c r="F84" i="1"/>
  <c r="F94" i="1" s="1"/>
  <c r="I82" i="1"/>
  <c r="I92" i="1" s="1"/>
  <c r="K92" i="1" s="1"/>
  <c r="L92" i="1" s="1"/>
  <c r="G6" i="6"/>
  <c r="U10" i="5"/>
  <c r="C49" i="1"/>
  <c r="E49" i="1" s="1"/>
  <c r="G23" i="8"/>
  <c r="F23" i="8"/>
  <c r="A25" i="8"/>
  <c r="B24" i="8"/>
  <c r="D7" i="6"/>
  <c r="G7" i="6"/>
  <c r="K18" i="5"/>
  <c r="L18" i="5" s="1"/>
  <c r="M18" i="5" s="1"/>
  <c r="Q18" i="5" s="1"/>
  <c r="I41" i="1"/>
  <c r="H41" i="1"/>
  <c r="J41" i="1" s="1"/>
  <c r="I40" i="1"/>
  <c r="H40" i="1"/>
  <c r="J40" i="1" s="1"/>
  <c r="H50" i="9" a="1"/>
  <c r="E11" i="6" a="1"/>
  <c r="G24" i="8" a="1"/>
  <c r="F11" i="6" a="1"/>
  <c r="P14" i="5" a="1"/>
  <c r="F24" i="8" a="1"/>
  <c r="C64" i="1" a="1"/>
  <c r="H50" i="9" l="1"/>
  <c r="C52" i="9"/>
  <c r="D51" i="9"/>
  <c r="E51" i="9" s="1"/>
  <c r="F51" i="9" s="1"/>
  <c r="W92" i="1"/>
  <c r="AD92" i="1"/>
  <c r="AD112" i="1"/>
  <c r="W112" i="1"/>
  <c r="A57" i="1"/>
  <c r="A88" i="13"/>
  <c r="A87" i="13"/>
  <c r="K51" i="5"/>
  <c r="L51" i="5" s="1"/>
  <c r="M51" i="5" s="1"/>
  <c r="Q51" i="5" s="1"/>
  <c r="J52" i="5"/>
  <c r="G14" i="9"/>
  <c r="I14" i="9" s="1"/>
  <c r="U12" i="5"/>
  <c r="P14" i="5"/>
  <c r="E11" i="6"/>
  <c r="F11" i="6"/>
  <c r="A12" i="6"/>
  <c r="B12" i="6" s="1"/>
  <c r="A157" i="15"/>
  <c r="A156" i="15"/>
  <c r="A154" i="15"/>
  <c r="A159" i="15"/>
  <c r="AF92" i="1"/>
  <c r="O15" i="5"/>
  <c r="D34" i="12"/>
  <c r="P73" i="1"/>
  <c r="W73" i="1"/>
  <c r="E114" i="1"/>
  <c r="C35" i="12"/>
  <c r="G74" i="1"/>
  <c r="G84" i="1" s="1"/>
  <c r="W84" i="1" s="1"/>
  <c r="D55" i="1"/>
  <c r="D57" i="1" s="1"/>
  <c r="K83" i="1"/>
  <c r="X83" i="1" s="1"/>
  <c r="C64" i="1"/>
  <c r="H84" i="1" s="1"/>
  <c r="AC84" i="1" s="1"/>
  <c r="A65" i="1"/>
  <c r="B65" i="1" s="1"/>
  <c r="E75" i="1"/>
  <c r="E85" i="1" s="1"/>
  <c r="E95" i="1" s="1"/>
  <c r="E105" i="1" s="1"/>
  <c r="N16" i="5"/>
  <c r="O102" i="1"/>
  <c r="D117" i="1"/>
  <c r="D107" i="1"/>
  <c r="F114" i="1"/>
  <c r="F104" i="1"/>
  <c r="B52" i="1"/>
  <c r="D115" i="1"/>
  <c r="D105" i="1"/>
  <c r="I112" i="1"/>
  <c r="I102" i="1"/>
  <c r="K102" i="1" s="1"/>
  <c r="L102" i="1" s="1"/>
  <c r="T12" i="5"/>
  <c r="W74" i="1"/>
  <c r="G93" i="1"/>
  <c r="G113" i="1" s="1"/>
  <c r="Z113" i="1" s="1"/>
  <c r="P83" i="1"/>
  <c r="P92" i="1"/>
  <c r="AD72" i="1"/>
  <c r="P112" i="1"/>
  <c r="AB82" i="1"/>
  <c r="I9" i="1" s="1"/>
  <c r="I10" i="1" s="1"/>
  <c r="AE72" i="1"/>
  <c r="J75" i="1"/>
  <c r="F85" i="1"/>
  <c r="F95" i="1" s="1"/>
  <c r="J84" i="1"/>
  <c r="L74" i="1"/>
  <c r="M74" i="1" s="1"/>
  <c r="L83" i="1"/>
  <c r="M83" i="1" s="1"/>
  <c r="M93" i="1"/>
  <c r="M103" i="1" s="1"/>
  <c r="O103" i="1" s="1"/>
  <c r="P103" i="1" s="1"/>
  <c r="F76" i="1"/>
  <c r="D86" i="1"/>
  <c r="D96" i="1" s="1"/>
  <c r="D106" i="1" s="1"/>
  <c r="F77" i="1"/>
  <c r="H73" i="1"/>
  <c r="H103" i="1" s="1"/>
  <c r="H113" i="1" s="1"/>
  <c r="G24" i="8"/>
  <c r="F24" i="8"/>
  <c r="B25" i="8"/>
  <c r="A26" i="8"/>
  <c r="K19" i="5"/>
  <c r="L19" i="5" s="1"/>
  <c r="M19" i="5" s="1"/>
  <c r="Q19" i="5" s="1"/>
  <c r="F12" i="6" a="1"/>
  <c r="K50" i="9" a="1"/>
  <c r="K51" i="9" a="1"/>
  <c r="H51" i="9" a="1"/>
  <c r="G25" i="8" a="1"/>
  <c r="E34" i="12" a="1"/>
  <c r="F25" i="8" a="1"/>
  <c r="P15" i="5" a="1"/>
  <c r="C65" i="1" a="1"/>
  <c r="E12" i="6" a="1"/>
  <c r="H51" i="9" l="1"/>
  <c r="K50" i="9"/>
  <c r="K51" i="9"/>
  <c r="AD102" i="1"/>
  <c r="W102" i="1"/>
  <c r="A90" i="13"/>
  <c r="A89" i="13"/>
  <c r="N17" i="5"/>
  <c r="K52" i="5"/>
  <c r="L52" i="5" s="1"/>
  <c r="M52" i="5" s="1"/>
  <c r="Q52" i="5" s="1"/>
  <c r="J53" i="5"/>
  <c r="D52" i="9"/>
  <c r="E52" i="9" s="1"/>
  <c r="F52" i="9" s="1"/>
  <c r="C53" i="9"/>
  <c r="E12" i="6"/>
  <c r="F12" i="6"/>
  <c r="A13" i="6"/>
  <c r="B13" i="6" s="1"/>
  <c r="A163" i="15"/>
  <c r="A161" i="15"/>
  <c r="A160" i="15"/>
  <c r="A158" i="15"/>
  <c r="J14" i="9"/>
  <c r="L14" i="9" s="1"/>
  <c r="O16" i="5"/>
  <c r="AF102" i="1"/>
  <c r="P15" i="5"/>
  <c r="E34" i="12"/>
  <c r="F34" i="12" s="1"/>
  <c r="AE73" i="1" s="1"/>
  <c r="AE83" i="1" s="1"/>
  <c r="D35" i="12"/>
  <c r="P74" i="1"/>
  <c r="E115" i="1"/>
  <c r="C36" i="12"/>
  <c r="Q83" i="1"/>
  <c r="R83" i="1" s="1"/>
  <c r="G75" i="1"/>
  <c r="G85" i="1" s="1"/>
  <c r="W85" i="1" s="1"/>
  <c r="C65" i="1"/>
  <c r="H85" i="1" s="1"/>
  <c r="AC85" i="1" s="1"/>
  <c r="A66" i="1"/>
  <c r="B66" i="1" s="1"/>
  <c r="E76" i="1"/>
  <c r="P102" i="1"/>
  <c r="S93" i="1"/>
  <c r="Z93" i="1"/>
  <c r="G103" i="1"/>
  <c r="F115" i="1"/>
  <c r="F105" i="1"/>
  <c r="P84" i="1"/>
  <c r="G94" i="1"/>
  <c r="S94" i="1" s="1"/>
  <c r="AD82" i="1"/>
  <c r="AE82" i="1"/>
  <c r="AI72" i="1"/>
  <c r="AJ72" i="1" s="1"/>
  <c r="K73" i="1"/>
  <c r="H93" i="1"/>
  <c r="AE92" i="1"/>
  <c r="L9" i="1" s="1"/>
  <c r="W75" i="1"/>
  <c r="AG72" i="1"/>
  <c r="AH72" i="1" s="1"/>
  <c r="Y83" i="1"/>
  <c r="Z83" i="1"/>
  <c r="S113" i="1"/>
  <c r="AC73" i="1"/>
  <c r="J85" i="1"/>
  <c r="L75" i="1"/>
  <c r="M75" i="1" s="1"/>
  <c r="M113" i="1"/>
  <c r="O93" i="1"/>
  <c r="P93" i="1" s="1"/>
  <c r="D116" i="1"/>
  <c r="J76" i="1"/>
  <c r="F86" i="1"/>
  <c r="F96" i="1" s="1"/>
  <c r="J77" i="1"/>
  <c r="J87" i="1" s="1"/>
  <c r="F87" i="1"/>
  <c r="F97" i="1" s="1"/>
  <c r="M94" i="1"/>
  <c r="M104" i="1" s="1"/>
  <c r="O104" i="1" s="1"/>
  <c r="P104" i="1" s="1"/>
  <c r="L84" i="1"/>
  <c r="M84" i="1" s="1"/>
  <c r="K84" i="1"/>
  <c r="X84" i="1" s="1"/>
  <c r="I73" i="1"/>
  <c r="I83" i="1" s="1"/>
  <c r="I93" i="1" s="1"/>
  <c r="K93" i="1" s="1"/>
  <c r="L93" i="1" s="1"/>
  <c r="S12" i="5"/>
  <c r="R13" i="5" s="1"/>
  <c r="G15" i="9" s="1"/>
  <c r="I15" i="9" s="1"/>
  <c r="B50" i="1"/>
  <c r="C8" i="6"/>
  <c r="G25" i="8"/>
  <c r="F25" i="8"/>
  <c r="B26" i="8"/>
  <c r="A27" i="8"/>
  <c r="K20" i="5"/>
  <c r="L20" i="5" s="1"/>
  <c r="E36" i="12" a="1"/>
  <c r="E35" i="12" a="1"/>
  <c r="H52" i="9" a="1"/>
  <c r="F13" i="6" a="1"/>
  <c r="E13" i="6" a="1"/>
  <c r="C66" i="1" a="1"/>
  <c r="K52" i="9" a="1"/>
  <c r="P16" i="5" a="1"/>
  <c r="G26" i="8" a="1"/>
  <c r="F26" i="8" a="1"/>
  <c r="H52" i="9" l="1"/>
  <c r="K52" i="9"/>
  <c r="J54" i="5"/>
  <c r="K53" i="5"/>
  <c r="L53" i="5" s="1"/>
  <c r="M53" i="5" s="1"/>
  <c r="Q53" i="5" s="1"/>
  <c r="A91" i="13"/>
  <c r="A92" i="13"/>
  <c r="D36" i="12"/>
  <c r="P75" i="1"/>
  <c r="C54" i="9"/>
  <c r="D53" i="9"/>
  <c r="E53" i="9" s="1"/>
  <c r="F53" i="9" s="1"/>
  <c r="B54" i="1"/>
  <c r="F13" i="6"/>
  <c r="E13" i="6"/>
  <c r="A14" i="6"/>
  <c r="B14" i="6" s="1"/>
  <c r="A164" i="15"/>
  <c r="A162" i="15"/>
  <c r="O17" i="5"/>
  <c r="N18" i="5"/>
  <c r="P16" i="5"/>
  <c r="AF93" i="1"/>
  <c r="N93" i="1"/>
  <c r="E35" i="12"/>
  <c r="F35" i="12" s="1"/>
  <c r="AE74" i="1" s="1"/>
  <c r="AE84" i="1" s="1"/>
  <c r="AI84" i="1" s="1"/>
  <c r="AJ84" i="1" s="1"/>
  <c r="T156" i="13"/>
  <c r="R155" i="13"/>
  <c r="S83" i="1"/>
  <c r="T83" i="1" s="1"/>
  <c r="C66" i="1"/>
  <c r="H86" i="1" s="1"/>
  <c r="AC86" i="1" s="1"/>
  <c r="E86" i="1"/>
  <c r="E96" i="1" s="1"/>
  <c r="G76" i="1"/>
  <c r="C37" i="12"/>
  <c r="A67" i="1"/>
  <c r="B67" i="1" s="1"/>
  <c r="E77" i="1"/>
  <c r="E87" i="1" s="1"/>
  <c r="E97" i="1" s="1"/>
  <c r="E117" i="1" s="1"/>
  <c r="AE102" i="1"/>
  <c r="O9" i="1" s="1"/>
  <c r="G114" i="1"/>
  <c r="S114" i="1" s="1"/>
  <c r="F117" i="1"/>
  <c r="F107" i="1"/>
  <c r="F116" i="1"/>
  <c r="F106" i="1"/>
  <c r="AI82" i="1"/>
  <c r="AJ82" i="1" s="1"/>
  <c r="AH92" i="1"/>
  <c r="AH102" i="1" s="1"/>
  <c r="I113" i="1"/>
  <c r="I103" i="1"/>
  <c r="K103" i="1" s="1"/>
  <c r="L103" i="1" s="1"/>
  <c r="Z94" i="1"/>
  <c r="G104" i="1"/>
  <c r="Z103" i="1"/>
  <c r="S103" i="1"/>
  <c r="AG82" i="1"/>
  <c r="AH82" i="1" s="1"/>
  <c r="L10" i="1"/>
  <c r="AI83" i="1"/>
  <c r="AJ83" i="1" s="1"/>
  <c r="AA83" i="1"/>
  <c r="AG92" i="1"/>
  <c r="P85" i="1"/>
  <c r="Q73" i="1"/>
  <c r="X73" i="1"/>
  <c r="AI73" i="1"/>
  <c r="AJ73" i="1" s="1"/>
  <c r="G95" i="1"/>
  <c r="Z84" i="1"/>
  <c r="Y84" i="1"/>
  <c r="AH93" i="1"/>
  <c r="E36" i="12"/>
  <c r="F36" i="12" s="1"/>
  <c r="L77" i="1"/>
  <c r="M77" i="1" s="1"/>
  <c r="R116" i="13"/>
  <c r="P135" i="13"/>
  <c r="P154" i="13" s="1"/>
  <c r="R154" i="13" s="1"/>
  <c r="J86" i="1"/>
  <c r="L76" i="1"/>
  <c r="M76" i="1" s="1"/>
  <c r="M114" i="1"/>
  <c r="O94" i="1"/>
  <c r="P94" i="1" s="1"/>
  <c r="L85" i="1"/>
  <c r="M85" i="1" s="1"/>
  <c r="M95" i="1"/>
  <c r="M105" i="1" s="1"/>
  <c r="O105" i="1" s="1"/>
  <c r="P105" i="1" s="1"/>
  <c r="Q84" i="1"/>
  <c r="O113" i="1"/>
  <c r="P113" i="1" s="1"/>
  <c r="L87" i="1"/>
  <c r="M87" i="1" s="1"/>
  <c r="M97" i="1"/>
  <c r="M107" i="1" s="1"/>
  <c r="O107" i="1" s="1"/>
  <c r="P107" i="1" s="1"/>
  <c r="K85" i="1"/>
  <c r="M20" i="5"/>
  <c r="Q20" i="5" s="1"/>
  <c r="M21" i="5"/>
  <c r="Q21" i="5" s="1"/>
  <c r="D8" i="6"/>
  <c r="G8" i="6"/>
  <c r="B51" i="1"/>
  <c r="C51" i="1" s="1"/>
  <c r="E51" i="1" s="1"/>
  <c r="C9" i="6"/>
  <c r="G26" i="8"/>
  <c r="F26" i="8"/>
  <c r="B27" i="8"/>
  <c r="A28" i="8"/>
  <c r="P17" i="5" a="1"/>
  <c r="K53" i="9" a="1"/>
  <c r="E14" i="6" a="1"/>
  <c r="C67" i="1" a="1"/>
  <c r="F27" i="8" a="1"/>
  <c r="E15" i="6" a="1"/>
  <c r="F15" i="6" a="1"/>
  <c r="H53" i="9" a="1"/>
  <c r="G27" i="8" a="1"/>
  <c r="F14" i="6" a="1"/>
  <c r="H53" i="9" l="1"/>
  <c r="K53" i="9"/>
  <c r="C55" i="9"/>
  <c r="D54" i="9"/>
  <c r="E54" i="9" s="1"/>
  <c r="F54" i="9" s="1"/>
  <c r="A15" i="6"/>
  <c r="B15" i="6" s="1"/>
  <c r="A93" i="13"/>
  <c r="A94" i="13"/>
  <c r="J55" i="5"/>
  <c r="K54" i="5"/>
  <c r="L54" i="5" s="1"/>
  <c r="M54" i="5" s="1"/>
  <c r="Q54" i="5" s="1"/>
  <c r="N19" i="5"/>
  <c r="O18" i="5"/>
  <c r="E15" i="6"/>
  <c r="F15" i="6"/>
  <c r="P17" i="5"/>
  <c r="F14" i="6"/>
  <c r="E14" i="6"/>
  <c r="AA93" i="1"/>
  <c r="AB93" i="1" s="1"/>
  <c r="T93" i="1"/>
  <c r="U93" i="1" s="1"/>
  <c r="AF103" i="1"/>
  <c r="N103" i="1"/>
  <c r="T13" i="5"/>
  <c r="T155" i="13"/>
  <c r="T154" i="13"/>
  <c r="G77" i="1"/>
  <c r="W77" i="1" s="1"/>
  <c r="C38" i="12"/>
  <c r="C67" i="1"/>
  <c r="H87" i="1" s="1"/>
  <c r="AH112" i="1"/>
  <c r="AL112" i="1" s="1"/>
  <c r="E107" i="1"/>
  <c r="G86" i="1"/>
  <c r="W76" i="1"/>
  <c r="P76" i="1"/>
  <c r="D37" i="12"/>
  <c r="E116" i="1"/>
  <c r="E106" i="1"/>
  <c r="AG102" i="1"/>
  <c r="O10" i="1"/>
  <c r="J112" i="1"/>
  <c r="Z114" i="1"/>
  <c r="S104" i="1"/>
  <c r="Z104" i="1"/>
  <c r="AH113" i="1"/>
  <c r="AH103" i="1"/>
  <c r="AL103" i="1" s="1"/>
  <c r="AL102" i="1"/>
  <c r="AM102" i="1" s="1"/>
  <c r="AJ102" i="1"/>
  <c r="AK102" i="1" s="1"/>
  <c r="Z95" i="1"/>
  <c r="G105" i="1"/>
  <c r="AJ92" i="1"/>
  <c r="AK92" i="1" s="1"/>
  <c r="AL92" i="1"/>
  <c r="AM92" i="1" s="1"/>
  <c r="G115" i="1"/>
  <c r="Y73" i="1"/>
  <c r="Z73" i="1"/>
  <c r="X85" i="1"/>
  <c r="S95" i="1"/>
  <c r="AL93" i="1"/>
  <c r="R73" i="1"/>
  <c r="S73" i="1"/>
  <c r="AA84" i="1"/>
  <c r="AB83" i="1"/>
  <c r="AG83" i="1" s="1"/>
  <c r="AH83" i="1" s="1"/>
  <c r="T135" i="13"/>
  <c r="T136" i="13"/>
  <c r="P173" i="13"/>
  <c r="T174" i="13" s="1"/>
  <c r="AI74" i="1"/>
  <c r="AH94" i="1"/>
  <c r="R135" i="13"/>
  <c r="AE75" i="1"/>
  <c r="AE85" i="1" s="1"/>
  <c r="AH95" i="1" s="1"/>
  <c r="AH105" i="1" s="1"/>
  <c r="P117" i="13"/>
  <c r="O114" i="1"/>
  <c r="P114" i="1" s="1"/>
  <c r="R84" i="1"/>
  <c r="S84" i="1"/>
  <c r="O95" i="1"/>
  <c r="P95" i="1" s="1"/>
  <c r="M115" i="1"/>
  <c r="Q85" i="1"/>
  <c r="O97" i="1"/>
  <c r="P97" i="1" s="1"/>
  <c r="M117" i="1"/>
  <c r="M96" i="1"/>
  <c r="M106" i="1" s="1"/>
  <c r="O106" i="1" s="1"/>
  <c r="P106" i="1" s="1"/>
  <c r="L86" i="1"/>
  <c r="M86" i="1" s="1"/>
  <c r="K86" i="1"/>
  <c r="P77" i="1"/>
  <c r="H74" i="1"/>
  <c r="H104" i="1" s="1"/>
  <c r="H114" i="1" s="1"/>
  <c r="S13" i="5"/>
  <c r="B53" i="1"/>
  <c r="G9" i="6"/>
  <c r="D9" i="6"/>
  <c r="U13" i="5"/>
  <c r="C10" i="6"/>
  <c r="G27" i="8"/>
  <c r="F27" i="8"/>
  <c r="B28" i="8"/>
  <c r="A29" i="8"/>
  <c r="N20" i="5"/>
  <c r="O19" i="5"/>
  <c r="E16" i="6" a="1"/>
  <c r="K54" i="9" a="1"/>
  <c r="E37" i="12" a="1"/>
  <c r="P18" i="5" a="1"/>
  <c r="F16" i="6" a="1"/>
  <c r="F28" i="8" a="1"/>
  <c r="P19" i="5" a="1"/>
  <c r="H54" i="9" a="1"/>
  <c r="G28" i="8" a="1"/>
  <c r="E38" i="12" a="1"/>
  <c r="H54" i="9" l="1"/>
  <c r="K54" i="9"/>
  <c r="K55" i="5"/>
  <c r="L55" i="5" s="1"/>
  <c r="M55" i="5" s="1"/>
  <c r="Q55" i="5" s="1"/>
  <c r="J56" i="5"/>
  <c r="C56" i="9"/>
  <c r="D55" i="9"/>
  <c r="E55" i="9" s="1"/>
  <c r="F55" i="9" s="1"/>
  <c r="A16" i="6"/>
  <c r="B16" i="6" s="1"/>
  <c r="A96" i="13"/>
  <c r="A95" i="13"/>
  <c r="A98" i="13"/>
  <c r="A97" i="13"/>
  <c r="G87" i="1"/>
  <c r="W87" i="1" s="1"/>
  <c r="D38" i="12"/>
  <c r="R14" i="5"/>
  <c r="G16" i="9" s="1"/>
  <c r="I16" i="9" s="1"/>
  <c r="E16" i="6"/>
  <c r="F16" i="6"/>
  <c r="P18" i="5"/>
  <c r="AM103" i="1"/>
  <c r="J15" i="9"/>
  <c r="L15" i="9" s="1"/>
  <c r="AA103" i="1"/>
  <c r="T103" i="1"/>
  <c r="J117" i="1"/>
  <c r="AC87" i="1"/>
  <c r="I6" i="1"/>
  <c r="AL113" i="1"/>
  <c r="K87" i="1"/>
  <c r="X87" i="1" s="1"/>
  <c r="E37" i="12"/>
  <c r="F37" i="12" s="1"/>
  <c r="W86" i="1"/>
  <c r="X86" i="1" s="1"/>
  <c r="P86" i="1"/>
  <c r="Q86" i="1" s="1"/>
  <c r="G96" i="1"/>
  <c r="J115" i="1"/>
  <c r="J116" i="1"/>
  <c r="J114" i="1"/>
  <c r="J113" i="1"/>
  <c r="AC93" i="1"/>
  <c r="AD93" i="1" s="1"/>
  <c r="AM93" i="1"/>
  <c r="V93" i="1"/>
  <c r="W93" i="1" s="1"/>
  <c r="G97" i="1"/>
  <c r="G117" i="1" s="1"/>
  <c r="Z117" i="1" s="1"/>
  <c r="P87" i="1"/>
  <c r="AH114" i="1"/>
  <c r="AL114" i="1" s="1"/>
  <c r="AH104" i="1"/>
  <c r="AL105" i="1" s="1"/>
  <c r="Z105" i="1"/>
  <c r="S105" i="1"/>
  <c r="T73" i="1"/>
  <c r="AD83" i="1"/>
  <c r="Y85" i="1"/>
  <c r="Z85" i="1"/>
  <c r="AA73" i="1"/>
  <c r="Z115" i="1"/>
  <c r="AL94" i="1"/>
  <c r="AC74" i="1"/>
  <c r="AJ74" i="1" s="1"/>
  <c r="H94" i="1"/>
  <c r="S115" i="1"/>
  <c r="E38" i="12"/>
  <c r="F38" i="12" s="1"/>
  <c r="AL95" i="1"/>
  <c r="AI85" i="1"/>
  <c r="AJ85" i="1" s="1"/>
  <c r="AI75" i="1"/>
  <c r="T173" i="13"/>
  <c r="R173" i="13"/>
  <c r="R85" i="1"/>
  <c r="S85" i="1"/>
  <c r="O96" i="1"/>
  <c r="P96" i="1" s="1"/>
  <c r="M116" i="1"/>
  <c r="T84" i="1"/>
  <c r="AB84" i="1" s="1"/>
  <c r="O115" i="1"/>
  <c r="P115" i="1" s="1"/>
  <c r="AH115" i="1"/>
  <c r="O117" i="1"/>
  <c r="P117" i="1" s="1"/>
  <c r="I74" i="1"/>
  <c r="I84" i="1" s="1"/>
  <c r="I94" i="1" s="1"/>
  <c r="K94" i="1" s="1"/>
  <c r="L94" i="1" s="1"/>
  <c r="K74" i="1"/>
  <c r="P19" i="5"/>
  <c r="A17" i="6"/>
  <c r="B17" i="6" s="1"/>
  <c r="N21" i="5"/>
  <c r="C53" i="1"/>
  <c r="E53" i="1" s="1"/>
  <c r="D10" i="6"/>
  <c r="G10" i="6"/>
  <c r="G28" i="8"/>
  <c r="F28" i="8"/>
  <c r="A30" i="8"/>
  <c r="B29" i="8"/>
  <c r="O20" i="5"/>
  <c r="H55" i="9" a="1"/>
  <c r="F29" i="8" a="1"/>
  <c r="F18" i="6" a="1"/>
  <c r="E17" i="6" a="1"/>
  <c r="P20" i="5" a="1"/>
  <c r="E18" i="6" a="1"/>
  <c r="G29" i="8" a="1"/>
  <c r="F17" i="6" a="1"/>
  <c r="K55" i="9" a="1"/>
  <c r="H55" i="9" l="1"/>
  <c r="K55" i="9"/>
  <c r="S14" i="5"/>
  <c r="R15" i="5" s="1"/>
  <c r="G17" i="9" s="1"/>
  <c r="I17" i="9" s="1"/>
  <c r="T14" i="5"/>
  <c r="U14" i="5"/>
  <c r="B55" i="1"/>
  <c r="D56" i="9"/>
  <c r="E56" i="9" s="1"/>
  <c r="F56" i="9" s="1"/>
  <c r="C57" i="9"/>
  <c r="C11" i="6"/>
  <c r="D11" i="6" s="1"/>
  <c r="J57" i="5"/>
  <c r="K56" i="5"/>
  <c r="L56" i="5" s="1"/>
  <c r="M56" i="5" s="1"/>
  <c r="Q56" i="5" s="1"/>
  <c r="B56" i="1"/>
  <c r="A18" i="6"/>
  <c r="B18" i="6" s="1"/>
  <c r="A99" i="13"/>
  <c r="A100" i="13"/>
  <c r="B57" i="1"/>
  <c r="G11" i="6"/>
  <c r="J16" i="9"/>
  <c r="L16" i="9" s="1"/>
  <c r="AF94" i="1"/>
  <c r="AM94" i="1" s="1"/>
  <c r="N94" i="1"/>
  <c r="U103" i="1"/>
  <c r="V103" i="1"/>
  <c r="AC103" i="1"/>
  <c r="AB103" i="1"/>
  <c r="K112" i="1"/>
  <c r="L112" i="1" s="1"/>
  <c r="K113" i="1"/>
  <c r="L113" i="1" s="1"/>
  <c r="Q87" i="1"/>
  <c r="S87" i="1" s="1"/>
  <c r="AE76" i="1"/>
  <c r="AE86" i="1" s="1"/>
  <c r="AH96" i="1" s="1"/>
  <c r="AL96" i="1" s="1"/>
  <c r="H75" i="1"/>
  <c r="H105" i="1" s="1"/>
  <c r="H115" i="1" s="1"/>
  <c r="Y86" i="1"/>
  <c r="Z86" i="1"/>
  <c r="S96" i="1"/>
  <c r="G116" i="1"/>
  <c r="Z96" i="1"/>
  <c r="G106" i="1"/>
  <c r="AE93" i="1"/>
  <c r="AJ93" i="1" s="1"/>
  <c r="AK93" i="1" s="1"/>
  <c r="S97" i="1"/>
  <c r="G107" i="1"/>
  <c r="S107" i="1" s="1"/>
  <c r="Z97" i="1"/>
  <c r="AL104" i="1"/>
  <c r="I114" i="1"/>
  <c r="K114" i="1" s="1"/>
  <c r="I104" i="1"/>
  <c r="K104" i="1" s="1"/>
  <c r="L104" i="1" s="1"/>
  <c r="AB73" i="1"/>
  <c r="AG73" i="1" s="1"/>
  <c r="AH73" i="1" s="1"/>
  <c r="AA85" i="1"/>
  <c r="Q74" i="1"/>
  <c r="S74" i="1" s="1"/>
  <c r="X74" i="1"/>
  <c r="Y87" i="1"/>
  <c r="Z87" i="1"/>
  <c r="AE77" i="1"/>
  <c r="T85" i="1"/>
  <c r="S117" i="1"/>
  <c r="O116" i="1"/>
  <c r="P116" i="1" s="1"/>
  <c r="S86" i="1"/>
  <c r="R86" i="1"/>
  <c r="AL115" i="1"/>
  <c r="AD84" i="1"/>
  <c r="AG84" i="1"/>
  <c r="AH84" i="1" s="1"/>
  <c r="P20" i="5"/>
  <c r="T15" i="5"/>
  <c r="E17" i="6"/>
  <c r="F17" i="6"/>
  <c r="O21" i="5"/>
  <c r="N22" i="5"/>
  <c r="F18" i="6"/>
  <c r="E18" i="6"/>
  <c r="G29" i="8"/>
  <c r="F29" i="8"/>
  <c r="A31" i="8"/>
  <c r="B30" i="8"/>
  <c r="U15" i="5"/>
  <c r="C12" i="6"/>
  <c r="S15" i="5"/>
  <c r="H56" i="9" a="1"/>
  <c r="F19" i="6" a="1"/>
  <c r="K56" i="9" a="1"/>
  <c r="P21" i="5" a="1"/>
  <c r="G30" i="8" a="1"/>
  <c r="E19" i="6" a="1"/>
  <c r="F30" i="8" a="1"/>
  <c r="H56" i="9" l="1"/>
  <c r="K56" i="9"/>
  <c r="J58" i="5"/>
  <c r="K57" i="5"/>
  <c r="L57" i="5" s="1"/>
  <c r="M57" i="5" s="1"/>
  <c r="Q57" i="5" s="1"/>
  <c r="A19" i="6"/>
  <c r="B19" i="6" s="1"/>
  <c r="A102" i="13"/>
  <c r="A101" i="13"/>
  <c r="C58" i="9"/>
  <c r="D57" i="9"/>
  <c r="E57" i="9" s="1"/>
  <c r="F57" i="9" s="1"/>
  <c r="J17" i="9"/>
  <c r="L17" i="9" s="1"/>
  <c r="W103" i="1"/>
  <c r="AF104" i="1"/>
  <c r="AM104" i="1" s="1"/>
  <c r="N104" i="1"/>
  <c r="L114" i="1"/>
  <c r="N114" i="1" s="1"/>
  <c r="AF113" i="1"/>
  <c r="AM113" i="1" s="1"/>
  <c r="AF112" i="1"/>
  <c r="AM112" i="1" s="1"/>
  <c r="N113" i="1"/>
  <c r="AA94" i="1"/>
  <c r="T94" i="1"/>
  <c r="AD103" i="1"/>
  <c r="R87" i="1"/>
  <c r="T87" i="1" s="1"/>
  <c r="AA86" i="1"/>
  <c r="AI76" i="1"/>
  <c r="AI86" i="1"/>
  <c r="AJ86" i="1" s="1"/>
  <c r="AI77" i="1"/>
  <c r="AH106" i="1"/>
  <c r="AL106" i="1" s="1"/>
  <c r="AH116" i="1"/>
  <c r="AL116" i="1" s="1"/>
  <c r="H95" i="1"/>
  <c r="K75" i="1"/>
  <c r="X75" i="1" s="1"/>
  <c r="AC75" i="1"/>
  <c r="AJ75" i="1" s="1"/>
  <c r="I75" i="1"/>
  <c r="I85" i="1" s="1"/>
  <c r="I95" i="1" s="1"/>
  <c r="I105" i="1" s="1"/>
  <c r="K105" i="1" s="1"/>
  <c r="L105" i="1" s="1"/>
  <c r="S106" i="1"/>
  <c r="Z106" i="1"/>
  <c r="Z116" i="1"/>
  <c r="S116" i="1"/>
  <c r="Z107" i="1"/>
  <c r="AG93" i="1"/>
  <c r="AE112" i="1"/>
  <c r="AD73" i="1"/>
  <c r="R74" i="1"/>
  <c r="T74" i="1" s="1"/>
  <c r="AE87" i="1"/>
  <c r="I16" i="1" s="1"/>
  <c r="AA87" i="1"/>
  <c r="Y74" i="1"/>
  <c r="Z74" i="1"/>
  <c r="AB85" i="1"/>
  <c r="AG85" i="1" s="1"/>
  <c r="AH85" i="1" s="1"/>
  <c r="T86" i="1"/>
  <c r="P21" i="5"/>
  <c r="O22" i="5"/>
  <c r="N23" i="5"/>
  <c r="E19" i="6"/>
  <c r="F19" i="6"/>
  <c r="G30" i="8"/>
  <c r="F30" i="8"/>
  <c r="A32" i="8"/>
  <c r="B31" i="8"/>
  <c r="D12" i="6"/>
  <c r="G12" i="6"/>
  <c r="R16" i="5"/>
  <c r="G18" i="9" s="1"/>
  <c r="I18" i="9" s="1"/>
  <c r="P22" i="5" a="1"/>
  <c r="H57" i="9" a="1"/>
  <c r="G31" i="8" a="1"/>
  <c r="F31" i="8" a="1"/>
  <c r="K57" i="9" a="1"/>
  <c r="H57" i="9" l="1"/>
  <c r="AE103" i="1"/>
  <c r="AG103" i="1" s="1"/>
  <c r="K57" i="9"/>
  <c r="Q75" i="1"/>
  <c r="S75" i="1" s="1"/>
  <c r="D58" i="9"/>
  <c r="E58" i="9" s="1"/>
  <c r="F58" i="9" s="1"/>
  <c r="C59" i="9"/>
  <c r="A104" i="13"/>
  <c r="A103" i="13"/>
  <c r="B76" i="13"/>
  <c r="B78" i="13"/>
  <c r="B77" i="13"/>
  <c r="B80" i="13"/>
  <c r="B79" i="13"/>
  <c r="B81" i="13"/>
  <c r="B82" i="13"/>
  <c r="B84" i="13"/>
  <c r="B83" i="13"/>
  <c r="B85" i="13"/>
  <c r="B86" i="13"/>
  <c r="B88" i="13"/>
  <c r="B87" i="13"/>
  <c r="J59" i="5"/>
  <c r="K58" i="5"/>
  <c r="L58" i="5" s="1"/>
  <c r="M58" i="5" s="1"/>
  <c r="Q58" i="5" s="1"/>
  <c r="AB86" i="1"/>
  <c r="AD86" i="1" s="1"/>
  <c r="B89" i="13"/>
  <c r="B90" i="13"/>
  <c r="B137" i="15"/>
  <c r="B138" i="15"/>
  <c r="B139" i="15"/>
  <c r="K41" i="15"/>
  <c r="L41" i="15" s="1"/>
  <c r="N41" i="15" s="1"/>
  <c r="O41" i="15" s="1"/>
  <c r="R41" i="15" s="1"/>
  <c r="B141" i="15"/>
  <c r="K21" i="15"/>
  <c r="L21" i="15" s="1"/>
  <c r="N21" i="15" s="1"/>
  <c r="O21" i="15" s="1"/>
  <c r="R21" i="15" s="1"/>
  <c r="B140" i="15"/>
  <c r="K22" i="15"/>
  <c r="L22" i="15" s="1"/>
  <c r="N22" i="15" s="1"/>
  <c r="O22" i="15" s="1"/>
  <c r="R22" i="15" s="1"/>
  <c r="B147" i="15"/>
  <c r="B145" i="15"/>
  <c r="K42" i="15"/>
  <c r="L42" i="15" s="1"/>
  <c r="N42" i="15" s="1"/>
  <c r="O42" i="15" s="1"/>
  <c r="R42" i="15" s="1"/>
  <c r="B143" i="15"/>
  <c r="B142" i="15"/>
  <c r="B144" i="15"/>
  <c r="B151" i="15"/>
  <c r="B149" i="15"/>
  <c r="K23" i="15"/>
  <c r="L23" i="15" s="1"/>
  <c r="N23" i="15" s="1"/>
  <c r="O23" i="15" s="1"/>
  <c r="R23" i="15" s="1"/>
  <c r="K43" i="15"/>
  <c r="L43" i="15" s="1"/>
  <c r="N43" i="15" s="1"/>
  <c r="O43" i="15" s="1"/>
  <c r="R43" i="15" s="1"/>
  <c r="B148" i="15"/>
  <c r="B146" i="15"/>
  <c r="B155" i="15"/>
  <c r="B153" i="15"/>
  <c r="B152" i="15"/>
  <c r="B150" i="15"/>
  <c r="B156" i="15"/>
  <c r="B154" i="15"/>
  <c r="B159" i="15"/>
  <c r="B157" i="15"/>
  <c r="J18" i="9"/>
  <c r="L18" i="9" s="1"/>
  <c r="B163" i="15"/>
  <c r="B161" i="15"/>
  <c r="B160" i="15"/>
  <c r="B158" i="15"/>
  <c r="AA114" i="1"/>
  <c r="T114" i="1"/>
  <c r="AB87" i="1"/>
  <c r="AD87" i="1" s="1"/>
  <c r="AJ103" i="1"/>
  <c r="AK103" i="1" s="1"/>
  <c r="AF114" i="1"/>
  <c r="AM114" i="1" s="1"/>
  <c r="AF105" i="1"/>
  <c r="AM105" i="1" s="1"/>
  <c r="T104" i="1"/>
  <c r="AA104" i="1"/>
  <c r="AA113" i="1"/>
  <c r="T113" i="1"/>
  <c r="N105" i="1"/>
  <c r="I115" i="1"/>
  <c r="K115" i="1" s="1"/>
  <c r="L115" i="1" s="1"/>
  <c r="N115" i="1" s="1"/>
  <c r="K95" i="1"/>
  <c r="AG112" i="1"/>
  <c r="R9" i="1"/>
  <c r="R10" i="1" s="1"/>
  <c r="A20" i="6"/>
  <c r="B20" i="6" s="1"/>
  <c r="AJ112" i="1"/>
  <c r="AK112" i="1" s="1"/>
  <c r="AI87" i="1"/>
  <c r="AJ87" i="1" s="1"/>
  <c r="I17" i="1" s="1"/>
  <c r="AH97" i="1"/>
  <c r="AH107" i="1" s="1"/>
  <c r="AL107" i="1" s="1"/>
  <c r="AA74" i="1"/>
  <c r="AB74" i="1" s="1"/>
  <c r="U94" i="1"/>
  <c r="V94" i="1"/>
  <c r="AB94" i="1"/>
  <c r="AC94" i="1"/>
  <c r="Y75" i="1"/>
  <c r="Z75" i="1"/>
  <c r="AD85" i="1"/>
  <c r="P22" i="5"/>
  <c r="T16" i="5"/>
  <c r="O23" i="5"/>
  <c r="N24" i="5"/>
  <c r="G31" i="8"/>
  <c r="F31" i="8"/>
  <c r="A33" i="8"/>
  <c r="B32" i="8"/>
  <c r="C55" i="1"/>
  <c r="E55" i="1" s="1"/>
  <c r="U16" i="5"/>
  <c r="C13" i="6"/>
  <c r="S16" i="5"/>
  <c r="R17" i="5" s="1"/>
  <c r="H58" i="9" a="1"/>
  <c r="P23" i="5" a="1"/>
  <c r="F32" i="8" a="1"/>
  <c r="E20" i="6" a="1"/>
  <c r="E21" i="6" a="1"/>
  <c r="F21" i="6" a="1"/>
  <c r="G32" i="8" a="1"/>
  <c r="F20" i="6" a="1"/>
  <c r="K58" i="9" a="1"/>
  <c r="C83" i="13" l="1"/>
  <c r="E83" i="13" s="1"/>
  <c r="G119" i="13" s="1"/>
  <c r="H58" i="9"/>
  <c r="AG86" i="1"/>
  <c r="AH86" i="1" s="1"/>
  <c r="C146" i="15"/>
  <c r="E146" i="15" s="1"/>
  <c r="K58" i="9"/>
  <c r="R44" i="15"/>
  <c r="G7" i="15" s="1"/>
  <c r="C85" i="13"/>
  <c r="E85" i="13" s="1"/>
  <c r="G120" i="13" s="1"/>
  <c r="G139" i="13" s="1"/>
  <c r="G158" i="13" s="1"/>
  <c r="G177" i="13" s="1"/>
  <c r="C77" i="13"/>
  <c r="E77" i="13" s="1"/>
  <c r="G116" i="13" s="1"/>
  <c r="G135" i="13" s="1"/>
  <c r="G154" i="13" s="1"/>
  <c r="G173" i="13" s="1"/>
  <c r="C148" i="15"/>
  <c r="E148" i="15" s="1"/>
  <c r="K33" i="15" s="1"/>
  <c r="R75" i="1"/>
  <c r="T75" i="1" s="1"/>
  <c r="C87" i="13"/>
  <c r="E87" i="13" s="1"/>
  <c r="G121" i="13" s="1"/>
  <c r="L121" i="13" s="1"/>
  <c r="C79" i="13"/>
  <c r="E79" i="13" s="1"/>
  <c r="G117" i="13" s="1"/>
  <c r="H117" i="13" s="1"/>
  <c r="H136" i="13" s="1"/>
  <c r="C89" i="13"/>
  <c r="E89" i="13" s="1"/>
  <c r="G122" i="13" s="1"/>
  <c r="G141" i="13" s="1"/>
  <c r="G160" i="13" s="1"/>
  <c r="G179" i="13" s="1"/>
  <c r="A21" i="6"/>
  <c r="B21" i="6" s="1"/>
  <c r="A105" i="13"/>
  <c r="G138" i="13"/>
  <c r="G157" i="13" s="1"/>
  <c r="G176" i="13" s="1"/>
  <c r="H119" i="13"/>
  <c r="H138" i="13" s="1"/>
  <c r="L119" i="13"/>
  <c r="K59" i="5"/>
  <c r="L59" i="5" s="1"/>
  <c r="M59" i="5" s="1"/>
  <c r="Q59" i="5" s="1"/>
  <c r="J60" i="5"/>
  <c r="C81" i="13"/>
  <c r="E81" i="13" s="1"/>
  <c r="G118" i="13" s="1"/>
  <c r="D59" i="9"/>
  <c r="E59" i="9" s="1"/>
  <c r="F59" i="9" s="1"/>
  <c r="C60" i="9"/>
  <c r="C142" i="15"/>
  <c r="E142" i="15" s="1"/>
  <c r="K30" i="15" s="1"/>
  <c r="AG87" i="1"/>
  <c r="AH87" i="1" s="1"/>
  <c r="I15" i="1" s="1"/>
  <c r="I18" i="1" s="1"/>
  <c r="T17" i="5"/>
  <c r="G19" i="9"/>
  <c r="I19" i="9" s="1"/>
  <c r="C140" i="15"/>
  <c r="E140" i="15" s="1"/>
  <c r="K29" i="15" s="1"/>
  <c r="C138" i="15"/>
  <c r="E138" i="15" s="1"/>
  <c r="K28" i="15" s="1"/>
  <c r="H122" i="13"/>
  <c r="H141" i="13" s="1"/>
  <c r="L122" i="13"/>
  <c r="B91" i="13"/>
  <c r="C91" i="13" s="1"/>
  <c r="E91" i="13" s="1"/>
  <c r="G123" i="13" s="1"/>
  <c r="B92" i="13"/>
  <c r="R24" i="15"/>
  <c r="G6" i="15" s="1"/>
  <c r="K32" i="15"/>
  <c r="C144" i="15"/>
  <c r="E144" i="15" s="1"/>
  <c r="W94" i="1"/>
  <c r="AA115" i="1"/>
  <c r="T115" i="1"/>
  <c r="L95" i="1"/>
  <c r="AC104" i="1"/>
  <c r="AB104" i="1"/>
  <c r="AC113" i="1"/>
  <c r="AB113" i="1"/>
  <c r="AF115" i="1"/>
  <c r="V104" i="1"/>
  <c r="U104" i="1"/>
  <c r="U114" i="1"/>
  <c r="V114" i="1"/>
  <c r="V113" i="1"/>
  <c r="U113" i="1"/>
  <c r="AA105" i="1"/>
  <c r="T105" i="1"/>
  <c r="AD94" i="1"/>
  <c r="AC114" i="1"/>
  <c r="AB114" i="1"/>
  <c r="F20" i="6"/>
  <c r="E20" i="6"/>
  <c r="I5" i="1"/>
  <c r="I7" i="1" s="1"/>
  <c r="I11" i="1" s="1"/>
  <c r="I12" i="1" s="1"/>
  <c r="AL97" i="1"/>
  <c r="AH117" i="1"/>
  <c r="AL117" i="1" s="1"/>
  <c r="H76" i="1"/>
  <c r="H106" i="1" s="1"/>
  <c r="H116" i="1" s="1"/>
  <c r="AG74" i="1"/>
  <c r="AH74" i="1" s="1"/>
  <c r="AD74" i="1"/>
  <c r="AA75" i="1"/>
  <c r="P23" i="5"/>
  <c r="O24" i="5"/>
  <c r="N25" i="5"/>
  <c r="A22" i="6" s="1"/>
  <c r="B22" i="6" s="1"/>
  <c r="E21" i="6"/>
  <c r="F21" i="6"/>
  <c r="G32" i="8"/>
  <c r="F32" i="8"/>
  <c r="B33" i="8"/>
  <c r="D13" i="6"/>
  <c r="G13" i="6"/>
  <c r="K59" i="9" a="1"/>
  <c r="H59" i="9" a="1"/>
  <c r="F33" i="8" a="1"/>
  <c r="G33" i="8" a="1"/>
  <c r="P24" i="5" a="1"/>
  <c r="E22" i="6" a="1"/>
  <c r="F22" i="6" a="1"/>
  <c r="H116" i="13" l="1"/>
  <c r="H135" i="13" s="1"/>
  <c r="L117" i="13"/>
  <c r="G136" i="13"/>
  <c r="G155" i="13" s="1"/>
  <c r="G174" i="13" s="1"/>
  <c r="H59" i="9"/>
  <c r="L116" i="13"/>
  <c r="L120" i="13"/>
  <c r="M120" i="13" s="1"/>
  <c r="AB75" i="1"/>
  <c r="H120" i="13"/>
  <c r="H139" i="13" s="1"/>
  <c r="J139" i="13" s="1"/>
  <c r="N139" i="13" s="1"/>
  <c r="K59" i="9"/>
  <c r="G140" i="13"/>
  <c r="G159" i="13" s="1"/>
  <c r="G178" i="13" s="1"/>
  <c r="H121" i="13"/>
  <c r="H140" i="13" s="1"/>
  <c r="H159" i="13" s="1"/>
  <c r="J159" i="13" s="1"/>
  <c r="N159" i="13" s="1"/>
  <c r="Q121" i="13"/>
  <c r="M121" i="13"/>
  <c r="S121" i="13"/>
  <c r="S117" i="13"/>
  <c r="M117" i="13"/>
  <c r="Q117" i="13"/>
  <c r="G137" i="13"/>
  <c r="G156" i="13" s="1"/>
  <c r="G175" i="13" s="1"/>
  <c r="L118" i="13"/>
  <c r="H118" i="13"/>
  <c r="H137" i="13" s="1"/>
  <c r="H154" i="13"/>
  <c r="J154" i="13" s="1"/>
  <c r="N154" i="13" s="1"/>
  <c r="H173" i="13"/>
  <c r="J173" i="13" s="1"/>
  <c r="N173" i="13" s="1"/>
  <c r="J135" i="13"/>
  <c r="N135" i="13" s="1"/>
  <c r="H155" i="13"/>
  <c r="J155" i="13" s="1"/>
  <c r="N155" i="13" s="1"/>
  <c r="H174" i="13"/>
  <c r="J174" i="13" s="1"/>
  <c r="N174" i="13" s="1"/>
  <c r="J136" i="13"/>
  <c r="N136" i="13" s="1"/>
  <c r="K60" i="5"/>
  <c r="L60" i="5" s="1"/>
  <c r="M60" i="5" s="1"/>
  <c r="Q60" i="5" s="1"/>
  <c r="J61" i="5"/>
  <c r="M116" i="13"/>
  <c r="Q116" i="13"/>
  <c r="S116" i="13"/>
  <c r="D60" i="9"/>
  <c r="E60" i="9" s="1"/>
  <c r="F60" i="9" s="1"/>
  <c r="C61" i="9"/>
  <c r="M119" i="13"/>
  <c r="Q119" i="13"/>
  <c r="S119" i="13"/>
  <c r="H176" i="13"/>
  <c r="J176" i="13" s="1"/>
  <c r="N176" i="13" s="1"/>
  <c r="H157" i="13"/>
  <c r="J157" i="13" s="1"/>
  <c r="N157" i="13" s="1"/>
  <c r="J138" i="13"/>
  <c r="N138" i="13" s="1"/>
  <c r="G142" i="13"/>
  <c r="G161" i="13" s="1"/>
  <c r="G180" i="13" s="1"/>
  <c r="L123" i="13"/>
  <c r="H123" i="13"/>
  <c r="H142" i="13" s="1"/>
  <c r="W114" i="1"/>
  <c r="M122" i="13"/>
  <c r="S122" i="13"/>
  <c r="Q122" i="13"/>
  <c r="H160" i="13"/>
  <c r="J160" i="13" s="1"/>
  <c r="N160" i="13" s="1"/>
  <c r="H179" i="13"/>
  <c r="J179" i="13" s="1"/>
  <c r="N179" i="13" s="1"/>
  <c r="J141" i="13"/>
  <c r="N141" i="13" s="1"/>
  <c r="L30" i="15"/>
  <c r="N30" i="15" s="1"/>
  <c r="O30" i="15" s="1"/>
  <c r="K50" i="15"/>
  <c r="L50" i="15" s="1"/>
  <c r="N50" i="15" s="1"/>
  <c r="O50" i="15" s="1"/>
  <c r="L33" i="15"/>
  <c r="N33" i="15" s="1"/>
  <c r="O33" i="15" s="1"/>
  <c r="B15" i="15" s="1"/>
  <c r="K53" i="15"/>
  <c r="L53" i="15" s="1"/>
  <c r="N53" i="15" s="1"/>
  <c r="O53" i="15" s="1"/>
  <c r="K48" i="15"/>
  <c r="L48" i="15" s="1"/>
  <c r="N48" i="15" s="1"/>
  <c r="O48" i="15" s="1"/>
  <c r="Q48" i="15" s="1"/>
  <c r="R48" i="15" s="1"/>
  <c r="L28" i="15"/>
  <c r="N28" i="15" s="1"/>
  <c r="O28" i="15" s="1"/>
  <c r="Q28" i="15" s="1"/>
  <c r="R28" i="15" s="1"/>
  <c r="K31" i="15"/>
  <c r="L29" i="15"/>
  <c r="N29" i="15" s="1"/>
  <c r="O29" i="15" s="1"/>
  <c r="K49" i="15"/>
  <c r="L49" i="15" s="1"/>
  <c r="N49" i="15" s="1"/>
  <c r="O49" i="15" s="1"/>
  <c r="L32" i="15"/>
  <c r="N32" i="15" s="1"/>
  <c r="O32" i="15" s="1"/>
  <c r="K52" i="15"/>
  <c r="L52" i="15" s="1"/>
  <c r="N52" i="15" s="1"/>
  <c r="O52" i="15" s="1"/>
  <c r="J19" i="9"/>
  <c r="L19" i="9" s="1"/>
  <c r="AD113" i="1"/>
  <c r="W113" i="1"/>
  <c r="U105" i="1"/>
  <c r="V105" i="1"/>
  <c r="W104" i="1"/>
  <c r="AF95" i="1"/>
  <c r="AM95" i="1" s="1"/>
  <c r="N95" i="1"/>
  <c r="AB105" i="1"/>
  <c r="AC105" i="1"/>
  <c r="AD114" i="1"/>
  <c r="AD104" i="1"/>
  <c r="AE94" i="1"/>
  <c r="AG94" i="1" s="1"/>
  <c r="AM115" i="1"/>
  <c r="AC115" i="1"/>
  <c r="AB115" i="1"/>
  <c r="U115" i="1"/>
  <c r="V115" i="1"/>
  <c r="H96" i="1"/>
  <c r="AC76" i="1"/>
  <c r="AJ76" i="1" s="1"/>
  <c r="I76" i="1"/>
  <c r="I86" i="1" s="1"/>
  <c r="I96" i="1" s="1"/>
  <c r="K76" i="1"/>
  <c r="X76" i="1" s="1"/>
  <c r="I22" i="1"/>
  <c r="I19" i="1"/>
  <c r="I20" i="1"/>
  <c r="I21" i="1" s="1"/>
  <c r="I8" i="1"/>
  <c r="AG75" i="1"/>
  <c r="AH75" i="1" s="1"/>
  <c r="AD75" i="1"/>
  <c r="P24" i="5"/>
  <c r="O25" i="5"/>
  <c r="N26" i="5"/>
  <c r="F22" i="6"/>
  <c r="E22" i="6"/>
  <c r="G33" i="8"/>
  <c r="F33" i="8"/>
  <c r="C14" i="6"/>
  <c r="U17" i="5"/>
  <c r="S17" i="5"/>
  <c r="P25" i="5" a="1"/>
  <c r="H60" i="9" a="1"/>
  <c r="K60" i="9" a="1"/>
  <c r="Q120" i="13" l="1"/>
  <c r="S120" i="13"/>
  <c r="Q30" i="15"/>
  <c r="H177" i="13"/>
  <c r="J177" i="13" s="1"/>
  <c r="N177" i="13" s="1"/>
  <c r="H158" i="13"/>
  <c r="J158" i="13" s="1"/>
  <c r="N158" i="13" s="1"/>
  <c r="O158" i="13" s="1"/>
  <c r="H60" i="9"/>
  <c r="J140" i="13"/>
  <c r="N140" i="13" s="1"/>
  <c r="O140" i="13" s="1"/>
  <c r="H178" i="13"/>
  <c r="J178" i="13" s="1"/>
  <c r="N178" i="13" s="1"/>
  <c r="O178" i="13" s="1"/>
  <c r="Q53" i="15"/>
  <c r="R53" i="15" s="1"/>
  <c r="K60" i="9"/>
  <c r="M118" i="13"/>
  <c r="Q118" i="13"/>
  <c r="S118" i="13"/>
  <c r="O138" i="13"/>
  <c r="U138" i="13"/>
  <c r="S138" i="13"/>
  <c r="O136" i="13"/>
  <c r="S136" i="13"/>
  <c r="U136" i="13"/>
  <c r="O157" i="13"/>
  <c r="S157" i="13"/>
  <c r="U157" i="13"/>
  <c r="C62" i="9"/>
  <c r="D61" i="9"/>
  <c r="E61" i="9" s="1"/>
  <c r="F61" i="9" s="1"/>
  <c r="O174" i="13"/>
  <c r="S174" i="13"/>
  <c r="U174" i="13"/>
  <c r="U176" i="13"/>
  <c r="O176" i="13"/>
  <c r="S176" i="13"/>
  <c r="O155" i="13"/>
  <c r="S155" i="13"/>
  <c r="U155" i="13"/>
  <c r="O135" i="13"/>
  <c r="U135" i="13"/>
  <c r="S135" i="13"/>
  <c r="O159" i="13"/>
  <c r="S159" i="13"/>
  <c r="U159" i="13"/>
  <c r="O173" i="13"/>
  <c r="S173" i="13"/>
  <c r="U173" i="13"/>
  <c r="O139" i="13"/>
  <c r="U139" i="13"/>
  <c r="S139" i="13"/>
  <c r="O154" i="13"/>
  <c r="S154" i="13"/>
  <c r="U154" i="13"/>
  <c r="O177" i="13"/>
  <c r="U177" i="13"/>
  <c r="S177" i="13"/>
  <c r="J62" i="5"/>
  <c r="K61" i="5"/>
  <c r="L61" i="5" s="1"/>
  <c r="M61" i="5" s="1"/>
  <c r="Q61" i="5" s="1"/>
  <c r="H156" i="13"/>
  <c r="J156" i="13" s="1"/>
  <c r="N156" i="13" s="1"/>
  <c r="H175" i="13"/>
  <c r="J175" i="13" s="1"/>
  <c r="N175" i="13" s="1"/>
  <c r="J137" i="13"/>
  <c r="N137" i="13" s="1"/>
  <c r="Q33" i="15"/>
  <c r="R33" i="15" s="1"/>
  <c r="AE114" i="1"/>
  <c r="AJ114" i="1" s="1"/>
  <c r="AK114" i="1" s="1"/>
  <c r="U141" i="13"/>
  <c r="S141" i="13"/>
  <c r="O141" i="13"/>
  <c r="O179" i="13"/>
  <c r="S179" i="13"/>
  <c r="U179" i="13"/>
  <c r="O160" i="13"/>
  <c r="S160" i="13"/>
  <c r="U160" i="13"/>
  <c r="H161" i="13"/>
  <c r="J161" i="13" s="1"/>
  <c r="N161" i="13" s="1"/>
  <c r="H180" i="13"/>
  <c r="J180" i="13" s="1"/>
  <c r="N180" i="13" s="1"/>
  <c r="J142" i="13"/>
  <c r="N142" i="13" s="1"/>
  <c r="S123" i="13"/>
  <c r="M123" i="13"/>
  <c r="Q123" i="13"/>
  <c r="Q49" i="15"/>
  <c r="R49" i="15" s="1"/>
  <c r="Q50" i="15"/>
  <c r="R50" i="15" s="1"/>
  <c r="Q29" i="15"/>
  <c r="R29" i="15" s="1"/>
  <c r="R30" i="15"/>
  <c r="L31" i="15"/>
  <c r="N31" i="15" s="1"/>
  <c r="O31" i="15" s="1"/>
  <c r="Q32" i="15" s="1"/>
  <c r="R32" i="15" s="1"/>
  <c r="K51" i="15"/>
  <c r="L51" i="15" s="1"/>
  <c r="N51" i="15" s="1"/>
  <c r="O51" i="15" s="1"/>
  <c r="Q52" i="15" s="1"/>
  <c r="R52" i="15" s="1"/>
  <c r="C15" i="15"/>
  <c r="AD105" i="1"/>
  <c r="W115" i="1"/>
  <c r="AE113" i="1"/>
  <c r="T95" i="1"/>
  <c r="AA95" i="1"/>
  <c r="AE104" i="1"/>
  <c r="W105" i="1"/>
  <c r="AD115" i="1"/>
  <c r="I116" i="1"/>
  <c r="K116" i="1" s="1"/>
  <c r="L116" i="1" s="1"/>
  <c r="K96" i="1"/>
  <c r="Q76" i="1"/>
  <c r="R76" i="1" s="1"/>
  <c r="I106" i="1"/>
  <c r="K106" i="1" s="1"/>
  <c r="L106" i="1" s="1"/>
  <c r="AJ94" i="1"/>
  <c r="AK94" i="1" s="1"/>
  <c r="Y76" i="1"/>
  <c r="Z76" i="1"/>
  <c r="A23" i="6"/>
  <c r="B23" i="6" s="1"/>
  <c r="P25" i="5"/>
  <c r="O26" i="5"/>
  <c r="N27" i="5"/>
  <c r="D14" i="6"/>
  <c r="G14" i="6"/>
  <c r="R18" i="5"/>
  <c r="G20" i="9" s="1"/>
  <c r="I20" i="9" s="1"/>
  <c r="E23" i="6" a="1"/>
  <c r="K61" i="9" a="1"/>
  <c r="F23" i="6" a="1"/>
  <c r="P26" i="5" a="1"/>
  <c r="H61" i="9" a="1"/>
  <c r="U140" i="13" l="1"/>
  <c r="S178" i="13"/>
  <c r="S140" i="13"/>
  <c r="U178" i="13"/>
  <c r="S158" i="13"/>
  <c r="U158" i="13"/>
  <c r="H61" i="9"/>
  <c r="K61" i="9"/>
  <c r="D62" i="9"/>
  <c r="E62" i="9" s="1"/>
  <c r="F62" i="9" s="1"/>
  <c r="C63" i="9"/>
  <c r="O137" i="13"/>
  <c r="S137" i="13"/>
  <c r="U137" i="13"/>
  <c r="O175" i="13"/>
  <c r="U175" i="13"/>
  <c r="S175" i="13"/>
  <c r="U156" i="13"/>
  <c r="O156" i="13"/>
  <c r="S156" i="13"/>
  <c r="J63" i="5"/>
  <c r="K62" i="5"/>
  <c r="L62" i="5" s="1"/>
  <c r="M62" i="5" s="1"/>
  <c r="Q62" i="5" s="1"/>
  <c r="AG114" i="1"/>
  <c r="B93" i="13"/>
  <c r="C93" i="13" s="1"/>
  <c r="E93" i="13" s="1"/>
  <c r="G124" i="13" s="1"/>
  <c r="B94" i="13"/>
  <c r="O142" i="13"/>
  <c r="S142" i="13"/>
  <c r="U142" i="13"/>
  <c r="O180" i="13"/>
  <c r="U180" i="13"/>
  <c r="S180" i="13"/>
  <c r="O161" i="13"/>
  <c r="S161" i="13"/>
  <c r="U161" i="13"/>
  <c r="Q51" i="15"/>
  <c r="R51" i="15" s="1"/>
  <c r="R54" i="15" s="1"/>
  <c r="H7" i="15" s="1"/>
  <c r="I7" i="15" s="1"/>
  <c r="J7" i="15" s="1"/>
  <c r="C8" i="16" s="1"/>
  <c r="A14" i="16" s="1"/>
  <c r="AE105" i="1"/>
  <c r="AG105" i="1" s="1"/>
  <c r="B164" i="15"/>
  <c r="B162" i="15"/>
  <c r="AE115" i="1"/>
  <c r="AG115" i="1" s="1"/>
  <c r="Q31" i="15"/>
  <c r="R31" i="15" s="1"/>
  <c r="R34" i="15" s="1"/>
  <c r="H6" i="15" s="1"/>
  <c r="I6" i="15" s="1"/>
  <c r="J6" i="15" s="1"/>
  <c r="B8" i="16" s="1"/>
  <c r="A13" i="16" s="1"/>
  <c r="AJ113" i="1"/>
  <c r="AK113" i="1" s="1"/>
  <c r="AG113" i="1"/>
  <c r="AJ104" i="1"/>
  <c r="AK104" i="1" s="1"/>
  <c r="AG104" i="1"/>
  <c r="AB95" i="1"/>
  <c r="AC95" i="1"/>
  <c r="L96" i="1"/>
  <c r="V95" i="1"/>
  <c r="U95" i="1"/>
  <c r="AF116" i="1"/>
  <c r="N116" i="1"/>
  <c r="AF106" i="1"/>
  <c r="AM106" i="1" s="1"/>
  <c r="N106" i="1"/>
  <c r="S76" i="1"/>
  <c r="T76" i="1" s="1"/>
  <c r="AA76" i="1"/>
  <c r="E23" i="6"/>
  <c r="F23" i="6"/>
  <c r="A24" i="6"/>
  <c r="B24" i="6" s="1"/>
  <c r="P26" i="5"/>
  <c r="T18" i="5"/>
  <c r="O27" i="5"/>
  <c r="N28" i="5"/>
  <c r="C57" i="1"/>
  <c r="C15" i="6"/>
  <c r="U18" i="5"/>
  <c r="S18" i="5"/>
  <c r="K62" i="9" a="1"/>
  <c r="P27" i="5" a="1"/>
  <c r="H62" i="9" a="1"/>
  <c r="F24" i="6" a="1"/>
  <c r="E24" i="6" a="1"/>
  <c r="AJ105" i="1" l="1"/>
  <c r="AK105" i="1" s="1"/>
  <c r="H62" i="9"/>
  <c r="AJ115" i="1"/>
  <c r="AK115" i="1" s="1"/>
  <c r="K62" i="9"/>
  <c r="J64" i="5"/>
  <c r="K63" i="5"/>
  <c r="L63" i="5" s="1"/>
  <c r="M63" i="5" s="1"/>
  <c r="Q63" i="5" s="1"/>
  <c r="D63" i="9"/>
  <c r="E63" i="9" s="1"/>
  <c r="F63" i="9" s="1"/>
  <c r="C64" i="9"/>
  <c r="J20" i="9"/>
  <c r="L20" i="9" s="1"/>
  <c r="G143" i="13"/>
  <c r="G162" i="13" s="1"/>
  <c r="G181" i="13" s="1"/>
  <c r="H124" i="13"/>
  <c r="H143" i="13" s="1"/>
  <c r="L124" i="13"/>
  <c r="AD95" i="1"/>
  <c r="AA106" i="1"/>
  <c r="AB106" i="1" s="1"/>
  <c r="T106" i="1"/>
  <c r="U106" i="1" s="1"/>
  <c r="AF96" i="1"/>
  <c r="AM96" i="1" s="1"/>
  <c r="N96" i="1"/>
  <c r="T116" i="1"/>
  <c r="U116" i="1" s="1"/>
  <c r="AA116" i="1"/>
  <c r="AC116" i="1" s="1"/>
  <c r="W95" i="1"/>
  <c r="AB76" i="1"/>
  <c r="AG76" i="1" s="1"/>
  <c r="AH76" i="1" s="1"/>
  <c r="AM116" i="1"/>
  <c r="F24" i="6"/>
  <c r="E24" i="6"/>
  <c r="P27" i="5"/>
  <c r="E57" i="1"/>
  <c r="O28" i="5"/>
  <c r="N29" i="5"/>
  <c r="A25" i="6"/>
  <c r="B25" i="6" s="1"/>
  <c r="D15" i="6"/>
  <c r="G15" i="6"/>
  <c r="R19" i="5"/>
  <c r="G21" i="9" s="1"/>
  <c r="I21" i="9" s="1"/>
  <c r="H63" i="9" a="1"/>
  <c r="K63" i="9" a="1"/>
  <c r="P28" i="5" a="1"/>
  <c r="F25" i="6" a="1"/>
  <c r="E25" i="6" a="1"/>
  <c r="H63" i="9" l="1"/>
  <c r="AE95" i="1"/>
  <c r="K63" i="9"/>
  <c r="AC106" i="1"/>
  <c r="AD106" i="1" s="1"/>
  <c r="D64" i="9"/>
  <c r="E64" i="9" s="1"/>
  <c r="F64" i="9" s="1"/>
  <c r="C65" i="9"/>
  <c r="J65" i="5"/>
  <c r="K64" i="5"/>
  <c r="L64" i="5" s="1"/>
  <c r="M64" i="5" s="1"/>
  <c r="Q64" i="5" s="1"/>
  <c r="M124" i="13"/>
  <c r="S124" i="13"/>
  <c r="Q124" i="13"/>
  <c r="H162" i="13"/>
  <c r="J162" i="13" s="1"/>
  <c r="N162" i="13" s="1"/>
  <c r="J143" i="13"/>
  <c r="N143" i="13" s="1"/>
  <c r="H181" i="13"/>
  <c r="J181" i="13" s="1"/>
  <c r="N181" i="13" s="1"/>
  <c r="J21" i="9"/>
  <c r="L21" i="9" s="1"/>
  <c r="B95" i="13"/>
  <c r="C95" i="13" s="1"/>
  <c r="E95" i="13" s="1"/>
  <c r="G125" i="13" s="1"/>
  <c r="B96" i="13"/>
  <c r="V106" i="1"/>
  <c r="W106" i="1" s="1"/>
  <c r="AB116" i="1"/>
  <c r="AD116" i="1" s="1"/>
  <c r="AD76" i="1"/>
  <c r="T96" i="1"/>
  <c r="AA96" i="1"/>
  <c r="V116" i="1"/>
  <c r="W116" i="1" s="1"/>
  <c r="AG95" i="1"/>
  <c r="AJ95" i="1"/>
  <c r="AK95" i="1" s="1"/>
  <c r="H77" i="1"/>
  <c r="H107" i="1" s="1"/>
  <c r="H117" i="1" s="1"/>
  <c r="P28" i="5"/>
  <c r="T19" i="5"/>
  <c r="E25" i="6"/>
  <c r="F25" i="6"/>
  <c r="O29" i="5"/>
  <c r="N30" i="5"/>
  <c r="A27" i="6" s="1"/>
  <c r="B27" i="6" s="1"/>
  <c r="A26" i="6"/>
  <c r="B26" i="6" s="1"/>
  <c r="U19" i="5"/>
  <c r="C16" i="6"/>
  <c r="S19" i="5"/>
  <c r="E27" i="6" a="1"/>
  <c r="E26" i="6" a="1"/>
  <c r="K64" i="9" a="1"/>
  <c r="P29" i="5" a="1"/>
  <c r="H64" i="9" a="1"/>
  <c r="F26" i="6" a="1"/>
  <c r="F27" i="6" a="1"/>
  <c r="H64" i="9" l="1"/>
  <c r="K64" i="9"/>
  <c r="K65" i="5"/>
  <c r="L65" i="5" s="1"/>
  <c r="M65" i="5" s="1"/>
  <c r="Q65" i="5" s="1"/>
  <c r="J66" i="5"/>
  <c r="C66" i="9"/>
  <c r="D65" i="9"/>
  <c r="E65" i="9" s="1"/>
  <c r="F65" i="9" s="1"/>
  <c r="O181" i="13"/>
  <c r="U181" i="13"/>
  <c r="S181" i="13"/>
  <c r="O143" i="13"/>
  <c r="U143" i="13"/>
  <c r="S143" i="13"/>
  <c r="O162" i="13"/>
  <c r="S162" i="13"/>
  <c r="U162" i="13"/>
  <c r="G144" i="13"/>
  <c r="G163" i="13" s="1"/>
  <c r="G182" i="13" s="1"/>
  <c r="H125" i="13"/>
  <c r="H144" i="13" s="1"/>
  <c r="L125" i="13"/>
  <c r="AE106" i="1"/>
  <c r="AJ106" i="1" s="1"/>
  <c r="AK106" i="1" s="1"/>
  <c r="V96" i="1"/>
  <c r="U96" i="1"/>
  <c r="AC96" i="1"/>
  <c r="AB96" i="1"/>
  <c r="AE116" i="1"/>
  <c r="AJ116" i="1" s="1"/>
  <c r="AK116" i="1" s="1"/>
  <c r="I77" i="1"/>
  <c r="I87" i="1" s="1"/>
  <c r="I97" i="1" s="1"/>
  <c r="K97" i="1" s="1"/>
  <c r="L97" i="1" s="1"/>
  <c r="K77" i="1"/>
  <c r="X77" i="1" s="1"/>
  <c r="H97" i="1"/>
  <c r="AC77" i="1"/>
  <c r="AJ77" i="1" s="1"/>
  <c r="F17" i="1" s="1"/>
  <c r="F6" i="1"/>
  <c r="F16" i="1"/>
  <c r="P29" i="5"/>
  <c r="E26" i="6"/>
  <c r="F26" i="6"/>
  <c r="O30" i="5"/>
  <c r="N31" i="5"/>
  <c r="F27" i="6"/>
  <c r="E27" i="6"/>
  <c r="D16" i="6"/>
  <c r="G16" i="6"/>
  <c r="R20" i="5"/>
  <c r="G22" i="9" s="1"/>
  <c r="I22" i="9" s="1"/>
  <c r="H65" i="9" a="1"/>
  <c r="P30" i="5" a="1"/>
  <c r="K65" i="9" a="1"/>
  <c r="H65" i="9" l="1"/>
  <c r="K65" i="9"/>
  <c r="D66" i="9"/>
  <c r="E66" i="9" s="1"/>
  <c r="F66" i="9" s="1"/>
  <c r="C67" i="9"/>
  <c r="K66" i="5"/>
  <c r="L66" i="5" s="1"/>
  <c r="M66" i="5" s="1"/>
  <c r="Q66" i="5" s="1"/>
  <c r="J67" i="5"/>
  <c r="AD96" i="1"/>
  <c r="AG106" i="1"/>
  <c r="M125" i="13"/>
  <c r="S125" i="13"/>
  <c r="Q125" i="13"/>
  <c r="H163" i="13"/>
  <c r="J163" i="13" s="1"/>
  <c r="N163" i="13" s="1"/>
  <c r="H182" i="13"/>
  <c r="J182" i="13" s="1"/>
  <c r="N182" i="13" s="1"/>
  <c r="J144" i="13"/>
  <c r="N144" i="13" s="1"/>
  <c r="B97" i="13"/>
  <c r="C97" i="13" s="1"/>
  <c r="E97" i="13" s="1"/>
  <c r="G126" i="13" s="1"/>
  <c r="B98" i="13"/>
  <c r="Q77" i="1"/>
  <c r="R77" i="1" s="1"/>
  <c r="J22" i="9"/>
  <c r="L22" i="9" s="1"/>
  <c r="W96" i="1"/>
  <c r="AG116" i="1"/>
  <c r="I107" i="1"/>
  <c r="K107" i="1" s="1"/>
  <c r="L107" i="1" s="1"/>
  <c r="N107" i="1" s="1"/>
  <c r="I117" i="1"/>
  <c r="K117" i="1" s="1"/>
  <c r="L117" i="1" s="1"/>
  <c r="N117" i="1" s="1"/>
  <c r="AF97" i="1"/>
  <c r="AM97" i="1" s="1"/>
  <c r="L17" i="1" s="1"/>
  <c r="N97" i="1"/>
  <c r="Y77" i="1"/>
  <c r="Z77" i="1"/>
  <c r="P30" i="5"/>
  <c r="T20" i="5"/>
  <c r="O31" i="5"/>
  <c r="N32" i="5"/>
  <c r="A28" i="6"/>
  <c r="B28" i="6" s="1"/>
  <c r="U20" i="5"/>
  <c r="C17" i="6"/>
  <c r="S20" i="5"/>
  <c r="P31" i="5" a="1"/>
  <c r="E28" i="6" a="1"/>
  <c r="H66" i="9" a="1"/>
  <c r="F28" i="6" a="1"/>
  <c r="K66" i="9" a="1"/>
  <c r="H66" i="9" l="1"/>
  <c r="K66" i="9"/>
  <c r="AE96" i="1"/>
  <c r="AG96" i="1" s="1"/>
  <c r="K67" i="5"/>
  <c r="L67" i="5" s="1"/>
  <c r="M67" i="5" s="1"/>
  <c r="Q67" i="5" s="1"/>
  <c r="J68" i="5"/>
  <c r="S77" i="1"/>
  <c r="T77" i="1" s="1"/>
  <c r="C68" i="9"/>
  <c r="D67" i="9"/>
  <c r="E67" i="9" s="1"/>
  <c r="F67" i="9" s="1"/>
  <c r="G145" i="13"/>
  <c r="G164" i="13" s="1"/>
  <c r="G183" i="13" s="1"/>
  <c r="H126" i="13"/>
  <c r="H145" i="13" s="1"/>
  <c r="L126" i="13"/>
  <c r="O144" i="13"/>
  <c r="U144" i="13"/>
  <c r="S144" i="13"/>
  <c r="O182" i="13"/>
  <c r="U182" i="13"/>
  <c r="S182" i="13"/>
  <c r="O163" i="13"/>
  <c r="U163" i="13"/>
  <c r="S163" i="13"/>
  <c r="L6" i="1"/>
  <c r="AF107" i="1"/>
  <c r="O6" i="1" s="1"/>
  <c r="AF117" i="1"/>
  <c r="R6" i="1" s="1"/>
  <c r="L16" i="1"/>
  <c r="T117" i="1"/>
  <c r="U117" i="1" s="1"/>
  <c r="AA117" i="1"/>
  <c r="AC117" i="1" s="1"/>
  <c r="AA107" i="1"/>
  <c r="AC107" i="1" s="1"/>
  <c r="T107" i="1"/>
  <c r="V107" i="1" s="1"/>
  <c r="AA97" i="1"/>
  <c r="AB97" i="1" s="1"/>
  <c r="T97" i="1"/>
  <c r="U97" i="1" s="1"/>
  <c r="AA77" i="1"/>
  <c r="P31" i="5"/>
  <c r="F28" i="6"/>
  <c r="E28" i="6"/>
  <c r="O32" i="5"/>
  <c r="N33" i="5"/>
  <c r="A30" i="6" s="1"/>
  <c r="B30" i="6" s="1"/>
  <c r="A29" i="6"/>
  <c r="B29" i="6" s="1"/>
  <c r="R21" i="5"/>
  <c r="G23" i="9" s="1"/>
  <c r="I23" i="9" s="1"/>
  <c r="D17" i="6"/>
  <c r="G17" i="6"/>
  <c r="H67" i="9" a="1"/>
  <c r="P32" i="5" a="1"/>
  <c r="F29" i="6" a="1"/>
  <c r="E30" i="6" a="1"/>
  <c r="K67" i="9" a="1"/>
  <c r="F30" i="6" a="1"/>
  <c r="E29" i="6" a="1"/>
  <c r="AJ96" i="1" l="1"/>
  <c r="AK96" i="1" s="1"/>
  <c r="H67" i="9"/>
  <c r="K67" i="9"/>
  <c r="AB77" i="1"/>
  <c r="AG77" i="1" s="1"/>
  <c r="AH77" i="1" s="1"/>
  <c r="D68" i="9"/>
  <c r="E68" i="9" s="1"/>
  <c r="F68" i="9" s="1"/>
  <c r="C69" i="9"/>
  <c r="K68" i="5"/>
  <c r="L68" i="5" s="1"/>
  <c r="M68" i="5" s="1"/>
  <c r="Q68" i="5" s="1"/>
  <c r="J69" i="5"/>
  <c r="K69" i="5" s="1"/>
  <c r="L69" i="5" s="1"/>
  <c r="M69" i="5" s="1"/>
  <c r="Q69" i="5" s="1"/>
  <c r="O16" i="1"/>
  <c r="AM107" i="1"/>
  <c r="O17" i="1" s="1"/>
  <c r="M126" i="13"/>
  <c r="Q126" i="13"/>
  <c r="S126" i="13"/>
  <c r="J23" i="9"/>
  <c r="L23" i="9" s="1"/>
  <c r="B99" i="13"/>
  <c r="C99" i="13" s="1"/>
  <c r="E99" i="13" s="1"/>
  <c r="G127" i="13" s="1"/>
  <c r="B100" i="13"/>
  <c r="AM117" i="1"/>
  <c r="R17" i="1" s="1"/>
  <c r="H164" i="13"/>
  <c r="J164" i="13" s="1"/>
  <c r="N164" i="13" s="1"/>
  <c r="H183" i="13"/>
  <c r="J183" i="13" s="1"/>
  <c r="N183" i="13" s="1"/>
  <c r="J145" i="13"/>
  <c r="N145" i="13" s="1"/>
  <c r="R16" i="1"/>
  <c r="V117" i="1"/>
  <c r="W117" i="1" s="1"/>
  <c r="AC97" i="1"/>
  <c r="AD97" i="1" s="1"/>
  <c r="AB117" i="1"/>
  <c r="AD117" i="1" s="1"/>
  <c r="V97" i="1"/>
  <c r="W97" i="1" s="1"/>
  <c r="AB107" i="1"/>
  <c r="AD107" i="1" s="1"/>
  <c r="U107" i="1"/>
  <c r="W107" i="1" s="1"/>
  <c r="AD77" i="1"/>
  <c r="P32" i="5"/>
  <c r="S21" i="5"/>
  <c r="R22" i="5" s="1"/>
  <c r="G24" i="9" s="1"/>
  <c r="I24" i="9" s="1"/>
  <c r="T21" i="5"/>
  <c r="E29" i="6"/>
  <c r="F29" i="6"/>
  <c r="O33" i="5"/>
  <c r="N34" i="5"/>
  <c r="A31" i="6" s="1"/>
  <c r="B31" i="6" s="1"/>
  <c r="U21" i="5"/>
  <c r="F30" i="6"/>
  <c r="E30" i="6"/>
  <c r="C18" i="6"/>
  <c r="P33" i="5" a="1"/>
  <c r="K68" i="9" a="1"/>
  <c r="E31" i="6" a="1"/>
  <c r="F31" i="6" a="1"/>
  <c r="H68" i="9" a="1"/>
  <c r="H68" i="9" l="1"/>
  <c r="K68" i="9"/>
  <c r="C70" i="9"/>
  <c r="D69" i="9"/>
  <c r="E69" i="9" s="1"/>
  <c r="F69" i="9" s="1"/>
  <c r="S183" i="13"/>
  <c r="U183" i="13"/>
  <c r="O183" i="13"/>
  <c r="O145" i="13"/>
  <c r="S145" i="13"/>
  <c r="U145" i="13"/>
  <c r="O164" i="13"/>
  <c r="U164" i="13"/>
  <c r="S164" i="13"/>
  <c r="B102" i="13"/>
  <c r="B101" i="13"/>
  <c r="C101" i="13" s="1"/>
  <c r="E101" i="13" s="1"/>
  <c r="G128" i="13" s="1"/>
  <c r="G146" i="13"/>
  <c r="G165" i="13" s="1"/>
  <c r="G184" i="13" s="1"/>
  <c r="L127" i="13"/>
  <c r="H127" i="13"/>
  <c r="H146" i="13" s="1"/>
  <c r="J24" i="9"/>
  <c r="L24" i="9" s="1"/>
  <c r="AE117" i="1"/>
  <c r="AG117" i="1" s="1"/>
  <c r="R5" i="1" s="1"/>
  <c r="R7" i="1" s="1"/>
  <c r="T22" i="5"/>
  <c r="F15" i="1"/>
  <c r="F18" i="1" s="1"/>
  <c r="F5" i="1"/>
  <c r="F7" i="1" s="1"/>
  <c r="AE107" i="1"/>
  <c r="AG107" i="1" s="1"/>
  <c r="AE97" i="1"/>
  <c r="P33" i="5"/>
  <c r="U22" i="5"/>
  <c r="S22" i="5"/>
  <c r="R23" i="5" s="1"/>
  <c r="G25" i="9" s="1"/>
  <c r="I25" i="9" s="1"/>
  <c r="O34" i="5"/>
  <c r="N35" i="5"/>
  <c r="A32" i="6" s="1"/>
  <c r="B32" i="6" s="1"/>
  <c r="E31" i="6"/>
  <c r="F31" i="6"/>
  <c r="D18" i="6"/>
  <c r="G18" i="6"/>
  <c r="F32" i="6" a="1"/>
  <c r="P34" i="5" a="1"/>
  <c r="K69" i="9" a="1"/>
  <c r="H69" i="9" a="1"/>
  <c r="E32" i="6" a="1"/>
  <c r="H69" i="9" l="1"/>
  <c r="K69" i="9"/>
  <c r="D70" i="9"/>
  <c r="E70" i="9" s="1"/>
  <c r="F70" i="9" s="1"/>
  <c r="C71" i="9"/>
  <c r="D71" i="9" s="1"/>
  <c r="E71" i="9" s="1"/>
  <c r="F71" i="9" s="1"/>
  <c r="G147" i="13"/>
  <c r="G166" i="13" s="1"/>
  <c r="G185" i="13" s="1"/>
  <c r="L128" i="13"/>
  <c r="H128" i="13"/>
  <c r="H147" i="13" s="1"/>
  <c r="H165" i="13"/>
  <c r="J165" i="13" s="1"/>
  <c r="N165" i="13" s="1"/>
  <c r="J146" i="13"/>
  <c r="N146" i="13" s="1"/>
  <c r="H184" i="13"/>
  <c r="J184" i="13" s="1"/>
  <c r="N184" i="13" s="1"/>
  <c r="M127" i="13"/>
  <c r="Q127" i="13"/>
  <c r="S127" i="13"/>
  <c r="J25" i="9"/>
  <c r="L25" i="9" s="1"/>
  <c r="B104" i="13"/>
  <c r="B103" i="13"/>
  <c r="C103" i="13" s="1"/>
  <c r="E103" i="13" s="1"/>
  <c r="G129" i="13" s="1"/>
  <c r="AJ117" i="1"/>
  <c r="AK117" i="1" s="1"/>
  <c r="R15" i="1" s="1"/>
  <c r="R18" i="1" s="1"/>
  <c r="R19" i="1" s="1"/>
  <c r="U23" i="5"/>
  <c r="R11" i="1"/>
  <c r="R12" i="1" s="1"/>
  <c r="R8" i="1"/>
  <c r="Z5" i="1" s="1"/>
  <c r="F8" i="1"/>
  <c r="Z6" i="1" s="1"/>
  <c r="F11" i="1"/>
  <c r="F12" i="1" s="1"/>
  <c r="F20" i="1"/>
  <c r="F21" i="1" s="1"/>
  <c r="F19" i="1"/>
  <c r="F22" i="1"/>
  <c r="O5" i="1"/>
  <c r="O7" i="1" s="1"/>
  <c r="AJ107" i="1"/>
  <c r="AK107" i="1" s="1"/>
  <c r="AG97" i="1"/>
  <c r="L5" i="1" s="1"/>
  <c r="AJ97" i="1"/>
  <c r="AK97" i="1" s="1"/>
  <c r="L15" i="1" s="1"/>
  <c r="L18" i="1" s="1"/>
  <c r="S23" i="5"/>
  <c r="R24" i="5" s="1"/>
  <c r="P34" i="5"/>
  <c r="T23" i="5"/>
  <c r="O35" i="5"/>
  <c r="N36" i="5"/>
  <c r="E32" i="6"/>
  <c r="F32" i="6"/>
  <c r="C19" i="6"/>
  <c r="K70" i="9" a="1"/>
  <c r="H71" i="9" a="1"/>
  <c r="H70" i="9" a="1"/>
  <c r="P35" i="5" a="1"/>
  <c r="H71" i="9" l="1"/>
  <c r="H70" i="9"/>
  <c r="Z7" i="1"/>
  <c r="K70" i="9"/>
  <c r="B105" i="13"/>
  <c r="C105" i="13" s="1"/>
  <c r="E105" i="13" s="1"/>
  <c r="G130" i="13" s="1"/>
  <c r="L130" i="13" s="1"/>
  <c r="G26" i="9"/>
  <c r="I26" i="9" s="1"/>
  <c r="R20" i="1"/>
  <c r="R21" i="1" s="1"/>
  <c r="R22" i="1"/>
  <c r="G148" i="13"/>
  <c r="G167" i="13" s="1"/>
  <c r="G186" i="13" s="1"/>
  <c r="L129" i="13"/>
  <c r="H129" i="13"/>
  <c r="H148" i="13" s="1"/>
  <c r="O184" i="13"/>
  <c r="U184" i="13"/>
  <c r="S184" i="13"/>
  <c r="O146" i="13"/>
  <c r="U146" i="13"/>
  <c r="S146" i="13"/>
  <c r="O165" i="13"/>
  <c r="U165" i="13"/>
  <c r="S165" i="13"/>
  <c r="H166" i="13"/>
  <c r="J166" i="13" s="1"/>
  <c r="N166" i="13" s="1"/>
  <c r="H185" i="13"/>
  <c r="J185" i="13" s="1"/>
  <c r="N185" i="13" s="1"/>
  <c r="J147" i="13"/>
  <c r="N147" i="13" s="1"/>
  <c r="M128" i="13"/>
  <c r="S128" i="13"/>
  <c r="Q128" i="13"/>
  <c r="T24" i="5"/>
  <c r="V6" i="1"/>
  <c r="O8" i="1"/>
  <c r="O15" i="1"/>
  <c r="O18" i="1" s="1"/>
  <c r="L7" i="1"/>
  <c r="U24" i="5"/>
  <c r="S24" i="5"/>
  <c r="R25" i="5" s="1"/>
  <c r="G27" i="9" s="1"/>
  <c r="I27" i="9" s="1"/>
  <c r="P35" i="5"/>
  <c r="O36" i="5"/>
  <c r="N37" i="5"/>
  <c r="A33" i="6"/>
  <c r="B33" i="6" s="1"/>
  <c r="D19" i="6"/>
  <c r="G19" i="6"/>
  <c r="K71" i="9" a="1"/>
  <c r="E33" i="6" a="1"/>
  <c r="P36" i="5" a="1"/>
  <c r="F33" i="6" a="1"/>
  <c r="J26" i="9" l="1"/>
  <c r="L26" i="9" s="1"/>
  <c r="K71" i="9"/>
  <c r="F16" i="13"/>
  <c r="H130" i="13"/>
  <c r="H149" i="13" s="1"/>
  <c r="J149" i="13" s="1"/>
  <c r="N149" i="13" s="1"/>
  <c r="F6" i="13"/>
  <c r="G149" i="13"/>
  <c r="G168" i="13" s="1"/>
  <c r="G187" i="13" s="1"/>
  <c r="O185" i="13"/>
  <c r="U185" i="13"/>
  <c r="S185" i="13"/>
  <c r="O147" i="13"/>
  <c r="S147" i="13"/>
  <c r="U147" i="13"/>
  <c r="O166" i="13"/>
  <c r="S166" i="13"/>
  <c r="U166" i="13"/>
  <c r="H168" i="13"/>
  <c r="J168" i="13" s="1"/>
  <c r="N168" i="13" s="1"/>
  <c r="H167" i="13"/>
  <c r="J167" i="13" s="1"/>
  <c r="N167" i="13" s="1"/>
  <c r="J148" i="13"/>
  <c r="N148" i="13" s="1"/>
  <c r="H186" i="13"/>
  <c r="J186" i="13" s="1"/>
  <c r="N186" i="13" s="1"/>
  <c r="M129" i="13"/>
  <c r="Q129" i="13"/>
  <c r="S129" i="13"/>
  <c r="M130" i="13"/>
  <c r="S130" i="13"/>
  <c r="Q130" i="13"/>
  <c r="J27" i="9"/>
  <c r="L27" i="9" s="1"/>
  <c r="O20" i="1"/>
  <c r="O21" i="1" s="1"/>
  <c r="O19" i="1"/>
  <c r="O22" i="1"/>
  <c r="L11" i="1"/>
  <c r="L12" i="1" s="1"/>
  <c r="L8" i="1"/>
  <c r="V5" i="1" s="1"/>
  <c r="V7" i="1" s="1"/>
  <c r="O11" i="1"/>
  <c r="O12" i="1" s="1"/>
  <c r="P36" i="5"/>
  <c r="S25" i="5"/>
  <c r="R26" i="5" s="1"/>
  <c r="G28" i="9" s="1"/>
  <c r="I28" i="9" s="1"/>
  <c r="T25" i="5"/>
  <c r="F33" i="6"/>
  <c r="E33" i="6"/>
  <c r="O37" i="5"/>
  <c r="N38" i="5"/>
  <c r="A34" i="6"/>
  <c r="B34" i="6" s="1"/>
  <c r="U25" i="5"/>
  <c r="C20" i="6"/>
  <c r="P37" i="5" a="1"/>
  <c r="F34" i="6" a="1"/>
  <c r="E35" i="6" a="1"/>
  <c r="F35" i="6" a="1"/>
  <c r="E34" i="6" a="1"/>
  <c r="H187" i="13" l="1"/>
  <c r="J187" i="13" s="1"/>
  <c r="N187" i="13" s="1"/>
  <c r="F15" i="13"/>
  <c r="F17" i="13"/>
  <c r="A35" i="6"/>
  <c r="B35" i="6" s="1"/>
  <c r="K87" i="15"/>
  <c r="K108" i="15"/>
  <c r="L108" i="15" s="1"/>
  <c r="N108" i="15" s="1"/>
  <c r="O108" i="15" s="1"/>
  <c r="R108" i="15" s="1"/>
  <c r="K76" i="15"/>
  <c r="L76" i="15" s="1"/>
  <c r="N76" i="15" s="1"/>
  <c r="O76" i="15" s="1"/>
  <c r="R76" i="15" s="1"/>
  <c r="K88" i="15"/>
  <c r="K89" i="15"/>
  <c r="K77" i="15"/>
  <c r="L77" i="15" s="1"/>
  <c r="N77" i="15" s="1"/>
  <c r="O77" i="15" s="1"/>
  <c r="R77" i="15" s="1"/>
  <c r="K109" i="15"/>
  <c r="L109" i="15" s="1"/>
  <c r="N109" i="15" s="1"/>
  <c r="O109" i="15" s="1"/>
  <c r="R109" i="15" s="1"/>
  <c r="K90" i="15"/>
  <c r="K91" i="15"/>
  <c r="K110" i="15"/>
  <c r="L110" i="15" s="1"/>
  <c r="N110" i="15" s="1"/>
  <c r="O110" i="15" s="1"/>
  <c r="R110" i="15" s="1"/>
  <c r="K78" i="15"/>
  <c r="L78" i="15" s="1"/>
  <c r="N78" i="15" s="1"/>
  <c r="O78" i="15" s="1"/>
  <c r="R78" i="15" s="1"/>
  <c r="K92" i="15"/>
  <c r="K93" i="15"/>
  <c r="K111" i="15"/>
  <c r="L111" i="15" s="1"/>
  <c r="N111" i="15" s="1"/>
  <c r="O111" i="15" s="1"/>
  <c r="R111" i="15" s="1"/>
  <c r="K79" i="15"/>
  <c r="L79" i="15" s="1"/>
  <c r="N79" i="15" s="1"/>
  <c r="O79" i="15" s="1"/>
  <c r="R79" i="15" s="1"/>
  <c r="K94" i="15"/>
  <c r="K95" i="15"/>
  <c r="K96" i="15"/>
  <c r="K80" i="15"/>
  <c r="L80" i="15" s="1"/>
  <c r="N80" i="15" s="1"/>
  <c r="O80" i="15" s="1"/>
  <c r="R80" i="15" s="1"/>
  <c r="K112" i="15"/>
  <c r="L112" i="15" s="1"/>
  <c r="N112" i="15" s="1"/>
  <c r="O112" i="15" s="1"/>
  <c r="R112" i="15" s="1"/>
  <c r="K97" i="15"/>
  <c r="K113" i="15"/>
  <c r="L113" i="15" s="1"/>
  <c r="N113" i="15" s="1"/>
  <c r="O113" i="15" s="1"/>
  <c r="R113" i="15" s="1"/>
  <c r="K81" i="15"/>
  <c r="L81" i="15" s="1"/>
  <c r="N81" i="15" s="1"/>
  <c r="O81" i="15" s="1"/>
  <c r="R81" i="15" s="1"/>
  <c r="K98" i="15"/>
  <c r="K99" i="15"/>
  <c r="K100" i="15"/>
  <c r="K132" i="15" s="1"/>
  <c r="K114" i="15"/>
  <c r="L114" i="15" s="1"/>
  <c r="N114" i="15" s="1"/>
  <c r="O114" i="15" s="1"/>
  <c r="R114" i="15" s="1"/>
  <c r="K82" i="15"/>
  <c r="L82" i="15" s="1"/>
  <c r="N82" i="15" s="1"/>
  <c r="O82" i="15" s="1"/>
  <c r="R82" i="15" s="1"/>
  <c r="F18" i="13"/>
  <c r="F22" i="13" s="1"/>
  <c r="F5" i="13"/>
  <c r="F7" i="13" s="1"/>
  <c r="F11" i="13" s="1"/>
  <c r="F12" i="13" s="1"/>
  <c r="O186" i="13"/>
  <c r="U186" i="13"/>
  <c r="S186" i="13"/>
  <c r="U148" i="13"/>
  <c r="O148" i="13"/>
  <c r="S148" i="13"/>
  <c r="O167" i="13"/>
  <c r="S167" i="13"/>
  <c r="U167" i="13"/>
  <c r="O149" i="13"/>
  <c r="I6" i="13"/>
  <c r="I16" i="13"/>
  <c r="S149" i="13"/>
  <c r="U149" i="13"/>
  <c r="O6" i="13"/>
  <c r="O187" i="13"/>
  <c r="O16" i="13"/>
  <c r="U187" i="13"/>
  <c r="O17" i="13" s="1"/>
  <c r="S187" i="13"/>
  <c r="O15" i="13" s="1"/>
  <c r="L6" i="13"/>
  <c r="O168" i="13"/>
  <c r="L16" i="13"/>
  <c r="U168" i="13"/>
  <c r="S168" i="13"/>
  <c r="L15" i="13" s="1"/>
  <c r="J28" i="9"/>
  <c r="L28" i="9" s="1"/>
  <c r="C150" i="15"/>
  <c r="E150" i="15" s="1"/>
  <c r="L22" i="1"/>
  <c r="L19" i="1"/>
  <c r="L20" i="1"/>
  <c r="L21" i="1" s="1"/>
  <c r="T26" i="5"/>
  <c r="P37" i="5"/>
  <c r="S26" i="5"/>
  <c r="R27" i="5" s="1"/>
  <c r="G29" i="9" s="1"/>
  <c r="I29" i="9" s="1"/>
  <c r="F34" i="6"/>
  <c r="E34" i="6"/>
  <c r="O38" i="5"/>
  <c r="N39" i="5"/>
  <c r="U26" i="5"/>
  <c r="F35" i="6"/>
  <c r="E35" i="6"/>
  <c r="D20" i="6"/>
  <c r="G20" i="6"/>
  <c r="P38" i="5" a="1"/>
  <c r="O5" i="13" l="1"/>
  <c r="L17" i="13"/>
  <c r="L5" i="13"/>
  <c r="L7" i="13" s="1"/>
  <c r="L8" i="13" s="1"/>
  <c r="F19" i="13"/>
  <c r="L93" i="15"/>
  <c r="N93" i="15" s="1"/>
  <c r="O93" i="15" s="1"/>
  <c r="R83" i="15"/>
  <c r="G61" i="15" s="1"/>
  <c r="K121" i="15"/>
  <c r="L121" i="15" s="1"/>
  <c r="N121" i="15" s="1"/>
  <c r="O121" i="15" s="1"/>
  <c r="L89" i="15"/>
  <c r="N89" i="15" s="1"/>
  <c r="O89" i="15" s="1"/>
  <c r="K124" i="15"/>
  <c r="L124" i="15" s="1"/>
  <c r="N124" i="15" s="1"/>
  <c r="O124" i="15" s="1"/>
  <c r="L92" i="15"/>
  <c r="N92" i="15" s="1"/>
  <c r="O92" i="15" s="1"/>
  <c r="K120" i="15"/>
  <c r="L120" i="15" s="1"/>
  <c r="N120" i="15" s="1"/>
  <c r="O120" i="15" s="1"/>
  <c r="L88" i="15"/>
  <c r="N88" i="15" s="1"/>
  <c r="O88" i="15" s="1"/>
  <c r="R115" i="15"/>
  <c r="G62" i="15" s="1"/>
  <c r="L91" i="15"/>
  <c r="N91" i="15" s="1"/>
  <c r="O91" i="15" s="1"/>
  <c r="K123" i="15"/>
  <c r="L123" i="15" s="1"/>
  <c r="N123" i="15" s="1"/>
  <c r="O123" i="15" s="1"/>
  <c r="L87" i="15"/>
  <c r="N87" i="15" s="1"/>
  <c r="O87" i="15" s="1"/>
  <c r="K119" i="15"/>
  <c r="L119" i="15" s="1"/>
  <c r="N119" i="15" s="1"/>
  <c r="O119" i="15" s="1"/>
  <c r="O7" i="13"/>
  <c r="O11" i="13" s="1"/>
  <c r="O12" i="13" s="1"/>
  <c r="K122" i="15"/>
  <c r="L122" i="15" s="1"/>
  <c r="N122" i="15" s="1"/>
  <c r="O122" i="15" s="1"/>
  <c r="L90" i="15"/>
  <c r="N90" i="15" s="1"/>
  <c r="O90" i="15" s="1"/>
  <c r="F8" i="13"/>
  <c r="S6" i="13" s="1"/>
  <c r="F20" i="13"/>
  <c r="F21" i="13" s="1"/>
  <c r="I5" i="13"/>
  <c r="I7" i="13" s="1"/>
  <c r="I8" i="13" s="1"/>
  <c r="S5" i="13" s="1"/>
  <c r="O18" i="13"/>
  <c r="I17" i="13"/>
  <c r="I15" i="13"/>
  <c r="L18" i="13"/>
  <c r="J29" i="9"/>
  <c r="L29" i="9" s="1"/>
  <c r="K125" i="15"/>
  <c r="L125" i="15" s="1"/>
  <c r="N125" i="15" s="1"/>
  <c r="O125" i="15" s="1"/>
  <c r="C152" i="15"/>
  <c r="E152" i="15" s="1"/>
  <c r="P38" i="5"/>
  <c r="T27" i="5"/>
  <c r="S27" i="5"/>
  <c r="R28" i="5" s="1"/>
  <c r="G30" i="9" s="1"/>
  <c r="I30" i="9" s="1"/>
  <c r="U27" i="5"/>
  <c r="O39" i="5"/>
  <c r="N40" i="5"/>
  <c r="N41" i="5" s="1"/>
  <c r="A36" i="6"/>
  <c r="B36" i="6" s="1"/>
  <c r="C21" i="6"/>
  <c r="F36" i="6" a="1"/>
  <c r="P39" i="5" a="1"/>
  <c r="E36" i="6" a="1"/>
  <c r="Q93" i="15" l="1"/>
  <c r="O8" i="13"/>
  <c r="W5" i="13" s="1"/>
  <c r="O20" i="13"/>
  <c r="O21" i="13" s="1"/>
  <c r="I11" i="13"/>
  <c r="I12" i="13" s="1"/>
  <c r="Q124" i="15"/>
  <c r="R124" i="15" s="1"/>
  <c r="S7" i="13"/>
  <c r="B7" i="16" s="1"/>
  <c r="F13" i="16" s="1"/>
  <c r="Q92" i="15"/>
  <c r="R92" i="15" s="1"/>
  <c r="Q89" i="15"/>
  <c r="R89" i="15" s="1"/>
  <c r="O19" i="13"/>
  <c r="Q91" i="15"/>
  <c r="R91" i="15" s="1"/>
  <c r="Q123" i="15"/>
  <c r="R123" i="15" s="1"/>
  <c r="Q121" i="15"/>
  <c r="R121" i="15" s="1"/>
  <c r="L11" i="13"/>
  <c r="L12" i="13" s="1"/>
  <c r="W6" i="13"/>
  <c r="W7" i="13" s="1"/>
  <c r="C7" i="16" s="1"/>
  <c r="F14" i="16" s="1"/>
  <c r="Q119" i="15"/>
  <c r="R119" i="15" s="1"/>
  <c r="Q120" i="15"/>
  <c r="R120" i="15" s="1"/>
  <c r="Q87" i="15"/>
  <c r="R87" i="15" s="1"/>
  <c r="Q88" i="15"/>
  <c r="R88" i="15" s="1"/>
  <c r="L20" i="13"/>
  <c r="L21" i="13" s="1"/>
  <c r="Q90" i="15"/>
  <c r="R90" i="15" s="1"/>
  <c r="Q122" i="15"/>
  <c r="R122" i="15" s="1"/>
  <c r="O22" i="13"/>
  <c r="I18" i="13"/>
  <c r="L19" i="13"/>
  <c r="L22" i="13"/>
  <c r="O41" i="5"/>
  <c r="N42" i="5"/>
  <c r="J30" i="9"/>
  <c r="L30" i="9" s="1"/>
  <c r="K126" i="15"/>
  <c r="L126" i="15" s="1"/>
  <c r="N126" i="15" s="1"/>
  <c r="O126" i="15" s="1"/>
  <c r="Q126" i="15" s="1"/>
  <c r="L94" i="15"/>
  <c r="N94" i="15" s="1"/>
  <c r="C154" i="15"/>
  <c r="E154" i="15" s="1"/>
  <c r="R93" i="15"/>
  <c r="Q125" i="15"/>
  <c r="R125" i="15" s="1"/>
  <c r="P39" i="5"/>
  <c r="S28" i="5"/>
  <c r="R29" i="5" s="1"/>
  <c r="G31" i="9" s="1"/>
  <c r="I31" i="9" s="1"/>
  <c r="T28" i="5"/>
  <c r="F36" i="6"/>
  <c r="E36" i="6"/>
  <c r="O40" i="5"/>
  <c r="A37" i="6"/>
  <c r="B37" i="6" s="1"/>
  <c r="U28" i="5"/>
  <c r="D21" i="6"/>
  <c r="G21" i="6"/>
  <c r="E37" i="6" a="1"/>
  <c r="F37" i="6" a="1"/>
  <c r="P40" i="5" a="1"/>
  <c r="P41" i="5" a="1"/>
  <c r="I20" i="13" l="1"/>
  <c r="I21" i="13" s="1"/>
  <c r="I22" i="13"/>
  <c r="I19" i="13"/>
  <c r="P41" i="5"/>
  <c r="O42" i="5"/>
  <c r="N43" i="5"/>
  <c r="J31" i="9"/>
  <c r="L31" i="9" s="1"/>
  <c r="L7" i="9" s="1"/>
  <c r="O94" i="15"/>
  <c r="Q94" i="15" s="1"/>
  <c r="R94" i="15" s="1"/>
  <c r="L95" i="15"/>
  <c r="N95" i="15" s="1"/>
  <c r="O95" i="15" s="1"/>
  <c r="K127" i="15"/>
  <c r="L127" i="15" s="1"/>
  <c r="N127" i="15" s="1"/>
  <c r="O127" i="15" s="1"/>
  <c r="Q127" i="15" s="1"/>
  <c r="R126" i="15"/>
  <c r="C158" i="15"/>
  <c r="E158" i="15" s="1"/>
  <c r="C160" i="15"/>
  <c r="E160" i="15" s="1"/>
  <c r="C156" i="15"/>
  <c r="E156" i="15" s="1"/>
  <c r="T29" i="5"/>
  <c r="P40" i="5"/>
  <c r="U29" i="5"/>
  <c r="S29" i="5"/>
  <c r="R30" i="5" s="1"/>
  <c r="G32" i="9" s="1"/>
  <c r="E37" i="6"/>
  <c r="F37" i="6"/>
  <c r="C22" i="6"/>
  <c r="P42" i="5" a="1"/>
  <c r="I32" i="9" l="1"/>
  <c r="J32" i="9"/>
  <c r="L32" i="9" s="1"/>
  <c r="P42" i="5"/>
  <c r="O43" i="5"/>
  <c r="N44" i="5"/>
  <c r="Q95" i="15"/>
  <c r="R95" i="15" s="1"/>
  <c r="K128" i="15"/>
  <c r="L128" i="15" s="1"/>
  <c r="N128" i="15" s="1"/>
  <c r="O128" i="15" s="1"/>
  <c r="Q128" i="15" s="1"/>
  <c r="L96" i="15"/>
  <c r="N96" i="15" s="1"/>
  <c r="O96" i="15" s="1"/>
  <c r="Q96" i="15" s="1"/>
  <c r="K129" i="15"/>
  <c r="L129" i="15" s="1"/>
  <c r="L97" i="15"/>
  <c r="N97" i="15" s="1"/>
  <c r="O97" i="15" s="1"/>
  <c r="K130" i="15"/>
  <c r="L130" i="15" s="1"/>
  <c r="N130" i="15" s="1"/>
  <c r="O130" i="15" s="1"/>
  <c r="L98" i="15"/>
  <c r="N98" i="15" s="1"/>
  <c r="O98" i="15" s="1"/>
  <c r="R127" i="15"/>
  <c r="S30" i="5"/>
  <c r="R31" i="5" s="1"/>
  <c r="G33" i="9" s="1"/>
  <c r="T30" i="5"/>
  <c r="U30" i="5"/>
  <c r="D22" i="6"/>
  <c r="G22" i="6"/>
  <c r="P43" i="5" a="1"/>
  <c r="I33" i="9" l="1"/>
  <c r="J33" i="9"/>
  <c r="L33" i="9" s="1"/>
  <c r="P43" i="5"/>
  <c r="N45" i="5"/>
  <c r="O44" i="5"/>
  <c r="N129" i="15"/>
  <c r="O129" i="15" s="1"/>
  <c r="Q98" i="15"/>
  <c r="R98" i="15" s="1"/>
  <c r="T31" i="5"/>
  <c r="C162" i="15"/>
  <c r="E162" i="15" s="1"/>
  <c r="L99" i="15" s="1"/>
  <c r="N99" i="15" s="1"/>
  <c r="O99" i="15" s="1"/>
  <c r="Q99" i="15" s="1"/>
  <c r="Q97" i="15"/>
  <c r="R97" i="15" s="1"/>
  <c r="R96" i="15"/>
  <c r="R128" i="15"/>
  <c r="S31" i="5"/>
  <c r="R32" i="5" s="1"/>
  <c r="G34" i="9" s="1"/>
  <c r="U31" i="5"/>
  <c r="C23" i="6"/>
  <c r="P44" i="5" a="1"/>
  <c r="J34" i="9" l="1"/>
  <c r="L34" i="9" s="1"/>
  <c r="I34" i="9"/>
  <c r="P44" i="5"/>
  <c r="O45" i="5"/>
  <c r="N46" i="5"/>
  <c r="Q130" i="15"/>
  <c r="R130" i="15" s="1"/>
  <c r="Q129" i="15"/>
  <c r="R129" i="15" s="1"/>
  <c r="K131" i="15"/>
  <c r="L131" i="15" s="1"/>
  <c r="N131" i="15" s="1"/>
  <c r="O131" i="15" s="1"/>
  <c r="S32" i="5"/>
  <c r="R33" i="5" s="1"/>
  <c r="G35" i="9" s="1"/>
  <c r="T32" i="5"/>
  <c r="U32" i="5"/>
  <c r="D23" i="6"/>
  <c r="G23" i="6"/>
  <c r="P45" i="5" a="1"/>
  <c r="J35" i="9" l="1"/>
  <c r="L35" i="9" s="1"/>
  <c r="I35" i="9"/>
  <c r="P45" i="5"/>
  <c r="N47" i="5"/>
  <c r="O46" i="5"/>
  <c r="Q131" i="15"/>
  <c r="R131" i="15" s="1"/>
  <c r="R99" i="15"/>
  <c r="T33" i="5"/>
  <c r="C164" i="15"/>
  <c r="E164" i="15" s="1"/>
  <c r="S33" i="5"/>
  <c r="R34" i="5" s="1"/>
  <c r="G36" i="9" s="1"/>
  <c r="U33" i="5"/>
  <c r="C24" i="6"/>
  <c r="P46" i="5" a="1"/>
  <c r="J36" i="9" l="1"/>
  <c r="L36" i="9" s="1"/>
  <c r="I36" i="9"/>
  <c r="P46" i="5"/>
  <c r="N48" i="5"/>
  <c r="O47" i="5"/>
  <c r="L132" i="15"/>
  <c r="N132" i="15" s="1"/>
  <c r="O132" i="15" s="1"/>
  <c r="L100" i="15"/>
  <c r="N100" i="15" s="1"/>
  <c r="O100" i="15" s="1"/>
  <c r="B70" i="15" s="1"/>
  <c r="S34" i="5"/>
  <c r="R35" i="5" s="1"/>
  <c r="G37" i="9" s="1"/>
  <c r="T34" i="5"/>
  <c r="U34" i="5"/>
  <c r="C25" i="6"/>
  <c r="D24" i="6"/>
  <c r="G24" i="6"/>
  <c r="P47" i="5" a="1"/>
  <c r="J37" i="9" l="1"/>
  <c r="L37" i="9" s="1"/>
  <c r="I37" i="9"/>
  <c r="P47" i="5"/>
  <c r="O48" i="5"/>
  <c r="N49" i="5"/>
  <c r="T35" i="5"/>
  <c r="Q100" i="15"/>
  <c r="R100" i="15" s="1"/>
  <c r="C70" i="15"/>
  <c r="Q132" i="15"/>
  <c r="R132" i="15" s="1"/>
  <c r="S35" i="5"/>
  <c r="R36" i="5" s="1"/>
  <c r="G38" i="9" s="1"/>
  <c r="U35" i="5"/>
  <c r="D25" i="6"/>
  <c r="G25" i="6"/>
  <c r="P48" i="5" a="1"/>
  <c r="J38" i="9" l="1"/>
  <c r="L38" i="9" s="1"/>
  <c r="I38" i="9"/>
  <c r="P48" i="5"/>
  <c r="O49" i="5"/>
  <c r="N50" i="5"/>
  <c r="T36" i="5"/>
  <c r="R133" i="15"/>
  <c r="H62" i="15" s="1"/>
  <c r="I62" i="15" s="1"/>
  <c r="J62" i="15" s="1"/>
  <c r="C9" i="16" s="1"/>
  <c r="B14" i="16" s="1"/>
  <c r="R101" i="15"/>
  <c r="H61" i="15" s="1"/>
  <c r="I61" i="15" s="1"/>
  <c r="J61" i="15" s="1"/>
  <c r="B9" i="16" s="1"/>
  <c r="B13" i="16" s="1"/>
  <c r="U36" i="5"/>
  <c r="S36" i="5"/>
  <c r="R37" i="5" s="1"/>
  <c r="G39" i="9" s="1"/>
  <c r="C26" i="6"/>
  <c r="P49" i="5" a="1"/>
  <c r="J39" i="9" l="1"/>
  <c r="L39" i="9" s="1"/>
  <c r="I39" i="9"/>
  <c r="P49" i="5"/>
  <c r="O50" i="5"/>
  <c r="N51" i="5"/>
  <c r="S37" i="5"/>
  <c r="R38" i="5" s="1"/>
  <c r="G40" i="9" s="1"/>
  <c r="T37" i="5"/>
  <c r="U37" i="5"/>
  <c r="D26" i="6"/>
  <c r="G26" i="6"/>
  <c r="P50" i="5" a="1"/>
  <c r="D13" i="16" l="1" a="1"/>
  <c r="D14" i="16" s="1"/>
  <c r="D9" i="16" s="1"/>
  <c r="J40" i="9"/>
  <c r="L40" i="9" s="1"/>
  <c r="I40" i="9"/>
  <c r="P50" i="5"/>
  <c r="O51" i="5"/>
  <c r="N52" i="5"/>
  <c r="T38" i="5"/>
  <c r="S38" i="5"/>
  <c r="R39" i="5" s="1"/>
  <c r="G41" i="9" s="1"/>
  <c r="U38" i="5"/>
  <c r="C27" i="6"/>
  <c r="P51" i="5" a="1"/>
  <c r="D13" i="16" l="1"/>
  <c r="D8" i="16" s="1"/>
  <c r="D10" i="16" s="1"/>
  <c r="J41" i="9"/>
  <c r="L41" i="9" s="1"/>
  <c r="I41" i="9"/>
  <c r="P51" i="5"/>
  <c r="N53" i="5"/>
  <c r="O52" i="5"/>
  <c r="U39" i="5"/>
  <c r="T39" i="5"/>
  <c r="S39" i="5"/>
  <c r="R40" i="5" s="1"/>
  <c r="G42" i="9" s="1"/>
  <c r="D27" i="6"/>
  <c r="G27" i="6"/>
  <c r="P52" i="5" a="1"/>
  <c r="J42" i="9" l="1"/>
  <c r="L42" i="9" s="1"/>
  <c r="I42" i="9"/>
  <c r="P52" i="5"/>
  <c r="N54" i="5"/>
  <c r="O53" i="5"/>
  <c r="T40" i="5"/>
  <c r="S40" i="5"/>
  <c r="U40" i="5"/>
  <c r="C28" i="6"/>
  <c r="P53" i="5" a="1"/>
  <c r="P53" i="5" l="1"/>
  <c r="R41" i="5"/>
  <c r="G43" i="9" s="1"/>
  <c r="N55" i="5"/>
  <c r="O54" i="5"/>
  <c r="D28" i="6"/>
  <c r="G28" i="6"/>
  <c r="P54" i="5" a="1"/>
  <c r="J43" i="9" l="1"/>
  <c r="L43" i="9" s="1"/>
  <c r="I43" i="9"/>
  <c r="P54" i="5"/>
  <c r="U41" i="5"/>
  <c r="T41" i="5"/>
  <c r="S41" i="5"/>
  <c r="N56" i="5"/>
  <c r="O55" i="5"/>
  <c r="C29" i="6"/>
  <c r="P55" i="5" a="1"/>
  <c r="P55" i="5" l="1"/>
  <c r="N57" i="5"/>
  <c r="O56" i="5"/>
  <c r="R42" i="5"/>
  <c r="G44" i="9" s="1"/>
  <c r="D29" i="6"/>
  <c r="G29" i="6"/>
  <c r="P56" i="5" a="1"/>
  <c r="J44" i="9" l="1"/>
  <c r="L44" i="9" s="1"/>
  <c r="I44" i="9"/>
  <c r="S42" i="5"/>
  <c r="R43" i="5" s="1"/>
  <c r="G45" i="9" s="1"/>
  <c r="P56" i="5"/>
  <c r="O57" i="5"/>
  <c r="N58" i="5"/>
  <c r="U42" i="5"/>
  <c r="T42" i="5"/>
  <c r="C30" i="6"/>
  <c r="P57" i="5" a="1"/>
  <c r="J45" i="9" l="1"/>
  <c r="L45" i="9" s="1"/>
  <c r="I45" i="9"/>
  <c r="T43" i="5"/>
  <c r="P57" i="5"/>
  <c r="O58" i="5"/>
  <c r="N59" i="5"/>
  <c r="U43" i="5"/>
  <c r="S43" i="5"/>
  <c r="C31" i="6"/>
  <c r="D30" i="6"/>
  <c r="G30" i="6"/>
  <c r="P58" i="5" a="1"/>
  <c r="P58" i="5" l="1"/>
  <c r="R44" i="5"/>
  <c r="G46" i="9" s="1"/>
  <c r="O59" i="5"/>
  <c r="N60" i="5"/>
  <c r="D31" i="6"/>
  <c r="G31" i="6"/>
  <c r="P59" i="5" a="1"/>
  <c r="J46" i="9" l="1"/>
  <c r="L46" i="9" s="1"/>
  <c r="I46" i="9"/>
  <c r="P59" i="5"/>
  <c r="U44" i="5"/>
  <c r="T44" i="5"/>
  <c r="S44" i="5"/>
  <c r="O60" i="5"/>
  <c r="N61" i="5"/>
  <c r="C32" i="6"/>
  <c r="P60" i="5" a="1"/>
  <c r="P60" i="5" l="1"/>
  <c r="R45" i="5"/>
  <c r="G47" i="9" s="1"/>
  <c r="N62" i="5"/>
  <c r="O61" i="5"/>
  <c r="D32" i="6"/>
  <c r="G32" i="6"/>
  <c r="P61" i="5" a="1"/>
  <c r="J47" i="9" l="1"/>
  <c r="L47" i="9" s="1"/>
  <c r="I47" i="9"/>
  <c r="S45" i="5"/>
  <c r="R46" i="5" s="1"/>
  <c r="G48" i="9" s="1"/>
  <c r="P61" i="5"/>
  <c r="N63" i="5"/>
  <c r="O62" i="5"/>
  <c r="U45" i="5"/>
  <c r="T45" i="5"/>
  <c r="C33" i="6"/>
  <c r="P62" i="5" a="1"/>
  <c r="J48" i="9" l="1"/>
  <c r="L48" i="9" s="1"/>
  <c r="I48" i="9"/>
  <c r="U46" i="5"/>
  <c r="P62" i="5"/>
  <c r="T46" i="5"/>
  <c r="O63" i="5"/>
  <c r="N64" i="5"/>
  <c r="S46" i="5"/>
  <c r="D33" i="6"/>
  <c r="G33" i="6"/>
  <c r="P63" i="5" a="1"/>
  <c r="P63" i="5" l="1"/>
  <c r="R47" i="5"/>
  <c r="G49" i="9" s="1"/>
  <c r="N65" i="5"/>
  <c r="O64" i="5"/>
  <c r="C34" i="6"/>
  <c r="P64" i="5" a="1"/>
  <c r="J49" i="9" l="1"/>
  <c r="L49" i="9" s="1"/>
  <c r="I49" i="9"/>
  <c r="P64" i="5"/>
  <c r="O65" i="5"/>
  <c r="N66" i="5"/>
  <c r="T47" i="5"/>
  <c r="U47" i="5"/>
  <c r="S47" i="5"/>
  <c r="D34" i="6"/>
  <c r="G34" i="6"/>
  <c r="P65" i="5" a="1"/>
  <c r="P65" i="5" l="1"/>
  <c r="O66" i="5"/>
  <c r="N67" i="5"/>
  <c r="R48" i="5"/>
  <c r="G50" i="9" s="1"/>
  <c r="C35" i="6"/>
  <c r="P66" i="5" a="1"/>
  <c r="I50" i="9" l="1"/>
  <c r="J50" i="9"/>
  <c r="L50" i="9" s="1"/>
  <c r="P66" i="5"/>
  <c r="U48" i="5"/>
  <c r="T48" i="5"/>
  <c r="S48" i="5"/>
  <c r="N68" i="5"/>
  <c r="O67" i="5"/>
  <c r="C36" i="6"/>
  <c r="D35" i="6"/>
  <c r="G35" i="6"/>
  <c r="P67" i="5" a="1"/>
  <c r="P67" i="5" l="1"/>
  <c r="O68" i="5"/>
  <c r="N69" i="5"/>
  <c r="R49" i="5"/>
  <c r="G51" i="9" s="1"/>
  <c r="C37" i="6"/>
  <c r="D36" i="6"/>
  <c r="G36" i="6"/>
  <c r="P68" i="5" a="1"/>
  <c r="J51" i="9" l="1"/>
  <c r="L51" i="9" s="1"/>
  <c r="I51" i="9"/>
  <c r="P68" i="5"/>
  <c r="T49" i="5"/>
  <c r="U49" i="5"/>
  <c r="S49" i="5"/>
  <c r="O69" i="5"/>
  <c r="D37" i="6"/>
  <c r="G37" i="6"/>
  <c r="P69" i="5" a="1"/>
  <c r="P69" i="5" l="1"/>
  <c r="R50" i="5"/>
  <c r="G52" i="9" s="1"/>
  <c r="J8" i="6"/>
  <c r="N7" i="7"/>
  <c r="Q8" i="7" s="1"/>
  <c r="J52" i="9" l="1"/>
  <c r="L52" i="9" s="1"/>
  <c r="I52" i="9"/>
  <c r="T50" i="5"/>
  <c r="U50" i="5"/>
  <c r="S50" i="5"/>
  <c r="O7" i="7"/>
  <c r="D4" i="8"/>
  <c r="S7" i="7"/>
  <c r="R7" i="7"/>
  <c r="N8" i="7"/>
  <c r="R51" i="5" l="1"/>
  <c r="G53" i="9" s="1"/>
  <c r="D5" i="8"/>
  <c r="N9" i="7"/>
  <c r="C4" i="8"/>
  <c r="H4" i="8"/>
  <c r="O8" i="7"/>
  <c r="Q9" i="7"/>
  <c r="R8" i="7"/>
  <c r="S8" i="7"/>
  <c r="J53" i="9" l="1"/>
  <c r="L53" i="9" s="1"/>
  <c r="I53" i="9"/>
  <c r="S51" i="5"/>
  <c r="U51" i="5"/>
  <c r="T51" i="5"/>
  <c r="R52" i="5"/>
  <c r="G54" i="9" s="1"/>
  <c r="C5" i="8"/>
  <c r="E5" i="8" s="1"/>
  <c r="I5" i="8" s="1"/>
  <c r="O9" i="7"/>
  <c r="Q10" i="7"/>
  <c r="E4" i="8"/>
  <c r="I4" i="8" s="1"/>
  <c r="D6" i="8"/>
  <c r="N10" i="7"/>
  <c r="S9" i="7"/>
  <c r="H5" i="8"/>
  <c r="R9" i="7"/>
  <c r="J54" i="9" l="1"/>
  <c r="L54" i="9" s="1"/>
  <c r="I54" i="9"/>
  <c r="T52" i="5"/>
  <c r="S52" i="5"/>
  <c r="U52" i="5"/>
  <c r="D7" i="8"/>
  <c r="N11" i="7"/>
  <c r="H6" i="8"/>
  <c r="C6" i="8"/>
  <c r="Q11" i="7"/>
  <c r="O10" i="7"/>
  <c r="R10" i="7"/>
  <c r="S10" i="7"/>
  <c r="C7" i="8" l="1"/>
  <c r="R53" i="5"/>
  <c r="G55" i="9" s="1"/>
  <c r="E6" i="8"/>
  <c r="I6" i="8" s="1"/>
  <c r="N12" i="7"/>
  <c r="D8" i="8"/>
  <c r="E7" i="8"/>
  <c r="I7" i="8" s="1"/>
  <c r="H7" i="8"/>
  <c r="O11" i="7"/>
  <c r="Q12" i="7"/>
  <c r="S11" i="7"/>
  <c r="R11" i="7"/>
  <c r="J55" i="9" l="1"/>
  <c r="L55" i="9" s="1"/>
  <c r="I55" i="9"/>
  <c r="U53" i="5"/>
  <c r="T53" i="5"/>
  <c r="S53" i="5"/>
  <c r="H8" i="8"/>
  <c r="N13" i="7"/>
  <c r="D9" i="8"/>
  <c r="C8" i="8"/>
  <c r="R12" i="7"/>
  <c r="O12" i="7"/>
  <c r="Q13" i="7"/>
  <c r="S12" i="7"/>
  <c r="R54" i="5" l="1"/>
  <c r="G56" i="9" s="1"/>
  <c r="C9" i="8"/>
  <c r="E9" i="8"/>
  <c r="I9" i="8" s="1"/>
  <c r="H9" i="8"/>
  <c r="N14" i="7"/>
  <c r="D10" i="8"/>
  <c r="E8" i="8"/>
  <c r="I8" i="8" s="1"/>
  <c r="Q14" i="7"/>
  <c r="O13" i="7"/>
  <c r="S13" i="7"/>
  <c r="J56" i="9" l="1"/>
  <c r="L56" i="9" s="1"/>
  <c r="I56" i="9"/>
  <c r="U54" i="5"/>
  <c r="T54" i="5"/>
  <c r="S54" i="5"/>
  <c r="H10" i="8"/>
  <c r="N15" i="7"/>
  <c r="D11" i="8"/>
  <c r="S14" i="7"/>
  <c r="C10" i="8"/>
  <c r="O14" i="7"/>
  <c r="Q15" i="7"/>
  <c r="R14" i="7"/>
  <c r="R55" i="5" l="1"/>
  <c r="G57" i="9" s="1"/>
  <c r="C11" i="8"/>
  <c r="N16" i="7"/>
  <c r="S16" i="7" s="1"/>
  <c r="D12" i="8"/>
  <c r="E11" i="8"/>
  <c r="I11" i="8" s="1"/>
  <c r="H11" i="8"/>
  <c r="S15" i="7"/>
  <c r="E10" i="8"/>
  <c r="I10" i="8" s="1"/>
  <c r="Q16" i="7"/>
  <c r="O15" i="7"/>
  <c r="R15" i="7"/>
  <c r="J57" i="9" l="1"/>
  <c r="L57" i="9" s="1"/>
  <c r="I57" i="9"/>
  <c r="U55" i="5"/>
  <c r="T55" i="5"/>
  <c r="S55" i="5"/>
  <c r="Q17" i="7"/>
  <c r="H12" i="8"/>
  <c r="D13" i="8"/>
  <c r="N18" i="7"/>
  <c r="N17" i="7"/>
  <c r="D14" i="8" s="1"/>
  <c r="C12" i="8"/>
  <c r="O16" i="7"/>
  <c r="O17" i="7" s="1"/>
  <c r="Q19" i="7" s="1"/>
  <c r="R16" i="7"/>
  <c r="R56" i="5" l="1"/>
  <c r="G58" i="9" s="1"/>
  <c r="C13" i="8"/>
  <c r="C14" i="8"/>
  <c r="E13" i="8"/>
  <c r="I13" i="8" s="1"/>
  <c r="H13" i="8"/>
  <c r="E14" i="8"/>
  <c r="I14" i="8" s="1"/>
  <c r="H14" i="8"/>
  <c r="N19" i="7"/>
  <c r="D16" i="8" s="1"/>
  <c r="D15" i="8"/>
  <c r="N21" i="7"/>
  <c r="N20" i="7"/>
  <c r="D17" i="8" s="1"/>
  <c r="E12" i="8"/>
  <c r="I12" i="8" s="1"/>
  <c r="S18" i="7"/>
  <c r="S17" i="7"/>
  <c r="R17" i="7"/>
  <c r="J58" i="9" l="1"/>
  <c r="L58" i="9" s="1"/>
  <c r="I58" i="9"/>
  <c r="U56" i="5"/>
  <c r="T56" i="5"/>
  <c r="S56" i="5"/>
  <c r="H15" i="8"/>
  <c r="N24" i="7"/>
  <c r="D21" i="8" s="1"/>
  <c r="D18" i="8"/>
  <c r="N26" i="7"/>
  <c r="N25" i="7"/>
  <c r="D22" i="8" s="1"/>
  <c r="N22" i="7"/>
  <c r="D19" i="8" s="1"/>
  <c r="N23" i="7"/>
  <c r="D20" i="8" s="1"/>
  <c r="H16" i="8"/>
  <c r="H17" i="8"/>
  <c r="C15" i="8"/>
  <c r="C16" i="8" s="1"/>
  <c r="C17" i="8" s="1"/>
  <c r="R18" i="7"/>
  <c r="O18" i="7"/>
  <c r="S19" i="7"/>
  <c r="R57" i="5" l="1"/>
  <c r="G59" i="9" s="1"/>
  <c r="C18" i="8"/>
  <c r="H20" i="8"/>
  <c r="H19" i="8"/>
  <c r="H22" i="8"/>
  <c r="N29" i="7"/>
  <c r="D26" i="8" s="1"/>
  <c r="D23" i="8"/>
  <c r="N28" i="7"/>
  <c r="D25" i="8" s="1"/>
  <c r="N30" i="7"/>
  <c r="D27" i="8" s="1"/>
  <c r="N31" i="7"/>
  <c r="N27" i="7"/>
  <c r="D24" i="8" s="1"/>
  <c r="H21" i="8"/>
  <c r="C19" i="8"/>
  <c r="C20" i="8" s="1"/>
  <c r="C21" i="8" s="1"/>
  <c r="C22" i="8" s="1"/>
  <c r="E18" i="8"/>
  <c r="I18" i="8" s="1"/>
  <c r="H18" i="8"/>
  <c r="E17" i="8"/>
  <c r="I17" i="8" s="1"/>
  <c r="E16" i="8"/>
  <c r="I16" i="8" s="1"/>
  <c r="E15" i="8"/>
  <c r="I15" i="8" s="1"/>
  <c r="O19" i="7"/>
  <c r="R19" i="7"/>
  <c r="J59" i="9" l="1"/>
  <c r="L59" i="9" s="1"/>
  <c r="I59" i="9"/>
  <c r="U57" i="5"/>
  <c r="T57" i="5"/>
  <c r="S57" i="5"/>
  <c r="C23" i="8"/>
  <c r="C24" i="8" s="1"/>
  <c r="C25" i="8" s="1"/>
  <c r="H26" i="8"/>
  <c r="E23" i="8"/>
  <c r="I23" i="8" s="1"/>
  <c r="H23" i="8"/>
  <c r="E21" i="8"/>
  <c r="I21" i="8" s="1"/>
  <c r="E22" i="8"/>
  <c r="I22" i="8" s="1"/>
  <c r="H24" i="8"/>
  <c r="N32" i="7"/>
  <c r="D29" i="8" s="1"/>
  <c r="D28" i="8"/>
  <c r="N35" i="7"/>
  <c r="D32" i="8" s="1"/>
  <c r="N36" i="7"/>
  <c r="D33" i="8" s="1"/>
  <c r="H33" i="8" s="1"/>
  <c r="N34" i="7"/>
  <c r="D31" i="8" s="1"/>
  <c r="N33" i="7"/>
  <c r="D30" i="8" s="1"/>
  <c r="E19" i="8"/>
  <c r="I19" i="8" s="1"/>
  <c r="H27" i="8"/>
  <c r="H25" i="8"/>
  <c r="E20" i="8"/>
  <c r="I20" i="8" s="1"/>
  <c r="O20" i="7"/>
  <c r="Q22" i="7" s="1"/>
  <c r="R20" i="7"/>
  <c r="S20" i="7"/>
  <c r="E24" i="8" l="1"/>
  <c r="I24" i="8" s="1"/>
  <c r="R58" i="5"/>
  <c r="G60" i="9" s="1"/>
  <c r="C26" i="8"/>
  <c r="C27" i="8" s="1"/>
  <c r="E27" i="8" s="1"/>
  <c r="I27" i="8" s="1"/>
  <c r="E25" i="8"/>
  <c r="I25" i="8" s="1"/>
  <c r="E26" i="8"/>
  <c r="I26" i="8" s="1"/>
  <c r="H31" i="8"/>
  <c r="H32" i="8"/>
  <c r="H28" i="8"/>
  <c r="H30" i="8"/>
  <c r="H29" i="8"/>
  <c r="S22" i="7"/>
  <c r="O21" i="7"/>
  <c r="S21" i="7"/>
  <c r="R21" i="7"/>
  <c r="J60" i="9" l="1"/>
  <c r="L60" i="9" s="1"/>
  <c r="I60" i="9"/>
  <c r="U58" i="5"/>
  <c r="T58" i="5"/>
  <c r="S58" i="5"/>
  <c r="C28" i="8"/>
  <c r="L8" i="8"/>
  <c r="O22" i="7"/>
  <c r="R22" i="7"/>
  <c r="R59" i="5" l="1"/>
  <c r="G61" i="9" s="1"/>
  <c r="E28" i="8"/>
  <c r="I28" i="8" s="1"/>
  <c r="C29" i="8"/>
  <c r="O23" i="7"/>
  <c r="S23" i="7"/>
  <c r="R23" i="7"/>
  <c r="J61" i="9" l="1"/>
  <c r="L61" i="9" s="1"/>
  <c r="I61" i="9"/>
  <c r="U59" i="5"/>
  <c r="T59" i="5"/>
  <c r="S59" i="5"/>
  <c r="E29" i="8"/>
  <c r="I29" i="8" s="1"/>
  <c r="C30" i="8"/>
  <c r="O24" i="7"/>
  <c r="R24" i="7"/>
  <c r="S24" i="7"/>
  <c r="R60" i="5" l="1"/>
  <c r="G62" i="9" s="1"/>
  <c r="C31" i="8"/>
  <c r="E30" i="8"/>
  <c r="I30" i="8" s="1"/>
  <c r="O25" i="7"/>
  <c r="Q27" i="7" s="1"/>
  <c r="S25" i="7"/>
  <c r="R25" i="7"/>
  <c r="J62" i="9" l="1"/>
  <c r="L62" i="9" s="1"/>
  <c r="I62" i="9"/>
  <c r="U60" i="5"/>
  <c r="T60" i="5"/>
  <c r="S60" i="5"/>
  <c r="C32" i="8"/>
  <c r="E31" i="8"/>
  <c r="I31" i="8" s="1"/>
  <c r="S27" i="7"/>
  <c r="O26" i="7"/>
  <c r="R26" i="7"/>
  <c r="S26" i="7"/>
  <c r="R61" i="5" l="1"/>
  <c r="G63" i="9" s="1"/>
  <c r="C33" i="8"/>
  <c r="E33" i="8" s="1"/>
  <c r="I33" i="8" s="1"/>
  <c r="E32" i="8"/>
  <c r="I32" i="8" s="1"/>
  <c r="O8" i="8" s="1"/>
  <c r="O27" i="7"/>
  <c r="R27" i="7"/>
  <c r="J63" i="9" l="1"/>
  <c r="L63" i="9" s="1"/>
  <c r="I63" i="9"/>
  <c r="U61" i="5"/>
  <c r="T61" i="5"/>
  <c r="S61" i="5"/>
  <c r="O28" i="7"/>
  <c r="R28" i="7"/>
  <c r="S28" i="7"/>
  <c r="R62" i="5" l="1"/>
  <c r="G64" i="9" s="1"/>
  <c r="O29" i="7"/>
  <c r="S30" i="7"/>
  <c r="S29" i="7"/>
  <c r="R29" i="7"/>
  <c r="J64" i="9" l="1"/>
  <c r="L64" i="9" s="1"/>
  <c r="I64" i="9"/>
  <c r="U62" i="5"/>
  <c r="T62" i="5"/>
  <c r="S62" i="5"/>
  <c r="O30" i="7"/>
  <c r="Q32" i="7" s="1"/>
  <c r="R30" i="7"/>
  <c r="S31" i="7"/>
  <c r="R63" i="5" l="1"/>
  <c r="G65" i="9" s="1"/>
  <c r="O31" i="7"/>
  <c r="R31" i="7"/>
  <c r="J65" i="9" l="1"/>
  <c r="L65" i="9" s="1"/>
  <c r="I65" i="9"/>
  <c r="U63" i="5"/>
  <c r="T63" i="5"/>
  <c r="S63" i="5"/>
  <c r="O32" i="7"/>
  <c r="R32" i="7"/>
  <c r="S32" i="7"/>
  <c r="R64" i="5" l="1"/>
  <c r="G66" i="9" s="1"/>
  <c r="O33" i="7"/>
  <c r="S33" i="7"/>
  <c r="R33" i="7"/>
  <c r="R34" i="7" s="1"/>
  <c r="J66" i="9" l="1"/>
  <c r="L66" i="9" s="1"/>
  <c r="I66" i="9"/>
  <c r="U64" i="5"/>
  <c r="T64" i="5"/>
  <c r="S64" i="5"/>
  <c r="O34" i="7"/>
  <c r="S34" i="7"/>
  <c r="R65" i="5" l="1"/>
  <c r="G67" i="9" s="1"/>
  <c r="O35" i="7"/>
  <c r="S36" i="7"/>
  <c r="S35" i="7"/>
  <c r="R35" i="7"/>
  <c r="J67" i="9" l="1"/>
  <c r="L67" i="9" s="1"/>
  <c r="I67" i="9"/>
  <c r="U65" i="5"/>
  <c r="T65" i="5"/>
  <c r="S65" i="5"/>
  <c r="O36" i="7"/>
  <c r="R36" i="7"/>
  <c r="R66" i="5" l="1"/>
  <c r="G68" i="9" s="1"/>
  <c r="J68" i="9" l="1"/>
  <c r="L68" i="9" s="1"/>
  <c r="I68" i="9"/>
  <c r="U66" i="5"/>
  <c r="T66" i="5"/>
  <c r="S66" i="5"/>
  <c r="R67" i="5" l="1"/>
  <c r="G69" i="9" s="1"/>
  <c r="J69" i="9" l="1"/>
  <c r="L69" i="9" s="1"/>
  <c r="I69" i="9"/>
  <c r="U67" i="5"/>
  <c r="T67" i="5"/>
  <c r="S67" i="5"/>
  <c r="R68" i="5" l="1"/>
  <c r="G70" i="9" s="1"/>
  <c r="J70" i="9" l="1"/>
  <c r="L70" i="9" s="1"/>
  <c r="I70" i="9"/>
  <c r="U68" i="5"/>
  <c r="T68" i="5"/>
  <c r="S68" i="5"/>
  <c r="R69" i="5" s="1"/>
  <c r="G71" i="9" s="1"/>
  <c r="I71" i="9" l="1"/>
  <c r="I7" i="9" s="1"/>
  <c r="J71" i="9"/>
  <c r="L71" i="9" s="1"/>
  <c r="U69" i="5"/>
  <c r="T69" i="5"/>
  <c r="S69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Rui Lima</author>
  </authors>
  <commentList>
    <comment ref="F10" authorId="0" shapeId="0" xr:uid="{94355FDF-EA84-4E07-805B-F1F26C5863E7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Days since last coupo / days in coupon period</t>
        </r>
      </text>
    </comment>
    <comment ref="I10" authorId="0" shapeId="0" xr:uid="{C367D42E-AC9E-46CC-A1F9-C52930CB3C87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Days since last coupo / days in coupon period</t>
        </r>
      </text>
    </comment>
    <comment ref="L10" authorId="0" shapeId="0" xr:uid="{C110BD54-4008-4C05-AB65-6E182C091A65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Days since last coupo / days in coupon period</t>
        </r>
      </text>
    </comment>
    <comment ref="O10" authorId="0" shapeId="0" xr:uid="{507CB6D0-8678-4905-92E1-B87D5B10DB8D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Days since last coupo / days in coupon period</t>
        </r>
      </text>
    </comment>
    <comment ref="R10" authorId="0" shapeId="0" xr:uid="{CF0C4577-42CD-4D32-93EE-807A7EC71649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Days since last coupo / days in coupon period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Rui Lima</author>
  </authors>
  <commentList>
    <comment ref="F10" authorId="0" shapeId="0" xr:uid="{CB535C53-D613-4583-9267-AA1299BD0110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Days since last coupo / days in coupon period</t>
        </r>
      </text>
    </comment>
    <comment ref="I10" authorId="0" shapeId="0" xr:uid="{14A6CE71-E790-4FC2-B660-0229CC1628CB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Days since last coupo / days in coupon period</t>
        </r>
      </text>
    </comment>
    <comment ref="L10" authorId="0" shapeId="0" xr:uid="{9A54667F-0E74-46F4-8A88-C864F7095135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Days since last coupo / days in coupon period</t>
        </r>
      </text>
    </comment>
    <comment ref="O10" authorId="0" shapeId="0" xr:uid="{6A972622-081A-4E35-8A14-77876C54C938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Days since last coupo / days in coupon period</t>
        </r>
      </text>
    </comment>
    <comment ref="J117" authorId="0" shapeId="0" xr:uid="{1174D6AE-2936-4EDC-A5F6-56B32AA68C3E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If statement are just there to ensure the fair value isn´t larger or smaller than what it would be with a 1% or 4% coupon</t>
        </r>
      </text>
    </comment>
    <comment ref="L136" authorId="0" shapeId="0" xr:uid="{B2E2648E-6AE2-4D6B-8C75-D6494B0A1F2F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If statement are just there to ensure the fair value isn´t larger or smaller than what it would be with a 1% or 4% coupon</t>
        </r>
      </text>
    </comment>
    <comment ref="L155" authorId="0" shapeId="0" xr:uid="{FECACE35-E7F2-4B28-A834-B57D7EF9BC3F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If statement are just there to ensure the fair value isn´t larger or smaller than what it would be with a 1% or 4% coupon</t>
        </r>
      </text>
    </comment>
    <comment ref="L174" authorId="0" shapeId="0" xr:uid="{CD990895-5C56-446A-BF56-ECF22DA52E82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If statement are just there to ensure the fair value isn´t larger or smaller than what it would be with a 1% or 4% coupon</t>
        </r>
      </text>
    </comment>
    <comment ref="L175" authorId="0" shapeId="0" xr:uid="{9BBD6B05-911F-4335-AA81-AF267A5CC692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If statement are just there to ensure the fair value isn´t larger or smaller than what it would be with a 1% or 4% coupon</t>
        </r>
      </text>
    </comment>
    <comment ref="L176" authorId="0" shapeId="0" xr:uid="{5C1E46D7-6A6A-4CC8-BCA7-0FE045640EFF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If statement are just there to ensure the fair value isn´t larger or smaller than what it would be with a 1% or 4% coupon</t>
        </r>
      </text>
    </comment>
    <comment ref="L177" authorId="0" shapeId="0" xr:uid="{50FE55F9-71FB-4452-B5C2-96A51A792A30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If statement are just there to ensure the fair value isn´t larger or smaller than what it would be with a 1% or 4% coupon</t>
        </r>
      </text>
    </comment>
    <comment ref="L178" authorId="0" shapeId="0" xr:uid="{7BEFE2B7-9F68-445F-B4CE-801AD25BBE25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If statement are just there to ensure the fair value isn´t larger or smaller than what it would be with a 1% or 4% coupon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Rui Lima</author>
  </authors>
  <commentList>
    <comment ref="B14" authorId="0" shapeId="0" xr:uid="{A2091DD1-CC0A-4699-81C2-D6F9D1B57265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Calculated using solver.
No shift and net value = 0</t>
        </r>
      </text>
    </comment>
    <comment ref="C14" authorId="0" shapeId="0" xr:uid="{D71B76EC-BD74-4638-8E0C-E4392A826761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Calculated using solver.
No shift and net value = 0</t>
        </r>
      </text>
    </comment>
    <comment ref="B69" authorId="0" shapeId="0" xr:uid="{53E10BBA-0234-4DE7-997F-34BA5B198725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Calculated using solver.
No shift and net value = 0</t>
        </r>
      </text>
    </comment>
    <comment ref="C69" authorId="0" shapeId="0" xr:uid="{66474B02-8237-410D-94AC-0CE2E835A4DE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Calculated using solver.
No shift and net value = 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Rui Lima</author>
  </authors>
  <commentList>
    <comment ref="A84" authorId="0" shapeId="0" xr:uid="{B93E58FF-3944-4F4E-A644-2258D1C5A11B}">
      <text>
        <r>
          <rPr>
            <b/>
            <sz val="9"/>
            <color indexed="81"/>
            <rFont val="Tahoma"/>
            <family val="2"/>
          </rPr>
          <t>Rui Lima:</t>
        </r>
        <r>
          <rPr>
            <sz val="9"/>
            <color indexed="81"/>
            <rFont val="Tahoma"/>
            <family val="2"/>
          </rPr>
          <t xml:space="preserve">
This are point in time for the sime path. Each row IS NOT a new path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<sst xmlns="http://schemas.openxmlformats.org/spreadsheetml/2006/main" count="1685" uniqueCount="578">
  <si>
    <t>STRUCTURED NOTE 1</t>
  </si>
  <si>
    <t>Issuer</t>
  </si>
  <si>
    <t>Unicredit</t>
  </si>
  <si>
    <t>Issue Date</t>
  </si>
  <si>
    <t>Effective Date</t>
  </si>
  <si>
    <t>Labour day</t>
  </si>
  <si>
    <t>New Years Eve</t>
  </si>
  <si>
    <t>Christmas</t>
  </si>
  <si>
    <t>Boxing day</t>
  </si>
  <si>
    <t>Good Friday</t>
  </si>
  <si>
    <t>Easter</t>
  </si>
  <si>
    <t>day</t>
  </si>
  <si>
    <t>month</t>
  </si>
  <si>
    <t>Sunday</t>
  </si>
  <si>
    <t>Monday</t>
  </si>
  <si>
    <t>Tuesday</t>
  </si>
  <si>
    <t>Wednesday</t>
  </si>
  <si>
    <t>Thursday</t>
  </si>
  <si>
    <t>Friday</t>
  </si>
  <si>
    <t>Saturday</t>
  </si>
  <si>
    <t>ACT/360</t>
  </si>
  <si>
    <t>Day Count Convention</t>
  </si>
  <si>
    <t>Following</t>
  </si>
  <si>
    <t>Modified Business Day</t>
  </si>
  <si>
    <t>Semi-annual</t>
  </si>
  <si>
    <t>Notional</t>
  </si>
  <si>
    <t>Reset</t>
  </si>
  <si>
    <t>2 days before</t>
  </si>
  <si>
    <t>Coupon</t>
  </si>
  <si>
    <t>6m Euribor + 150bps</t>
  </si>
  <si>
    <t>Maturity</t>
  </si>
  <si>
    <t>Cpn Frequency</t>
  </si>
  <si>
    <t>Weekday</t>
  </si>
  <si>
    <t>Days</t>
  </si>
  <si>
    <t>Accrual</t>
  </si>
  <si>
    <t>1w</t>
  </si>
  <si>
    <t>2w</t>
  </si>
  <si>
    <t>1m</t>
  </si>
  <si>
    <t>2m</t>
  </si>
  <si>
    <t>3m</t>
  </si>
  <si>
    <t>6m</t>
  </si>
  <si>
    <t>9m</t>
  </si>
  <si>
    <t>12m</t>
  </si>
  <si>
    <t>02/01/2014</t>
  </si>
  <si>
    <t>03/01/2014</t>
  </si>
  <si>
    <t>06/01/2014</t>
  </si>
  <si>
    <t>07/01/2014</t>
  </si>
  <si>
    <t>08/01/2014</t>
  </si>
  <si>
    <t>09/01/2014</t>
  </si>
  <si>
    <t>10/01/2014</t>
  </si>
  <si>
    <t>13/01/2014</t>
  </si>
  <si>
    <t>14/01/2014</t>
  </si>
  <si>
    <t>15/01/2014</t>
  </si>
  <si>
    <t>16/01/2014</t>
  </si>
  <si>
    <t>17/01/2014</t>
  </si>
  <si>
    <t>20/01/2014</t>
  </si>
  <si>
    <t>21/01/2014</t>
  </si>
  <si>
    <t>22/01/2014</t>
  </si>
  <si>
    <t>23/01/2014</t>
  </si>
  <si>
    <t>24/01/2014</t>
  </si>
  <si>
    <t>27/01/2014</t>
  </si>
  <si>
    <t>28/01/2014</t>
  </si>
  <si>
    <t>29/01/2014</t>
  </si>
  <si>
    <t>30/01/2014</t>
  </si>
  <si>
    <t>31/01/2014</t>
  </si>
  <si>
    <t>03/02/2014</t>
  </si>
  <si>
    <t>04/02/2014</t>
  </si>
  <si>
    <t>05/02/2014</t>
  </si>
  <si>
    <t>06/02/2014</t>
  </si>
  <si>
    <t>07/02/2014</t>
  </si>
  <si>
    <t>10/02/2014</t>
  </si>
  <si>
    <t>11/02/2014</t>
  </si>
  <si>
    <t>12/02/2014</t>
  </si>
  <si>
    <t>13/02/2014</t>
  </si>
  <si>
    <t>14/02/2014</t>
  </si>
  <si>
    <t>17/02/2014</t>
  </si>
  <si>
    <t>18/02/2014</t>
  </si>
  <si>
    <t>19/02/2014</t>
  </si>
  <si>
    <t>20/02/2014</t>
  </si>
  <si>
    <t>21/02/2014</t>
  </si>
  <si>
    <t>24/02/2014</t>
  </si>
  <si>
    <t>25/02/2014</t>
  </si>
  <si>
    <t>26/02/2014</t>
  </si>
  <si>
    <t>27/02/2014</t>
  </si>
  <si>
    <t>28/02/2014</t>
  </si>
  <si>
    <t>03/03/2014</t>
  </si>
  <si>
    <t>04/03/2014</t>
  </si>
  <si>
    <t>05/03/2014</t>
  </si>
  <si>
    <t>06/03/2014</t>
  </si>
  <si>
    <t>07/03/2014</t>
  </si>
  <si>
    <t>10/03/2014</t>
  </si>
  <si>
    <t>11/03/2014</t>
  </si>
  <si>
    <t>12/03/2014</t>
  </si>
  <si>
    <t>13/03/2014</t>
  </si>
  <si>
    <t>14/03/2014</t>
  </si>
  <si>
    <t>17/03/2014</t>
  </si>
  <si>
    <t>18/03/2014</t>
  </si>
  <si>
    <t>19/03/2014</t>
  </si>
  <si>
    <t>20/03/2014</t>
  </si>
  <si>
    <t>21/03/2014</t>
  </si>
  <si>
    <t>24/03/2014</t>
  </si>
  <si>
    <t>25/03/2014</t>
  </si>
  <si>
    <t>26/03/2014</t>
  </si>
  <si>
    <t>27/03/2014</t>
  </si>
  <si>
    <t>28/03/2014</t>
  </si>
  <si>
    <t>31/03/2014</t>
  </si>
  <si>
    <t>01/04/2014</t>
  </si>
  <si>
    <t>02/04/2014</t>
  </si>
  <si>
    <t>03/04/2014</t>
  </si>
  <si>
    <t>04/04/2014</t>
  </si>
  <si>
    <t>07/04/2014</t>
  </si>
  <si>
    <t>08/04/2014</t>
  </si>
  <si>
    <t>09/04/2014</t>
  </si>
  <si>
    <t>10/04/2014</t>
  </si>
  <si>
    <t>11/04/2014</t>
  </si>
  <si>
    <t>14/04/2014</t>
  </si>
  <si>
    <t>15/04/2014</t>
  </si>
  <si>
    <t>16/04/2014</t>
  </si>
  <si>
    <t>17/04/2014</t>
  </si>
  <si>
    <t>22/04/2014</t>
  </si>
  <si>
    <t>23/04/2014</t>
  </si>
  <si>
    <t>24/04/2014</t>
  </si>
  <si>
    <t>25/04/2014</t>
  </si>
  <si>
    <t>28/04/2014</t>
  </si>
  <si>
    <t>29/04/2014</t>
  </si>
  <si>
    <t>30/04/2014</t>
  </si>
  <si>
    <t>02/05/2014</t>
  </si>
  <si>
    <t>05/05/2014</t>
  </si>
  <si>
    <t>06/05/2014</t>
  </si>
  <si>
    <t>07/05/2014</t>
  </si>
  <si>
    <t>08/05/2014</t>
  </si>
  <si>
    <t>09/05/2014</t>
  </si>
  <si>
    <t>12/05/2014</t>
  </si>
  <si>
    <t>13/05/2014</t>
  </si>
  <si>
    <t>14/05/2014</t>
  </si>
  <si>
    <t>15/05/2014</t>
  </si>
  <si>
    <t>16/05/2014</t>
  </si>
  <si>
    <t>19/05/2014</t>
  </si>
  <si>
    <t>20/05/2014</t>
  </si>
  <si>
    <t>21/05/2014</t>
  </si>
  <si>
    <t>22/05/2014</t>
  </si>
  <si>
    <t>23/05/2014</t>
  </si>
  <si>
    <t>26/05/2014</t>
  </si>
  <si>
    <t>27/05/2014</t>
  </si>
  <si>
    <t>28/05/2014</t>
  </si>
  <si>
    <t>29/05/2014</t>
  </si>
  <si>
    <t>30/05/2014</t>
  </si>
  <si>
    <t>02/06/2014</t>
  </si>
  <si>
    <t>03/06/2014</t>
  </si>
  <si>
    <t>04/06/2014</t>
  </si>
  <si>
    <t>05/06/2014</t>
  </si>
  <si>
    <t>06/06/2014</t>
  </si>
  <si>
    <t>09/06/2014</t>
  </si>
  <si>
    <t>10/06/2014</t>
  </si>
  <si>
    <t>11/06/2014</t>
  </si>
  <si>
    <t>12/06/2014</t>
  </si>
  <si>
    <t>13/06/2014</t>
  </si>
  <si>
    <t>16/06/2014</t>
  </si>
  <si>
    <t>17/06/2014</t>
  </si>
  <si>
    <t>18/06/2014</t>
  </si>
  <si>
    <t>19/06/2014</t>
  </si>
  <si>
    <t>20/06/2014</t>
  </si>
  <si>
    <t>23/06/2014</t>
  </si>
  <si>
    <t>24/06/2014</t>
  </si>
  <si>
    <t>25/06/2014</t>
  </si>
  <si>
    <t>26/06/2014</t>
  </si>
  <si>
    <t>27/06/2014</t>
  </si>
  <si>
    <t>30/06/2014</t>
  </si>
  <si>
    <t>01/07/2014</t>
  </si>
  <si>
    <t>02/07/2014</t>
  </si>
  <si>
    <t>03/07/2014</t>
  </si>
  <si>
    <t>04/07/2014</t>
  </si>
  <si>
    <t>07/07/2014</t>
  </si>
  <si>
    <t>08/07/2014</t>
  </si>
  <si>
    <t>09/07/2014</t>
  </si>
  <si>
    <t>10/07/2014</t>
  </si>
  <si>
    <t>11/07/2014</t>
  </si>
  <si>
    <t>14/07/2014</t>
  </si>
  <si>
    <t>15/07/2014</t>
  </si>
  <si>
    <t>16/07/2014</t>
  </si>
  <si>
    <t>17/07/2014</t>
  </si>
  <si>
    <t>18/07/2014</t>
  </si>
  <si>
    <t>21/07/2014</t>
  </si>
  <si>
    <t>22/07/2014</t>
  </si>
  <si>
    <t>23/07/2014</t>
  </si>
  <si>
    <t>24/07/2014</t>
  </si>
  <si>
    <t>25/07/2014</t>
  </si>
  <si>
    <t>28/07/2014</t>
  </si>
  <si>
    <t>29/07/2014</t>
  </si>
  <si>
    <t>30/07/2014</t>
  </si>
  <si>
    <t>31/07/2014</t>
  </si>
  <si>
    <t>01/08/2014</t>
  </si>
  <si>
    <t>04/08/2014</t>
  </si>
  <si>
    <t>05/08/2014</t>
  </si>
  <si>
    <t>06/08/2014</t>
  </si>
  <si>
    <t>07/08/2014</t>
  </si>
  <si>
    <t>08/08/2014</t>
  </si>
  <si>
    <t>11/08/2014</t>
  </si>
  <si>
    <t>12/08/2014</t>
  </si>
  <si>
    <t>13/08/2014</t>
  </si>
  <si>
    <t>14/08/2014</t>
  </si>
  <si>
    <t>15/08/2014</t>
  </si>
  <si>
    <t>18/08/2014</t>
  </si>
  <si>
    <t>19/08/2014</t>
  </si>
  <si>
    <t>20/08/2014</t>
  </si>
  <si>
    <t>21/08/2014</t>
  </si>
  <si>
    <t>22/08/2014</t>
  </si>
  <si>
    <t>25/08/2014</t>
  </si>
  <si>
    <t>26/08/2014</t>
  </si>
  <si>
    <t>27/08/2014</t>
  </si>
  <si>
    <t>28/08/2014</t>
  </si>
  <si>
    <t>29/08/2014</t>
  </si>
  <si>
    <t>01/09/2014</t>
  </si>
  <si>
    <t>02/09/2014</t>
  </si>
  <si>
    <t>03/09/2014</t>
  </si>
  <si>
    <t>04/09/2014</t>
  </si>
  <si>
    <t>05/09/2014</t>
  </si>
  <si>
    <t>08/09/2014</t>
  </si>
  <si>
    <t>09/09/2014</t>
  </si>
  <si>
    <t>10/09/2014</t>
  </si>
  <si>
    <t>11/09/2014</t>
  </si>
  <si>
    <t>12/09/2014</t>
  </si>
  <si>
    <t>15/09/2014</t>
  </si>
  <si>
    <t>16/09/2014</t>
  </si>
  <si>
    <t>17/09/2014</t>
  </si>
  <si>
    <t>18/09/2014</t>
  </si>
  <si>
    <t>19/09/2014</t>
  </si>
  <si>
    <t>22/09/2014</t>
  </si>
  <si>
    <t>23/09/2014</t>
  </si>
  <si>
    <t>24/09/2014</t>
  </si>
  <si>
    <t>25/09/2014</t>
  </si>
  <si>
    <t>26/09/2014</t>
  </si>
  <si>
    <t>29/09/2014</t>
  </si>
  <si>
    <t>30/09/2014</t>
  </si>
  <si>
    <t>01/10/2014</t>
  </si>
  <si>
    <t>02/10/2014</t>
  </si>
  <si>
    <t>03/10/2014</t>
  </si>
  <si>
    <t>06/10/2014</t>
  </si>
  <si>
    <t>07/10/2014</t>
  </si>
  <si>
    <t>08/10/2014</t>
  </si>
  <si>
    <t>09/10/2014</t>
  </si>
  <si>
    <t>10/10/2014</t>
  </si>
  <si>
    <t>13/10/2014</t>
  </si>
  <si>
    <t>14/10/2014</t>
  </si>
  <si>
    <t>15/10/2014</t>
  </si>
  <si>
    <t>16/10/2014</t>
  </si>
  <si>
    <t>17/10/2014</t>
  </si>
  <si>
    <t>20/10/2014</t>
  </si>
  <si>
    <t>21/10/2014</t>
  </si>
  <si>
    <t>22/10/2014</t>
  </si>
  <si>
    <t>23/10/2014</t>
  </si>
  <si>
    <t>24/10/2014</t>
  </si>
  <si>
    <t>27/10/2014</t>
  </si>
  <si>
    <t>28/10/2014</t>
  </si>
  <si>
    <t>29/10/2014</t>
  </si>
  <si>
    <t>30/10/2014</t>
  </si>
  <si>
    <t>31/10/2014</t>
  </si>
  <si>
    <t>03/11/2014</t>
  </si>
  <si>
    <t>04/11/2014</t>
  </si>
  <si>
    <t>05/11/2014</t>
  </si>
  <si>
    <t>06/11/2014</t>
  </si>
  <si>
    <t>07/11/2014</t>
  </si>
  <si>
    <t>10/11/2014</t>
  </si>
  <si>
    <t>11/11/2014</t>
  </si>
  <si>
    <t>12/11/2014</t>
  </si>
  <si>
    <t>13/11/2014</t>
  </si>
  <si>
    <t>14/11/2014</t>
  </si>
  <si>
    <t>17/11/2014</t>
  </si>
  <si>
    <t>18/11/2014</t>
  </si>
  <si>
    <t>19/11/2014</t>
  </si>
  <si>
    <t>20/11/2014</t>
  </si>
  <si>
    <t>21/11/2014</t>
  </si>
  <si>
    <t>24/11/2014</t>
  </si>
  <si>
    <t>25/11/2014</t>
  </si>
  <si>
    <t>26/11/2014</t>
  </si>
  <si>
    <t>27/11/2014</t>
  </si>
  <si>
    <t>28/11/2014</t>
  </si>
  <si>
    <t>01/12/2014</t>
  </si>
  <si>
    <t>02/12/2014</t>
  </si>
  <si>
    <t>03/12/2014</t>
  </si>
  <si>
    <t>04/12/2014</t>
  </si>
  <si>
    <t>05/12/2014</t>
  </si>
  <si>
    <t>08/12/2014</t>
  </si>
  <si>
    <t>09/12/2014</t>
  </si>
  <si>
    <t>10/12/2014</t>
  </si>
  <si>
    <t>11/12/2014</t>
  </si>
  <si>
    <t>12/12/2014</t>
  </si>
  <si>
    <t>15/12/2014</t>
  </si>
  <si>
    <t>16/12/2014</t>
  </si>
  <si>
    <t>17/12/2014</t>
  </si>
  <si>
    <t>18/12/2014</t>
  </si>
  <si>
    <t>19/12/2014</t>
  </si>
  <si>
    <t>22/12/2014</t>
  </si>
  <si>
    <t>23/12/2014</t>
  </si>
  <si>
    <t>24/12/2014</t>
  </si>
  <si>
    <t>29/12/2014</t>
  </si>
  <si>
    <t>30/12/2014</t>
  </si>
  <si>
    <t>Trade Date</t>
  </si>
  <si>
    <t>Cpn Starts</t>
  </si>
  <si>
    <t>Adjusted Start</t>
  </si>
  <si>
    <t>Cpn Ends</t>
  </si>
  <si>
    <t>Adjusted End</t>
  </si>
  <si>
    <t>Tenor</t>
  </si>
  <si>
    <t>TTM</t>
  </si>
  <si>
    <t>Reset Date</t>
  </si>
  <si>
    <t>-</t>
  </si>
  <si>
    <t>Reference Rate</t>
  </si>
  <si>
    <t>6m EURIBOR</t>
  </si>
  <si>
    <t>Cpn rate</t>
  </si>
  <si>
    <t>€ Coupon</t>
  </si>
  <si>
    <t>BOND INFORMATION</t>
  </si>
  <si>
    <t>minimum</t>
  </si>
  <si>
    <t>maximum</t>
  </si>
  <si>
    <t xml:space="preserve">BOOTSTRAPING </t>
  </si>
  <si>
    <t>Goal</t>
  </si>
  <si>
    <t>Construct discount rate term structure</t>
  </si>
  <si>
    <t>Recover spot rates from the Swap curve. This will lead to EURIBOR spot rate curve</t>
  </si>
  <si>
    <t>Swap Rate</t>
  </si>
  <si>
    <t>α</t>
  </si>
  <si>
    <t>DF</t>
  </si>
  <si>
    <t>Annuity</t>
  </si>
  <si>
    <t>Fwd rate</t>
  </si>
  <si>
    <t>NEXT COUPON</t>
  </si>
  <si>
    <t>Coupon number</t>
  </si>
  <si>
    <t xml:space="preserve">PAST COUPON </t>
  </si>
  <si>
    <t>P(t,t+(i-1),t+i)</t>
  </si>
  <si>
    <t xml:space="preserve">Tenor IRS </t>
  </si>
  <si>
    <t>Trade date</t>
  </si>
  <si>
    <t>Month</t>
  </si>
  <si>
    <t>Day</t>
  </si>
  <si>
    <t>Year</t>
  </si>
  <si>
    <t>Adjusted Date</t>
  </si>
  <si>
    <t>Date IRS</t>
  </si>
  <si>
    <t>Total days</t>
  </si>
  <si>
    <t>REPLICATING PORTFOLIO (FORWARD RATE NOTE - FRN) - Risk Free Value</t>
  </si>
  <si>
    <t xml:space="preserve">QUESTION 1 </t>
  </si>
  <si>
    <t>(see bootstraping tab)</t>
  </si>
  <si>
    <t>Spot</t>
  </si>
  <si>
    <t>DF NS</t>
  </si>
  <si>
    <t>Spot NS</t>
  </si>
  <si>
    <r>
      <t>b</t>
    </r>
    <r>
      <rPr>
        <vertAlign val="subscript"/>
        <sz val="10"/>
        <rFont val="Symbol"/>
        <family val="1"/>
        <charset val="2"/>
      </rPr>
      <t>0</t>
    </r>
  </si>
  <si>
    <r>
      <t>b</t>
    </r>
    <r>
      <rPr>
        <vertAlign val="subscript"/>
        <sz val="10"/>
        <rFont val="Symbol"/>
        <family val="1"/>
        <charset val="2"/>
      </rPr>
      <t>1</t>
    </r>
  </si>
  <si>
    <r>
      <t>b</t>
    </r>
    <r>
      <rPr>
        <vertAlign val="subscript"/>
        <sz val="10"/>
        <rFont val="Symbol"/>
        <family val="1"/>
        <charset val="2"/>
      </rPr>
      <t>2</t>
    </r>
  </si>
  <si>
    <t>k</t>
  </si>
  <si>
    <t>Spot Rate</t>
  </si>
  <si>
    <t>MSE</t>
  </si>
  <si>
    <t>Mispricing</t>
  </si>
  <si>
    <t>Nelson-Siegel Interpolation</t>
  </si>
  <si>
    <t>Start</t>
  </si>
  <si>
    <t>End</t>
  </si>
  <si>
    <t>CFR</t>
  </si>
  <si>
    <t>x</t>
  </si>
  <si>
    <t>Auxiliar</t>
  </si>
  <si>
    <t>∑DF</t>
  </si>
  <si>
    <t>Mispricing DF</t>
  </si>
  <si>
    <t>Mispricing Spot</t>
  </si>
  <si>
    <r>
      <rPr>
        <sz val="11"/>
        <color theme="1"/>
        <rFont val="Calibri"/>
        <family val="2"/>
      </rPr>
      <t>Θ</t>
    </r>
    <r>
      <rPr>
        <vertAlign val="subscript"/>
        <sz val="11"/>
        <color theme="1"/>
        <rFont val="Calibri"/>
        <family val="2"/>
      </rPr>
      <t>DF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Parameters</t>
    </r>
  </si>
  <si>
    <r>
      <rPr>
        <sz val="11"/>
        <color theme="1"/>
        <rFont val="Calibri"/>
        <family val="2"/>
      </rPr>
      <t>Θ</t>
    </r>
    <r>
      <rPr>
        <vertAlign val="subscript"/>
        <sz val="11"/>
        <color theme="1"/>
        <rFont val="Calibri"/>
        <family val="2"/>
      </rPr>
      <t>Spot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Parameters</t>
    </r>
  </si>
  <si>
    <t xml:space="preserve"> LINEAR INTERPOLATED DISCOUNT FACTORS FOR REPLICATING PORTFOLIO</t>
  </si>
  <si>
    <t>Type</t>
  </si>
  <si>
    <t>EURIBOR</t>
  </si>
  <si>
    <t>SWAP</t>
  </si>
  <si>
    <t>year</t>
  </si>
  <si>
    <t>week</t>
  </si>
  <si>
    <t>moth</t>
  </si>
  <si>
    <t>Tot days/360</t>
  </si>
  <si>
    <t>P(t,T)</t>
  </si>
  <si>
    <t>NELSON SIEGER INTERPOLATED DISCOUNT FACTORS FOR REPLICATING PORTFOLIO</t>
  </si>
  <si>
    <t>t</t>
  </si>
  <si>
    <t>Calibration of the Vasicek model</t>
  </si>
  <si>
    <t>r</t>
  </si>
  <si>
    <t>m</t>
  </si>
  <si>
    <t>s</t>
  </si>
  <si>
    <t>SSE</t>
  </si>
  <si>
    <t>Expiry date</t>
  </si>
  <si>
    <t>Time to maturity</t>
  </si>
  <si>
    <t>Euribor</t>
  </si>
  <si>
    <t>Pricing Error</t>
  </si>
  <si>
    <t>Modified date</t>
  </si>
  <si>
    <r>
      <t>R</t>
    </r>
    <r>
      <rPr>
        <b/>
        <vertAlign val="superscript"/>
        <sz val="10"/>
        <color theme="1"/>
        <rFont val="Calibri"/>
        <family val="2"/>
        <scheme val="minor"/>
      </rPr>
      <t>mkt</t>
    </r>
    <r>
      <rPr>
        <b/>
        <sz val="10"/>
        <color theme="1"/>
        <rFont val="Calibri"/>
        <family val="2"/>
        <scheme val="minor"/>
      </rPr>
      <t>(t,T)</t>
    </r>
  </si>
  <si>
    <t>Merton</t>
  </si>
  <si>
    <t>X</t>
  </si>
  <si>
    <t>X'X</t>
  </si>
  <si>
    <t>inv(X'X)</t>
  </si>
  <si>
    <t>X'R</t>
  </si>
  <si>
    <r>
      <t>b</t>
    </r>
    <r>
      <rPr>
        <b/>
        <sz val="11"/>
        <color indexed="9"/>
        <rFont val="Calibri"/>
        <family val="2"/>
        <scheme val="minor"/>
      </rPr>
      <t>=(X'X)</t>
    </r>
    <r>
      <rPr>
        <b/>
        <vertAlign val="superscript"/>
        <sz val="11"/>
        <color indexed="9"/>
        <rFont val="Calibri"/>
        <family val="2"/>
        <scheme val="minor"/>
      </rPr>
      <t>-1</t>
    </r>
    <r>
      <rPr>
        <b/>
        <sz val="11"/>
        <color indexed="9"/>
        <rFont val="Calibri"/>
        <family val="2"/>
        <scheme val="minor"/>
      </rPr>
      <t xml:space="preserve"> X'R</t>
    </r>
  </si>
  <si>
    <t>s.e.</t>
  </si>
  <si>
    <t>t-stat</t>
  </si>
  <si>
    <r>
      <t>s</t>
    </r>
    <r>
      <rPr>
        <vertAlign val="superscript"/>
        <sz val="10"/>
        <rFont val="Symbol"/>
        <family val="1"/>
        <charset val="2"/>
      </rPr>
      <t>2</t>
    </r>
  </si>
  <si>
    <t>N. Obs.</t>
  </si>
  <si>
    <t>N. Parameters</t>
  </si>
  <si>
    <t>Var. Residuals</t>
  </si>
  <si>
    <t>Rate</t>
  </si>
  <si>
    <t>Recovery Rate</t>
  </si>
  <si>
    <t>Spread (bps)</t>
  </si>
  <si>
    <t>Cpn Days</t>
  </si>
  <si>
    <t>Fwd Rate</t>
  </si>
  <si>
    <t>AF</t>
  </si>
  <si>
    <t>Fixed</t>
  </si>
  <si>
    <t>Caplet Component</t>
  </si>
  <si>
    <t>Vol</t>
  </si>
  <si>
    <t>Strike</t>
  </si>
  <si>
    <t>d1</t>
  </si>
  <si>
    <t>N(d1)</t>
  </si>
  <si>
    <t>Fwd Premium</t>
  </si>
  <si>
    <t>Exp. Coupon</t>
  </si>
  <si>
    <t>PV(Exp. Cpn)</t>
  </si>
  <si>
    <t>Survival Probability</t>
  </si>
  <si>
    <t xml:space="preserve">Recovery </t>
  </si>
  <si>
    <t>CF on Survival</t>
  </si>
  <si>
    <t>PV(CF) On survival</t>
  </si>
  <si>
    <t>CF on Default</t>
  </si>
  <si>
    <t>Fixed Component</t>
  </si>
  <si>
    <t>Risky Valuation</t>
  </si>
  <si>
    <t>INTERPOLATING VOLATILITY TO PRICE THE BOND</t>
  </si>
  <si>
    <t>Market Implied Volatility</t>
  </si>
  <si>
    <t>Term</t>
  </si>
  <si>
    <t>Interpolating the Implied Volatility</t>
  </si>
  <si>
    <t>IVOL</t>
  </si>
  <si>
    <t>n(d1)</t>
  </si>
  <si>
    <t>Default Prob</t>
  </si>
  <si>
    <t>Default Probability</t>
  </si>
  <si>
    <t>SURVIVAL PROBABILITY</t>
  </si>
  <si>
    <t>Default probability curve</t>
  </si>
  <si>
    <t>Interpolation</t>
  </si>
  <si>
    <t>Survival Prob</t>
  </si>
  <si>
    <t>Int Spot</t>
  </si>
  <si>
    <t>Interp Suvival Prob</t>
  </si>
  <si>
    <t>Risk Free Valuation</t>
  </si>
  <si>
    <t>Coupons</t>
  </si>
  <si>
    <t>Bond Gross Price</t>
  </si>
  <si>
    <t>Current Coupon</t>
  </si>
  <si>
    <t>Accrued Interest</t>
  </si>
  <si>
    <t>Risky Adjusted Valuation</t>
  </si>
  <si>
    <t>Coupons on survival</t>
  </si>
  <si>
    <t>Notional on Survival</t>
  </si>
  <si>
    <t>CF on default</t>
  </si>
  <si>
    <t>CVA</t>
  </si>
  <si>
    <t>PV</t>
  </si>
  <si>
    <t>PV(CF) on Default</t>
  </si>
  <si>
    <t>Clean Price</t>
  </si>
  <si>
    <t>Bond Gross Price (€)</t>
  </si>
  <si>
    <t>QUESTION 3 (Linear Iterpolation)</t>
  </si>
  <si>
    <t>QUESTION 3 (Nelson Sieger Interpolation)</t>
  </si>
  <si>
    <t>QUESTION 5 (Parallel Shift)</t>
  </si>
  <si>
    <t>QUESTION 5 (Slope Change)</t>
  </si>
  <si>
    <t>Bond Clean Price (€)</t>
  </si>
  <si>
    <t>CVA (€)</t>
  </si>
  <si>
    <t>JP Morgan</t>
  </si>
  <si>
    <t>STRUCTURED NOTE 2</t>
  </si>
  <si>
    <t>Cp Rate</t>
  </si>
  <si>
    <t>30/360</t>
  </si>
  <si>
    <t>Interpolation Survival Probability Note 1</t>
  </si>
  <si>
    <t>Interpolation Survival Probability Note 2</t>
  </si>
  <si>
    <t>K</t>
  </si>
  <si>
    <t>Long Caplet Component</t>
  </si>
  <si>
    <t>Short Caplet Component</t>
  </si>
  <si>
    <t>Shift</t>
  </si>
  <si>
    <t>β</t>
  </si>
  <si>
    <t>Bond GP (Risk free)</t>
  </si>
  <si>
    <t>Nelson Sieger</t>
  </si>
  <si>
    <t>Linear Interpolation</t>
  </si>
  <si>
    <t>Slope change (+/- 0.2%)</t>
  </si>
  <si>
    <t>Shift (-0.1%)</t>
  </si>
  <si>
    <t>Shift (+0.1%)</t>
  </si>
  <si>
    <t>DF Shift</t>
  </si>
  <si>
    <t>DF Slope</t>
  </si>
  <si>
    <t>Slope</t>
  </si>
  <si>
    <t>Parallel Shift</t>
  </si>
  <si>
    <t>Spot Shifted</t>
  </si>
  <si>
    <t>Slope Change</t>
  </si>
  <si>
    <t>DV01</t>
  </si>
  <si>
    <t>DF Shifted</t>
  </si>
  <si>
    <t>Effective Maturity</t>
  </si>
  <si>
    <t>Fixed Leg Frequency</t>
  </si>
  <si>
    <t>Annual</t>
  </si>
  <si>
    <t>Floating Leg</t>
  </si>
  <si>
    <t>Fixed Leg</t>
  </si>
  <si>
    <t>FloatingLeg</t>
  </si>
  <si>
    <t>0 days before</t>
  </si>
  <si>
    <t>No Shift</t>
  </si>
  <si>
    <t>DF shifted</t>
  </si>
  <si>
    <t>Fwd.Rate.AF.DF</t>
  </si>
  <si>
    <t>=</t>
  </si>
  <si>
    <t>IF THOUGHT PROCESS IS CORRECT NO NEED FOR INTERPOLATION.</t>
  </si>
  <si>
    <t>JUST USE VLOOKUP</t>
  </si>
  <si>
    <t>Valuation</t>
  </si>
  <si>
    <t>Floating</t>
  </si>
  <si>
    <t>Net Value</t>
  </si>
  <si>
    <t>Fixed Rate</t>
  </si>
  <si>
    <t>Slope change</t>
  </si>
  <si>
    <t>PARALLEL SHIFT</t>
  </si>
  <si>
    <t>SLOPE CHANGE</t>
  </si>
  <si>
    <t>SWAP PRICING PARALLEL SHIFTS - FIXED LEG</t>
  </si>
  <si>
    <t>SWAP PRICING PARALLEL SHIFTS - FLOATING LEG</t>
  </si>
  <si>
    <t>SWAP PRICING SLOPE CHANGE - FIXED LEG</t>
  </si>
  <si>
    <t>SWAP PRICING SLOPE CHANGE - FLOATING LEG</t>
  </si>
  <si>
    <t>Spot shifted</t>
  </si>
  <si>
    <t>INFORMATION Swap 3 years to maturity</t>
  </si>
  <si>
    <t>INFORMATION Swap 7 year to maturity</t>
  </si>
  <si>
    <t>IRS 3y</t>
  </si>
  <si>
    <t>Parallel Shif</t>
  </si>
  <si>
    <t>Slope Shift</t>
  </si>
  <si>
    <t>Combined Hegde Parallel Shift &amp; Slope Shift</t>
  </si>
  <si>
    <t>IRS 7y</t>
  </si>
  <si>
    <t>B</t>
  </si>
  <si>
    <t>IRS</t>
  </si>
  <si>
    <t>N</t>
  </si>
  <si>
    <t>Model Parameters</t>
  </si>
  <si>
    <t>r(0)</t>
  </si>
  <si>
    <t>Steps per Year</t>
  </si>
  <si>
    <t>Time Step</t>
  </si>
  <si>
    <t>V(t,T)</t>
  </si>
  <si>
    <t>Step</t>
  </si>
  <si>
    <t>Time</t>
  </si>
  <si>
    <t>E(r(t+dt)|r(t)</t>
  </si>
  <si>
    <t>N(0,1)</t>
  </si>
  <si>
    <t>r(t)</t>
  </si>
  <si>
    <t>MMA(t)</t>
  </si>
  <si>
    <t>Simulated Discount Curve</t>
  </si>
  <si>
    <t>A(tau)</t>
  </si>
  <si>
    <t>B(tau)</t>
  </si>
  <si>
    <t>Monte Carlo Simulation Vasicek</t>
  </si>
  <si>
    <t>MMA</t>
  </si>
  <si>
    <t>Cpn Rate</t>
  </si>
  <si>
    <t>Exp. Cpn.</t>
  </si>
  <si>
    <t>Exp. Cash Flow</t>
  </si>
  <si>
    <t>PV*Exp. Cash Flow(</t>
  </si>
  <si>
    <t>Simulated Bond Price</t>
  </si>
  <si>
    <t>Number of Simulations</t>
  </si>
  <si>
    <t>Average Price</t>
  </si>
  <si>
    <t>Simulation</t>
  </si>
  <si>
    <t>PV*Exp. Cash Flow</t>
  </si>
  <si>
    <t>T(0)</t>
  </si>
  <si>
    <t>T(1)</t>
  </si>
  <si>
    <t>Value(T0)</t>
  </si>
  <si>
    <t>Value(T1)</t>
  </si>
  <si>
    <t>P&amp;L</t>
  </si>
  <si>
    <t>P&amp;L Sorted</t>
  </si>
  <si>
    <t>VaR</t>
  </si>
  <si>
    <t>ADJUST P&amp;L CELLS IF NUMBER OF SIMULATION CHANGE</t>
  </si>
  <si>
    <t>Shortfall</t>
  </si>
  <si>
    <r>
      <t>b</t>
    </r>
    <r>
      <rPr>
        <vertAlign val="subscript"/>
        <sz val="10"/>
        <rFont val="Times New Roman"/>
        <family val="1"/>
      </rPr>
      <t>0</t>
    </r>
  </si>
  <si>
    <r>
      <t>b</t>
    </r>
    <r>
      <rPr>
        <vertAlign val="subscript"/>
        <sz val="10"/>
        <rFont val="Times New Roman"/>
        <family val="1"/>
      </rPr>
      <t>1</t>
    </r>
  </si>
  <si>
    <r>
      <t>b</t>
    </r>
    <r>
      <rPr>
        <vertAlign val="subscript"/>
        <sz val="10"/>
        <rFont val="Times New Roman"/>
        <family val="1"/>
      </rPr>
      <t>2</t>
    </r>
  </si>
  <si>
    <r>
      <t>T</t>
    </r>
    <r>
      <rPr>
        <vertAlign val="subscript"/>
        <sz val="11"/>
        <color theme="1"/>
        <rFont val="Times New Roman"/>
        <family val="1"/>
      </rPr>
      <t>i</t>
    </r>
  </si>
  <si>
    <r>
      <t>P(t,T</t>
    </r>
    <r>
      <rPr>
        <vertAlign val="subscript"/>
        <sz val="11"/>
        <color theme="1"/>
        <rFont val="Times New Roman"/>
        <family val="1"/>
      </rPr>
      <t>i</t>
    </r>
    <r>
      <rPr>
        <sz val="11"/>
        <color theme="1"/>
        <rFont val="Times New Roman"/>
        <family val="1"/>
      </rPr>
      <t>)</t>
    </r>
  </si>
  <si>
    <r>
      <t>b</t>
    </r>
    <r>
      <rPr>
        <b/>
        <vertAlign val="subscript"/>
        <sz val="10"/>
        <rFont val="Times New Roman"/>
        <family val="1"/>
      </rPr>
      <t>0</t>
    </r>
  </si>
  <si>
    <r>
      <t>b</t>
    </r>
    <r>
      <rPr>
        <b/>
        <vertAlign val="subscript"/>
        <sz val="10"/>
        <rFont val="Times New Roman"/>
        <family val="1"/>
      </rPr>
      <t>1</t>
    </r>
  </si>
  <si>
    <r>
      <t>b</t>
    </r>
    <r>
      <rPr>
        <b/>
        <vertAlign val="subscript"/>
        <sz val="10"/>
        <rFont val="Times New Roman"/>
        <family val="1"/>
      </rPr>
      <t>2</t>
    </r>
  </si>
  <si>
    <r>
      <t>DF</t>
    </r>
    <r>
      <rPr>
        <vertAlign val="superscript"/>
        <sz val="10"/>
        <color theme="1"/>
        <rFont val="Times New Roman"/>
        <family val="1"/>
      </rPr>
      <t>mkt</t>
    </r>
    <r>
      <rPr>
        <sz val="10"/>
        <color theme="1"/>
        <rFont val="Times New Roman"/>
        <family val="1"/>
      </rPr>
      <t>(t,T)</t>
    </r>
  </si>
  <si>
    <r>
      <t>DF</t>
    </r>
    <r>
      <rPr>
        <b/>
        <vertAlign val="superscript"/>
        <sz val="10"/>
        <color theme="1"/>
        <rFont val="Times New Roman"/>
        <family val="1"/>
      </rPr>
      <t>vas</t>
    </r>
    <r>
      <rPr>
        <b/>
        <sz val="10"/>
        <color theme="1"/>
        <rFont val="Times New Roman"/>
        <family val="1"/>
      </rPr>
      <t>(t,T)</t>
    </r>
  </si>
  <si>
    <r>
      <t>Rate</t>
    </r>
    <r>
      <rPr>
        <vertAlign val="superscript"/>
        <sz val="10"/>
        <color theme="1"/>
        <rFont val="Times New Roman"/>
        <family val="1"/>
      </rPr>
      <t>mkt</t>
    </r>
    <r>
      <rPr>
        <sz val="10"/>
        <color theme="1"/>
        <rFont val="Times New Roman"/>
        <family val="1"/>
      </rPr>
      <t>(t,T)</t>
    </r>
  </si>
  <si>
    <r>
      <t>Rate</t>
    </r>
    <r>
      <rPr>
        <b/>
        <vertAlign val="superscript"/>
        <sz val="10"/>
        <color theme="1"/>
        <rFont val="Times New Roman"/>
        <family val="1"/>
      </rPr>
      <t>vas</t>
    </r>
    <r>
      <rPr>
        <b/>
        <sz val="10"/>
        <color theme="1"/>
        <rFont val="Times New Roman"/>
        <family val="1"/>
      </rPr>
      <t>(t,T)</t>
    </r>
  </si>
  <si>
    <t>QUESTION 3 (Linear Interpolation)</t>
  </si>
  <si>
    <t>Sum Bonds</t>
  </si>
  <si>
    <t>Notional for IRS</t>
  </si>
  <si>
    <t>SWAP PRICING TO HEDGE NOTE 1 and 2</t>
  </si>
  <si>
    <t>See Note 2</t>
  </si>
  <si>
    <t>Values obtained in Note 2 sheet. We wanted to ensure linear relationship matched between bonds</t>
  </si>
  <si>
    <t>Simulated short rate path</t>
  </si>
  <si>
    <t>MMA(t=1) - 1</t>
  </si>
  <si>
    <t>VaR position</t>
  </si>
  <si>
    <t>μ</t>
  </si>
  <si>
    <t>σ</t>
  </si>
  <si>
    <t>Gross Price</t>
  </si>
  <si>
    <t>Defaultable</t>
  </si>
  <si>
    <t>PV Fixed</t>
  </si>
  <si>
    <t>PV Caplet K=-0.5</t>
  </si>
  <si>
    <t>PV Caplet K=2.5</t>
  </si>
  <si>
    <t>DV01 parallel</t>
  </si>
  <si>
    <t>DV01 slope</t>
  </si>
  <si>
    <t>Note 1</t>
  </si>
  <si>
    <t>Note 2</t>
  </si>
  <si>
    <t>3-year IRS</t>
  </si>
  <si>
    <t>7-year IRS</t>
  </si>
  <si>
    <t>DV01 parallel shift</t>
  </si>
  <si>
    <t>DV01 slope shift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</si>
</sst>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164" formatCode="[$-F800]dddd\,\ mmmm\ dd\,\ yyyy"/>
    <numFmt numFmtId="165" formatCode="_([$€-2]\ * #,##0.00_);_([$€-2]\ * \(#,##0.00\);_([$€-2]\ * &quot;-&quot;??_);_(@_)"/>
    <numFmt numFmtId="166" formatCode="0.00000"/>
    <numFmt numFmtId="167" formatCode="0.0000"/>
    <numFmt numFmtId="168" formatCode="0.000"/>
    <numFmt numFmtId="169" formatCode="dd/mm/yyyy"/>
    <numFmt numFmtId="170" formatCode="0.000%"/>
    <numFmt numFmtId="171" formatCode="0.000000000"/>
    <numFmt numFmtId="172" formatCode="0.000E+00"/>
    <numFmt numFmtId="173" formatCode="0.0000%"/>
    <numFmt numFmtId="174" formatCode="0.0000E+00"/>
    <numFmt numFmtId="175" formatCode="0.00000000000000000%"/>
  </numFmts>
  <fonts count="4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0"/>
      <name val="Arial"/>
      <family val="2"/>
    </font>
    <font>
      <sz val="15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0"/>
      <name val="CG Times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sz val="10"/>
      <name val="Arial"/>
      <family val="2"/>
    </font>
    <font>
      <b/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indexed="9"/>
      <name val="Calibri"/>
      <family val="2"/>
    </font>
    <font>
      <b/>
      <sz val="11"/>
      <color indexed="9"/>
      <name val="Symbol"/>
      <family val="1"/>
      <charset val="2"/>
    </font>
    <font>
      <b/>
      <sz val="11"/>
      <color indexed="9"/>
      <name val="Calibri"/>
      <family val="2"/>
      <scheme val="minor"/>
    </font>
    <font>
      <b/>
      <vertAlign val="superscript"/>
      <sz val="11"/>
      <color indexed="9"/>
      <name val="Calibri"/>
      <family val="2"/>
      <scheme val="minor"/>
    </font>
    <font>
      <vertAlign val="superscript"/>
      <sz val="10"/>
      <name val="Symbol"/>
      <family val="1"/>
      <charset val="2"/>
    </font>
    <font>
      <sz val="11"/>
      <color theme="1"/>
      <name val="Times New Roman"/>
      <family val="1"/>
    </font>
    <font>
      <sz val="15"/>
      <color theme="1"/>
      <name val="Times New Roman"/>
      <family val="1"/>
    </font>
    <font>
      <sz val="10"/>
      <name val="Times New Roman"/>
      <family val="1"/>
    </font>
    <font>
      <vertAlign val="subscript"/>
      <sz val="10"/>
      <name val="Times New Roman"/>
      <family val="1"/>
    </font>
    <font>
      <sz val="11"/>
      <color theme="8" tint="-0.249977111117893"/>
      <name val="Times New Roman"/>
      <family val="1"/>
    </font>
    <font>
      <sz val="9"/>
      <color theme="1"/>
      <name val="Times New Roman"/>
      <family val="1"/>
    </font>
    <font>
      <b/>
      <sz val="11"/>
      <color theme="0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</font>
    <font>
      <vertAlign val="subscript"/>
      <sz val="11"/>
      <color theme="1"/>
      <name val="Times New Roman"/>
      <family val="1"/>
    </font>
    <font>
      <b/>
      <sz val="10"/>
      <name val="Times New Roman"/>
      <family val="1"/>
    </font>
    <font>
      <b/>
      <vertAlign val="subscript"/>
      <sz val="10"/>
      <name val="Times New Roman"/>
      <family val="1"/>
    </font>
    <font>
      <b/>
      <sz val="11"/>
      <color theme="8" tint="-0.249977111117893"/>
      <name val="Times New Roman"/>
      <family val="1"/>
    </font>
    <font>
      <sz val="10"/>
      <color theme="1"/>
      <name val="Times New Roman"/>
      <family val="1"/>
    </font>
    <font>
      <vertAlign val="superscript"/>
      <sz val="10"/>
      <color theme="1"/>
      <name val="Times New Roman"/>
      <family val="1"/>
    </font>
    <font>
      <b/>
      <vertAlign val="superscript"/>
      <sz val="10"/>
      <color theme="1"/>
      <name val="Times New Roman"/>
      <family val="1"/>
    </font>
    <font>
      <b/>
      <sz val="10"/>
      <color theme="1"/>
      <name val="Times New Roman"/>
      <family val="1"/>
    </font>
  </fonts>
  <fills count="17">
    <fill>
      <patternFill patternType="none"/>
    </fill>
    <fill>
      <patternFill patternType="gray125"/>
    </fill>
    <fill>
      <patternFill patternType="solid">
        <fgColor rgb="FFD3D3D3"/>
        <bgColor rgb="FF000000"/>
      </patternFill>
    </fill>
    <fill>
      <patternFill patternType="solid">
        <fgColor indexed="2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12" fillId="0" borderId="0"/>
    <xf numFmtId="44" fontId="1" fillId="0" borderId="0" applyFont="0" applyFill="0" applyBorder="0" applyAlignment="0" applyProtection="0"/>
    <xf numFmtId="0" fontId="15" fillId="0" borderId="0"/>
    <xf numFmtId="0" fontId="18" fillId="11" borderId="0"/>
    <xf numFmtId="9" fontId="15" fillId="0" borderId="0" applyFont="0" applyFill="0" applyBorder="0" applyAlignment="0" applyProtection="0"/>
  </cellStyleXfs>
  <cellXfs count="340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0" xfId="0" applyNumberFormat="1"/>
    <xf numFmtId="166" fontId="0" fillId="0" borderId="0" xfId="0" applyNumberFormat="1"/>
    <xf numFmtId="169" fontId="4" fillId="2" borderId="1" xfId="0" applyNumberFormat="1" applyFont="1" applyFill="1" applyBorder="1" applyAlignment="1">
      <alignment horizontal="center" vertical="center"/>
    </xf>
    <xf numFmtId="0" fontId="0" fillId="0" borderId="1" xfId="0" applyBorder="1"/>
    <xf numFmtId="168" fontId="0" fillId="0" borderId="1" xfId="0" applyNumberFormat="1" applyBorder="1" applyAlignment="1">
      <alignment horizontal="center"/>
    </xf>
    <xf numFmtId="0" fontId="5" fillId="2" borderId="0" xfId="0" applyFont="1" applyFill="1" applyAlignment="1">
      <alignment horizontal="left" vertical="center"/>
    </xf>
    <xf numFmtId="49" fontId="6" fillId="3" borderId="2" xfId="0" applyNumberFormat="1" applyFont="1" applyFill="1" applyBorder="1" applyAlignment="1">
      <alignment horizontal="center" vertical="center"/>
    </xf>
    <xf numFmtId="14" fontId="6" fillId="3" borderId="2" xfId="0" applyNumberFormat="1" applyFont="1" applyFill="1" applyBorder="1" applyAlignment="1">
      <alignment horizontal="center" vertical="center"/>
    </xf>
    <xf numFmtId="168" fontId="0" fillId="0" borderId="2" xfId="0" applyNumberFormat="1" applyBorder="1"/>
    <xf numFmtId="168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4" borderId="1" xfId="0" applyFill="1" applyBorder="1"/>
    <xf numFmtId="168" fontId="0" fillId="4" borderId="1" xfId="0" applyNumberFormat="1" applyFill="1" applyBorder="1" applyAlignment="1">
      <alignment horizontal="center"/>
    </xf>
    <xf numFmtId="0" fontId="0" fillId="4" borderId="0" xfId="0" applyFill="1"/>
    <xf numFmtId="168" fontId="0" fillId="5" borderId="1" xfId="0" applyNumberFormat="1" applyFill="1" applyBorder="1" applyAlignment="1">
      <alignment horizontal="center"/>
    </xf>
    <xf numFmtId="0" fontId="0" fillId="7" borderId="3" xfId="0" applyFill="1" applyBorder="1"/>
    <xf numFmtId="0" fontId="0" fillId="7" borderId="3" xfId="0" applyFill="1" applyBorder="1" applyAlignment="1">
      <alignment horizontal="center"/>
    </xf>
    <xf numFmtId="10" fontId="0" fillId="0" borderId="0" xfId="1" applyNumberFormat="1" applyFont="1"/>
    <xf numFmtId="170" fontId="0" fillId="0" borderId="0" xfId="1" applyNumberFormat="1" applyFont="1"/>
    <xf numFmtId="0" fontId="10" fillId="7" borderId="3" xfId="0" applyFont="1" applyFill="1" applyBorder="1"/>
    <xf numFmtId="10" fontId="0" fillId="0" borderId="0" xfId="0" applyNumberFormat="1"/>
    <xf numFmtId="0" fontId="0" fillId="0" borderId="0" xfId="0" applyBorder="1"/>
    <xf numFmtId="172" fontId="0" fillId="0" borderId="0" xfId="0" applyNumberFormat="1"/>
    <xf numFmtId="0" fontId="0" fillId="0" borderId="4" xfId="0" applyBorder="1"/>
    <xf numFmtId="170" fontId="0" fillId="0" borderId="4" xfId="1" applyNumberFormat="1" applyFont="1" applyBorder="1"/>
    <xf numFmtId="166" fontId="0" fillId="0" borderId="4" xfId="0" applyNumberFormat="1" applyBorder="1"/>
    <xf numFmtId="170" fontId="0" fillId="0" borderId="0" xfId="1" applyNumberFormat="1" applyFont="1" applyBorder="1"/>
    <xf numFmtId="166" fontId="0" fillId="0" borderId="0" xfId="0" applyNumberFormat="1" applyBorder="1"/>
    <xf numFmtId="166" fontId="0" fillId="0" borderId="10" xfId="0" applyNumberFormat="1" applyBorder="1"/>
    <xf numFmtId="0" fontId="13" fillId="0" borderId="11" xfId="3" applyFont="1" applyBorder="1" applyAlignment="1">
      <alignment horizontal="center" vertical="center"/>
    </xf>
    <xf numFmtId="170" fontId="0" fillId="0" borderId="12" xfId="1" applyNumberFormat="1" applyFont="1" applyBorder="1"/>
    <xf numFmtId="9" fontId="0" fillId="0" borderId="12" xfId="1" applyFont="1" applyBorder="1"/>
    <xf numFmtId="168" fontId="0" fillId="0" borderId="12" xfId="0" applyNumberFormat="1" applyBorder="1"/>
    <xf numFmtId="0" fontId="15" fillId="0" borderId="13" xfId="3" applyFont="1" applyBorder="1" applyAlignment="1">
      <alignment horizontal="center" vertical="center"/>
    </xf>
    <xf numFmtId="172" fontId="0" fillId="0" borderId="14" xfId="0" applyNumberFormat="1" applyBorder="1"/>
    <xf numFmtId="0" fontId="0" fillId="0" borderId="0" xfId="1" applyNumberFormat="1" applyFont="1"/>
    <xf numFmtId="0" fontId="15" fillId="0" borderId="0" xfId="5"/>
    <xf numFmtId="0" fontId="13" fillId="0" borderId="0" xfId="5" applyFont="1"/>
    <xf numFmtId="0" fontId="15" fillId="0" borderId="0" xfId="5" applyAlignment="1">
      <alignment horizontal="center"/>
    </xf>
    <xf numFmtId="0" fontId="15" fillId="0" borderId="4" xfId="5" applyBorder="1" applyAlignment="1">
      <alignment horizontal="center"/>
    </xf>
    <xf numFmtId="14" fontId="0" fillId="0" borderId="0" xfId="1" applyNumberFormat="1" applyFont="1"/>
    <xf numFmtId="0" fontId="0" fillId="7" borderId="3" xfId="0" applyFont="1" applyFill="1" applyBorder="1" applyAlignment="1">
      <alignment horizontal="center"/>
    </xf>
    <xf numFmtId="0" fontId="0" fillId="0" borderId="0" xfId="0" applyFont="1"/>
    <xf numFmtId="172" fontId="0" fillId="0" borderId="0" xfId="0" applyNumberFormat="1" applyFont="1"/>
    <xf numFmtId="14" fontId="0" fillId="0" borderId="0" xfId="0" applyNumberFormat="1" applyFont="1"/>
    <xf numFmtId="2" fontId="0" fillId="0" borderId="0" xfId="0" applyNumberFormat="1" applyFont="1"/>
    <xf numFmtId="0" fontId="18" fillId="11" borderId="0" xfId="6" applyAlignment="1">
      <alignment horizontal="center"/>
    </xf>
    <xf numFmtId="0" fontId="15" fillId="0" borderId="18" xfId="5" applyBorder="1" applyAlignment="1">
      <alignment horizontal="center"/>
    </xf>
    <xf numFmtId="0" fontId="15" fillId="0" borderId="11" xfId="5" applyBorder="1" applyAlignment="1">
      <alignment horizontal="center"/>
    </xf>
    <xf numFmtId="0" fontId="15" fillId="0" borderId="13" xfId="5" applyBorder="1" applyAlignment="1">
      <alignment horizontal="center"/>
    </xf>
    <xf numFmtId="0" fontId="15" fillId="0" borderId="0" xfId="5" applyBorder="1" applyAlignment="1">
      <alignment horizontal="center"/>
    </xf>
    <xf numFmtId="166" fontId="15" fillId="0" borderId="0" xfId="5" applyNumberFormat="1" applyBorder="1" applyAlignment="1">
      <alignment horizontal="center"/>
    </xf>
    <xf numFmtId="168" fontId="15" fillId="0" borderId="0" xfId="5" applyNumberFormat="1" applyBorder="1" applyAlignment="1">
      <alignment horizontal="center"/>
    </xf>
    <xf numFmtId="0" fontId="15" fillId="0" borderId="10" xfId="5" applyBorder="1" applyAlignment="1">
      <alignment horizontal="center"/>
    </xf>
    <xf numFmtId="0" fontId="15" fillId="0" borderId="19" xfId="5" applyBorder="1" applyAlignment="1">
      <alignment horizontal="center"/>
    </xf>
    <xf numFmtId="0" fontId="15" fillId="0" borderId="12" xfId="5" applyBorder="1" applyAlignment="1">
      <alignment horizontal="center"/>
    </xf>
    <xf numFmtId="0" fontId="15" fillId="0" borderId="14" xfId="5" applyBorder="1" applyAlignment="1">
      <alignment horizontal="center"/>
    </xf>
    <xf numFmtId="167" fontId="15" fillId="0" borderId="18" xfId="5" applyNumberFormat="1" applyBorder="1"/>
    <xf numFmtId="167" fontId="15" fillId="0" borderId="10" xfId="5" applyNumberFormat="1" applyBorder="1"/>
    <xf numFmtId="167" fontId="15" fillId="0" borderId="19" xfId="5" applyNumberFormat="1" applyBorder="1"/>
    <xf numFmtId="167" fontId="15" fillId="0" borderId="11" xfId="5" applyNumberFormat="1" applyBorder="1"/>
    <xf numFmtId="167" fontId="15" fillId="0" borderId="0" xfId="5" applyNumberFormat="1"/>
    <xf numFmtId="167" fontId="15" fillId="0" borderId="12" xfId="5" applyNumberFormat="1" applyBorder="1"/>
    <xf numFmtId="167" fontId="15" fillId="0" borderId="13" xfId="5" applyNumberFormat="1" applyBorder="1"/>
    <xf numFmtId="167" fontId="15" fillId="0" borderId="4" xfId="5" applyNumberFormat="1" applyBorder="1"/>
    <xf numFmtId="167" fontId="15" fillId="0" borderId="14" xfId="5" applyNumberFormat="1" applyBorder="1"/>
    <xf numFmtId="167" fontId="15" fillId="0" borderId="20" xfId="5" applyNumberFormat="1" applyBorder="1" applyAlignment="1">
      <alignment horizontal="center"/>
    </xf>
    <xf numFmtId="167" fontId="15" fillId="0" borderId="21" xfId="5" applyNumberFormat="1" applyBorder="1" applyAlignment="1">
      <alignment horizontal="center"/>
    </xf>
    <xf numFmtId="167" fontId="15" fillId="0" borderId="22" xfId="5" applyNumberFormat="1" applyBorder="1" applyAlignment="1">
      <alignment horizontal="center"/>
    </xf>
    <xf numFmtId="0" fontId="19" fillId="11" borderId="0" xfId="6" applyFont="1" applyAlignment="1">
      <alignment horizontal="center"/>
    </xf>
    <xf numFmtId="0" fontId="20" fillId="11" borderId="0" xfId="6" applyFont="1" applyAlignment="1">
      <alignment horizontal="center"/>
    </xf>
    <xf numFmtId="170" fontId="0" fillId="10" borderId="18" xfId="7" applyNumberFormat="1" applyFont="1" applyFill="1" applyBorder="1" applyAlignment="1">
      <alignment horizontal="center"/>
    </xf>
    <xf numFmtId="173" fontId="0" fillId="10" borderId="11" xfId="7" applyNumberFormat="1" applyFont="1" applyFill="1" applyBorder="1" applyAlignment="1">
      <alignment horizontal="center"/>
    </xf>
    <xf numFmtId="167" fontId="15" fillId="10" borderId="13" xfId="5" applyNumberFormat="1" applyFill="1" applyBorder="1" applyAlignment="1">
      <alignment horizontal="center"/>
    </xf>
    <xf numFmtId="166" fontId="15" fillId="10" borderId="19" xfId="5" applyNumberFormat="1" applyFill="1" applyBorder="1" applyAlignment="1">
      <alignment horizontal="center"/>
    </xf>
    <xf numFmtId="166" fontId="15" fillId="10" borderId="12" xfId="5" applyNumberFormat="1" applyFill="1" applyBorder="1" applyAlignment="1">
      <alignment horizontal="center"/>
    </xf>
    <xf numFmtId="166" fontId="15" fillId="10" borderId="14" xfId="5" applyNumberFormat="1" applyFill="1" applyBorder="1" applyAlignment="1">
      <alignment horizontal="center"/>
    </xf>
    <xf numFmtId="167" fontId="15" fillId="0" borderId="15" xfId="5" applyNumberFormat="1" applyBorder="1" applyAlignment="1">
      <alignment horizontal="center"/>
    </xf>
    <xf numFmtId="166" fontId="15" fillId="0" borderId="3" xfId="5" applyNumberFormat="1" applyBorder="1" applyAlignment="1">
      <alignment horizontal="center"/>
    </xf>
    <xf numFmtId="166" fontId="15" fillId="0" borderId="16" xfId="5" applyNumberFormat="1" applyBorder="1" applyAlignment="1">
      <alignment horizontal="center"/>
    </xf>
    <xf numFmtId="174" fontId="15" fillId="0" borderId="0" xfId="5" applyNumberFormat="1" applyAlignment="1">
      <alignment horizontal="center"/>
    </xf>
    <xf numFmtId="0" fontId="15" fillId="10" borderId="10" xfId="5" applyNumberFormat="1" applyFill="1" applyBorder="1" applyAlignment="1">
      <alignment horizontal="center"/>
    </xf>
    <xf numFmtId="0" fontId="15" fillId="10" borderId="0" xfId="5" applyNumberFormat="1" applyFill="1" applyAlignment="1">
      <alignment horizontal="center"/>
    </xf>
    <xf numFmtId="0" fontId="15" fillId="10" borderId="4" xfId="5" applyNumberFormat="1" applyFill="1" applyBorder="1" applyAlignment="1">
      <alignment horizontal="center"/>
    </xf>
    <xf numFmtId="10" fontId="0" fillId="0" borderId="0" xfId="7" applyNumberFormat="1" applyFont="1" applyBorder="1" applyAlignment="1">
      <alignment horizontal="center"/>
    </xf>
    <xf numFmtId="9" fontId="0" fillId="0" borderId="0" xfId="0" applyNumberFormat="1"/>
    <xf numFmtId="175" fontId="0" fillId="0" borderId="0" xfId="0" applyNumberFormat="1"/>
    <xf numFmtId="0" fontId="23" fillId="0" borderId="0" xfId="0" applyFont="1"/>
    <xf numFmtId="0" fontId="23" fillId="7" borderId="8" xfId="0" applyFont="1" applyFill="1" applyBorder="1"/>
    <xf numFmtId="0" fontId="23" fillId="7" borderId="3" xfId="0" applyFont="1" applyFill="1" applyBorder="1"/>
    <xf numFmtId="0" fontId="23" fillId="7" borderId="9" xfId="0" applyFont="1" applyFill="1" applyBorder="1"/>
    <xf numFmtId="0" fontId="23" fillId="7" borderId="5" xfId="0" applyFont="1" applyFill="1" applyBorder="1"/>
    <xf numFmtId="14" fontId="23" fillId="0" borderId="6" xfId="0" applyNumberFormat="1" applyFont="1" applyBorder="1"/>
    <xf numFmtId="0" fontId="23" fillId="0" borderId="6" xfId="0" applyFont="1" applyBorder="1"/>
    <xf numFmtId="0" fontId="23" fillId="0" borderId="7" xfId="0" applyFont="1" applyBorder="1"/>
    <xf numFmtId="0" fontId="23" fillId="0" borderId="0" xfId="0" applyFont="1" applyAlignment="1">
      <alignment horizontal="center"/>
    </xf>
    <xf numFmtId="0" fontId="23" fillId="7" borderId="3" xfId="0" applyFont="1" applyFill="1" applyBorder="1" applyAlignment="1">
      <alignment horizontal="center"/>
    </xf>
    <xf numFmtId="170" fontId="23" fillId="0" borderId="0" xfId="1" applyNumberFormat="1" applyFont="1"/>
    <xf numFmtId="14" fontId="23" fillId="0" borderId="0" xfId="0" applyNumberFormat="1" applyFont="1"/>
    <xf numFmtId="2" fontId="23" fillId="0" borderId="0" xfId="0" applyNumberFormat="1" applyFont="1"/>
    <xf numFmtId="168" fontId="23" fillId="0" borderId="0" xfId="0" applyNumberFormat="1" applyFont="1"/>
    <xf numFmtId="166" fontId="23" fillId="0" borderId="0" xfId="0" applyNumberFormat="1" applyFont="1"/>
    <xf numFmtId="2" fontId="23" fillId="0" borderId="6" xfId="0" applyNumberFormat="1" applyFont="1" applyBorder="1"/>
    <xf numFmtId="170" fontId="23" fillId="0" borderId="6" xfId="1" applyNumberFormat="1" applyFont="1" applyBorder="1"/>
    <xf numFmtId="168" fontId="23" fillId="0" borderId="6" xfId="0" applyNumberFormat="1" applyFont="1" applyBorder="1"/>
    <xf numFmtId="166" fontId="23" fillId="0" borderId="6" xfId="0" applyNumberFormat="1" applyFont="1" applyBorder="1"/>
    <xf numFmtId="0" fontId="23" fillId="0" borderId="0" xfId="0" applyFont="1" applyBorder="1"/>
    <xf numFmtId="10" fontId="23" fillId="0" borderId="0" xfId="1" applyNumberFormat="1" applyFont="1"/>
    <xf numFmtId="172" fontId="23" fillId="0" borderId="0" xfId="0" applyNumberFormat="1" applyFont="1"/>
    <xf numFmtId="0" fontId="25" fillId="0" borderId="0" xfId="3" applyFont="1" applyBorder="1" applyAlignment="1">
      <alignment horizontal="center" vertical="center"/>
    </xf>
    <xf numFmtId="9" fontId="23" fillId="0" borderId="0" xfId="1" applyFont="1"/>
    <xf numFmtId="0" fontId="25" fillId="0" borderId="0" xfId="3" applyFont="1" applyAlignment="1">
      <alignment horizontal="center" vertical="center"/>
    </xf>
    <xf numFmtId="171" fontId="23" fillId="0" borderId="0" xfId="0" applyNumberFormat="1" applyFont="1"/>
    <xf numFmtId="167" fontId="23" fillId="0" borderId="0" xfId="0" applyNumberFormat="1" applyFont="1"/>
    <xf numFmtId="0" fontId="23" fillId="4" borderId="3" xfId="0" applyFont="1" applyFill="1" applyBorder="1"/>
    <xf numFmtId="0" fontId="23" fillId="0" borderId="18" xfId="0" applyFont="1" applyBorder="1"/>
    <xf numFmtId="10" fontId="27" fillId="0" borderId="10" xfId="1" applyNumberFormat="1" applyFont="1" applyBorder="1"/>
    <xf numFmtId="0" fontId="23" fillId="0" borderId="10" xfId="0" applyFont="1" applyBorder="1"/>
    <xf numFmtId="10" fontId="27" fillId="0" borderId="19" xfId="1" applyNumberFormat="1" applyFont="1" applyBorder="1"/>
    <xf numFmtId="0" fontId="23" fillId="0" borderId="20" xfId="0" applyFont="1" applyBorder="1"/>
    <xf numFmtId="0" fontId="27" fillId="0" borderId="11" xfId="0" applyFont="1" applyBorder="1"/>
    <xf numFmtId="167" fontId="23" fillId="0" borderId="0" xfId="0" applyNumberFormat="1" applyFont="1" applyBorder="1"/>
    <xf numFmtId="167" fontId="23" fillId="0" borderId="12" xfId="0" applyNumberFormat="1" applyFont="1" applyBorder="1"/>
    <xf numFmtId="10" fontId="27" fillId="0" borderId="22" xfId="0" applyNumberFormat="1" applyFont="1" applyBorder="1"/>
    <xf numFmtId="0" fontId="27" fillId="0" borderId="13" xfId="0" applyFont="1" applyBorder="1"/>
    <xf numFmtId="0" fontId="23" fillId="0" borderId="4" xfId="0" applyFont="1" applyBorder="1"/>
    <xf numFmtId="10" fontId="23" fillId="0" borderId="4" xfId="1" applyNumberFormat="1" applyFont="1" applyBorder="1"/>
    <xf numFmtId="0" fontId="23" fillId="0" borderId="14" xfId="0" applyFont="1" applyBorder="1"/>
    <xf numFmtId="0" fontId="23" fillId="6" borderId="15" xfId="0" applyFont="1" applyFill="1" applyBorder="1"/>
    <xf numFmtId="167" fontId="23" fillId="6" borderId="16" xfId="0" applyNumberFormat="1" applyFont="1" applyFill="1" applyBorder="1"/>
    <xf numFmtId="0" fontId="27" fillId="0" borderId="0" xfId="0" applyFont="1" applyBorder="1"/>
    <xf numFmtId="0" fontId="27" fillId="0" borderId="4" xfId="0" applyFont="1" applyBorder="1"/>
    <xf numFmtId="0" fontId="23" fillId="0" borderId="0" xfId="0" applyFont="1" applyFill="1"/>
    <xf numFmtId="10" fontId="23" fillId="0" borderId="0" xfId="0" applyNumberFormat="1" applyFont="1" applyFill="1"/>
    <xf numFmtId="10" fontId="23" fillId="0" borderId="0" xfId="0" applyNumberFormat="1" applyFont="1"/>
    <xf numFmtId="0" fontId="23" fillId="4" borderId="3" xfId="0" applyFont="1" applyFill="1" applyBorder="1" applyAlignment="1">
      <alignment horizontal="center"/>
    </xf>
    <xf numFmtId="0" fontId="23" fillId="8" borderId="18" xfId="0" applyFont="1" applyFill="1" applyBorder="1" applyAlignment="1"/>
    <xf numFmtId="0" fontId="23" fillId="8" borderId="3" xfId="0" applyFont="1" applyFill="1" applyBorder="1"/>
    <xf numFmtId="0" fontId="23" fillId="8" borderId="19" xfId="0" applyFont="1" applyFill="1" applyBorder="1" applyAlignment="1"/>
    <xf numFmtId="0" fontId="23" fillId="0" borderId="0" xfId="0" applyFont="1" applyAlignment="1">
      <alignment horizontal="left"/>
    </xf>
    <xf numFmtId="0" fontId="23" fillId="4" borderId="11" xfId="0" applyFont="1" applyFill="1" applyBorder="1"/>
    <xf numFmtId="0" fontId="23" fillId="4" borderId="12" xfId="0" applyFont="1" applyFill="1" applyBorder="1"/>
    <xf numFmtId="0" fontId="23" fillId="4" borderId="15" xfId="0" applyFont="1" applyFill="1" applyBorder="1"/>
    <xf numFmtId="0" fontId="23" fillId="4" borderId="16" xfId="0" applyFont="1" applyFill="1" applyBorder="1"/>
    <xf numFmtId="14" fontId="23" fillId="0" borderId="0" xfId="0" applyNumberFormat="1" applyFont="1" applyAlignment="1">
      <alignment horizontal="left"/>
    </xf>
    <xf numFmtId="0" fontId="28" fillId="0" borderId="0" xfId="0" applyFont="1" applyAlignment="1">
      <alignment horizontal="left"/>
    </xf>
    <xf numFmtId="0" fontId="23" fillId="0" borderId="11" xfId="0" applyFont="1" applyFill="1" applyBorder="1"/>
    <xf numFmtId="173" fontId="23" fillId="0" borderId="12" xfId="0" applyNumberFormat="1" applyFont="1" applyBorder="1"/>
    <xf numFmtId="10" fontId="23" fillId="0" borderId="11" xfId="0" applyNumberFormat="1" applyFont="1" applyFill="1" applyBorder="1"/>
    <xf numFmtId="2" fontId="23" fillId="0" borderId="0" xfId="1" applyNumberFormat="1" applyFont="1"/>
    <xf numFmtId="165" fontId="23" fillId="0" borderId="12" xfId="0" applyNumberFormat="1" applyFont="1" applyBorder="1"/>
    <xf numFmtId="9" fontId="23" fillId="0" borderId="12" xfId="1" applyFont="1" applyBorder="1"/>
    <xf numFmtId="165" fontId="23" fillId="0" borderId="12" xfId="1" applyNumberFormat="1" applyFont="1" applyBorder="1"/>
    <xf numFmtId="0" fontId="23" fillId="13" borderId="13" xfId="0" applyFont="1" applyFill="1" applyBorder="1"/>
    <xf numFmtId="173" fontId="23" fillId="13" borderId="14" xfId="0" applyNumberFormat="1" applyFont="1" applyFill="1" applyBorder="1"/>
    <xf numFmtId="0" fontId="23" fillId="14" borderId="15" xfId="0" applyFont="1" applyFill="1" applyBorder="1"/>
    <xf numFmtId="165" fontId="23" fillId="14" borderId="16" xfId="0" applyNumberFormat="1" applyFont="1" applyFill="1" applyBorder="1"/>
    <xf numFmtId="170" fontId="23" fillId="0" borderId="0" xfId="0" applyNumberFormat="1" applyFont="1"/>
    <xf numFmtId="165" fontId="23" fillId="0" borderId="0" xfId="0" applyNumberFormat="1" applyFont="1"/>
    <xf numFmtId="0" fontId="23" fillId="0" borderId="12" xfId="0" applyFont="1" applyBorder="1"/>
    <xf numFmtId="10" fontId="23" fillId="0" borderId="0" xfId="0" applyNumberFormat="1" applyFont="1" applyAlignment="1">
      <alignment horizontal="left"/>
    </xf>
    <xf numFmtId="0" fontId="28" fillId="0" borderId="0" xfId="0" applyFont="1"/>
    <xf numFmtId="170" fontId="23" fillId="0" borderId="12" xfId="0" applyNumberFormat="1" applyFont="1" applyBorder="1"/>
    <xf numFmtId="0" fontId="23" fillId="0" borderId="0" xfId="0" applyNumberFormat="1" applyFont="1"/>
    <xf numFmtId="10" fontId="23" fillId="0" borderId="12" xfId="1" applyNumberFormat="1" applyFont="1" applyBorder="1"/>
    <xf numFmtId="0" fontId="23" fillId="0" borderId="0" xfId="0" applyFont="1" applyFill="1" applyBorder="1" applyAlignment="1">
      <alignment horizontal="left"/>
    </xf>
    <xf numFmtId="170" fontId="23" fillId="13" borderId="14" xfId="0" applyNumberFormat="1" applyFont="1" applyFill="1" applyBorder="1"/>
    <xf numFmtId="9" fontId="23" fillId="0" borderId="0" xfId="1" applyFont="1" applyAlignment="1">
      <alignment horizontal="left"/>
    </xf>
    <xf numFmtId="0" fontId="23" fillId="0" borderId="18" xfId="0" applyFont="1" applyFill="1" applyBorder="1"/>
    <xf numFmtId="173" fontId="23" fillId="0" borderId="19" xfId="0" applyNumberFormat="1" applyFont="1" applyBorder="1"/>
    <xf numFmtId="0" fontId="23" fillId="0" borderId="13" xfId="0" applyFont="1" applyFill="1" applyBorder="1"/>
    <xf numFmtId="165" fontId="23" fillId="0" borderId="14" xfId="4" applyNumberFormat="1" applyFont="1" applyBorder="1"/>
    <xf numFmtId="0" fontId="23" fillId="0" borderId="0" xfId="0" applyFont="1" applyFill="1" applyBorder="1"/>
    <xf numFmtId="173" fontId="23" fillId="0" borderId="0" xfId="0" applyNumberFormat="1" applyFont="1" applyBorder="1"/>
    <xf numFmtId="0" fontId="29" fillId="9" borderId="0" xfId="0" applyFont="1" applyFill="1" applyBorder="1" applyAlignment="1">
      <alignment horizontal="left"/>
    </xf>
    <xf numFmtId="14" fontId="27" fillId="0" borderId="0" xfId="0" applyNumberFormat="1" applyFont="1" applyFill="1" applyAlignment="1">
      <alignment horizontal="left"/>
    </xf>
    <xf numFmtId="168" fontId="23" fillId="0" borderId="0" xfId="0" applyNumberFormat="1" applyFont="1" applyAlignment="1">
      <alignment horizontal="left"/>
    </xf>
    <xf numFmtId="170" fontId="27" fillId="0" borderId="0" xfId="1" applyNumberFormat="1" applyFont="1" applyAlignment="1">
      <alignment horizontal="left"/>
    </xf>
    <xf numFmtId="170" fontId="23" fillId="0" borderId="0" xfId="0" applyNumberFormat="1" applyFont="1" applyAlignment="1">
      <alignment horizontal="left"/>
    </xf>
    <xf numFmtId="2" fontId="23" fillId="0" borderId="0" xfId="0" applyNumberFormat="1" applyFont="1" applyAlignment="1">
      <alignment horizontal="left"/>
    </xf>
    <xf numFmtId="14" fontId="31" fillId="0" borderId="0" xfId="0" applyNumberFormat="1" applyFont="1" applyFill="1" applyAlignment="1">
      <alignment horizontal="left"/>
    </xf>
    <xf numFmtId="0" fontId="23" fillId="0" borderId="4" xfId="0" applyFont="1" applyBorder="1" applyAlignment="1">
      <alignment horizontal="left"/>
    </xf>
    <xf numFmtId="14" fontId="31" fillId="0" borderId="4" xfId="0" applyNumberFormat="1" applyFont="1" applyFill="1" applyBorder="1" applyAlignment="1">
      <alignment horizontal="left"/>
    </xf>
    <xf numFmtId="14" fontId="23" fillId="0" borderId="4" xfId="0" applyNumberFormat="1" applyFont="1" applyBorder="1" applyAlignment="1">
      <alignment horizontal="left"/>
    </xf>
    <xf numFmtId="168" fontId="23" fillId="0" borderId="4" xfId="0" applyNumberFormat="1" applyFont="1" applyBorder="1" applyAlignment="1">
      <alignment horizontal="left"/>
    </xf>
    <xf numFmtId="14" fontId="27" fillId="0" borderId="4" xfId="0" applyNumberFormat="1" applyFont="1" applyFill="1" applyBorder="1" applyAlignment="1">
      <alignment horizontal="left"/>
    </xf>
    <xf numFmtId="170" fontId="23" fillId="0" borderId="4" xfId="0" applyNumberFormat="1" applyFont="1" applyBorder="1" applyAlignment="1">
      <alignment horizontal="left"/>
    </xf>
    <xf numFmtId="14" fontId="30" fillId="0" borderId="0" xfId="0" applyNumberFormat="1" applyFont="1" applyFill="1" applyBorder="1" applyAlignment="1">
      <alignment horizontal="left"/>
    </xf>
    <xf numFmtId="2" fontId="30" fillId="0" borderId="0" xfId="0" applyNumberFormat="1" applyFont="1" applyFill="1" applyBorder="1"/>
    <xf numFmtId="0" fontId="27" fillId="0" borderId="0" xfId="0" applyFont="1"/>
    <xf numFmtId="0" fontId="27" fillId="0" borderId="6" xfId="0" applyFont="1" applyBorder="1"/>
    <xf numFmtId="171" fontId="23" fillId="0" borderId="6" xfId="0" applyNumberFormat="1" applyFont="1" applyBorder="1"/>
    <xf numFmtId="0" fontId="23" fillId="0" borderId="6" xfId="0" applyNumberFormat="1" applyFont="1" applyBorder="1" applyAlignment="1">
      <alignment horizontal="left"/>
    </xf>
    <xf numFmtId="0" fontId="23" fillId="0" borderId="0" xfId="0" applyNumberFormat="1" applyFont="1" applyAlignment="1">
      <alignment horizontal="left"/>
    </xf>
    <xf numFmtId="0" fontId="33" fillId="0" borderId="18" xfId="3" applyFont="1" applyBorder="1" applyAlignment="1">
      <alignment horizontal="center" vertical="center"/>
    </xf>
    <xf numFmtId="170" fontId="23" fillId="0" borderId="19" xfId="1" applyNumberFormat="1" applyFont="1" applyBorder="1"/>
    <xf numFmtId="0" fontId="33" fillId="0" borderId="11" xfId="3" applyFont="1" applyBorder="1" applyAlignment="1">
      <alignment horizontal="center" vertical="center"/>
    </xf>
    <xf numFmtId="170" fontId="23" fillId="0" borderId="12" xfId="1" applyNumberFormat="1" applyFont="1" applyBorder="1"/>
    <xf numFmtId="0" fontId="33" fillId="0" borderId="13" xfId="3" applyFont="1" applyBorder="1" applyAlignment="1">
      <alignment horizontal="center" vertical="center"/>
    </xf>
    <xf numFmtId="166" fontId="23" fillId="0" borderId="14" xfId="1" applyNumberFormat="1" applyFont="1" applyBorder="1"/>
    <xf numFmtId="0" fontId="23" fillId="0" borderId="0" xfId="0" applyNumberFormat="1" applyFont="1" applyBorder="1" applyAlignment="1">
      <alignment horizontal="left"/>
    </xf>
    <xf numFmtId="166" fontId="23" fillId="0" borderId="0" xfId="0" applyNumberFormat="1" applyFont="1" applyBorder="1"/>
    <xf numFmtId="0" fontId="23" fillId="8" borderId="15" xfId="0" applyFont="1" applyFill="1" applyBorder="1"/>
    <xf numFmtId="0" fontId="23" fillId="8" borderId="16" xfId="0" applyFont="1" applyFill="1" applyBorder="1"/>
    <xf numFmtId="0" fontId="23" fillId="8" borderId="17" xfId="0" applyFont="1" applyFill="1" applyBorder="1"/>
    <xf numFmtId="0" fontId="23" fillId="8" borderId="15" xfId="0" applyFont="1" applyFill="1" applyBorder="1" applyAlignment="1"/>
    <xf numFmtId="0" fontId="23" fillId="8" borderId="3" xfId="0" applyFont="1" applyFill="1" applyBorder="1" applyAlignment="1"/>
    <xf numFmtId="0" fontId="23" fillId="7" borderId="15" xfId="0" applyFont="1" applyFill="1" applyBorder="1" applyAlignment="1">
      <alignment horizontal="center"/>
    </xf>
    <xf numFmtId="0" fontId="23" fillId="7" borderId="16" xfId="0" applyFont="1" applyFill="1" applyBorder="1" applyAlignment="1">
      <alignment horizontal="center"/>
    </xf>
    <xf numFmtId="0" fontId="23" fillId="7" borderId="17" xfId="0" applyFont="1" applyFill="1" applyBorder="1" applyAlignment="1">
      <alignment horizontal="center"/>
    </xf>
    <xf numFmtId="170" fontId="23" fillId="0" borderId="11" xfId="1" applyNumberFormat="1" applyFont="1" applyBorder="1" applyAlignment="1">
      <alignment horizontal="left"/>
    </xf>
    <xf numFmtId="2" fontId="23" fillId="0" borderId="12" xfId="0" applyNumberFormat="1" applyFont="1" applyBorder="1" applyAlignment="1">
      <alignment horizontal="left"/>
    </xf>
    <xf numFmtId="170" fontId="23" fillId="0" borderId="21" xfId="1" applyNumberFormat="1" applyFont="1" applyBorder="1" applyAlignment="1">
      <alignment horizontal="left"/>
    </xf>
    <xf numFmtId="0" fontId="23" fillId="0" borderId="11" xfId="0" applyFont="1" applyBorder="1"/>
    <xf numFmtId="10" fontId="23" fillId="0" borderId="0" xfId="0" applyNumberFormat="1" applyFont="1" applyBorder="1"/>
    <xf numFmtId="173" fontId="23" fillId="0" borderId="12" xfId="0" applyNumberFormat="1" applyFont="1" applyBorder="1" applyAlignment="1">
      <alignment horizontal="center"/>
    </xf>
    <xf numFmtId="173" fontId="23" fillId="0" borderId="0" xfId="0" applyNumberFormat="1" applyFont="1" applyBorder="1" applyAlignment="1">
      <alignment horizontal="center"/>
    </xf>
    <xf numFmtId="10" fontId="23" fillId="0" borderId="0" xfId="0" applyNumberFormat="1" applyFont="1" applyBorder="1" applyAlignment="1">
      <alignment horizontal="center"/>
    </xf>
    <xf numFmtId="173" fontId="23" fillId="0" borderId="11" xfId="0" applyNumberFormat="1" applyFont="1" applyBorder="1"/>
    <xf numFmtId="170" fontId="23" fillId="0" borderId="0" xfId="1" applyNumberFormat="1" applyFont="1" applyBorder="1"/>
    <xf numFmtId="10" fontId="23" fillId="0" borderId="11" xfId="0" applyNumberFormat="1" applyFont="1" applyBorder="1"/>
    <xf numFmtId="9" fontId="27" fillId="0" borderId="0" xfId="0" applyNumberFormat="1" applyFont="1" applyBorder="1"/>
    <xf numFmtId="170" fontId="23" fillId="0" borderId="0" xfId="0" applyNumberFormat="1" applyFont="1" applyBorder="1"/>
    <xf numFmtId="10" fontId="23" fillId="0" borderId="11" xfId="1" applyNumberFormat="1" applyFont="1" applyBorder="1"/>
    <xf numFmtId="168" fontId="23" fillId="0" borderId="0" xfId="0" applyNumberFormat="1" applyFont="1" applyBorder="1"/>
    <xf numFmtId="0" fontId="23" fillId="0" borderId="0" xfId="0" applyFont="1" applyBorder="1" applyAlignment="1">
      <alignment horizontal="left"/>
    </xf>
    <xf numFmtId="166" fontId="23" fillId="0" borderId="0" xfId="0" applyNumberFormat="1" applyFont="1" applyAlignment="1">
      <alignment horizontal="left"/>
    </xf>
    <xf numFmtId="173" fontId="23" fillId="0" borderId="0" xfId="0" applyNumberFormat="1" applyFont="1"/>
    <xf numFmtId="9" fontId="23" fillId="0" borderId="0" xfId="0" applyNumberFormat="1" applyFont="1"/>
    <xf numFmtId="175" fontId="23" fillId="0" borderId="0" xfId="0" applyNumberFormat="1" applyFont="1"/>
    <xf numFmtId="170" fontId="27" fillId="0" borderId="19" xfId="1" applyNumberFormat="1" applyFont="1" applyBorder="1"/>
    <xf numFmtId="170" fontId="23" fillId="0" borderId="4" xfId="1" applyNumberFormat="1" applyFont="1" applyBorder="1"/>
    <xf numFmtId="10" fontId="23" fillId="0" borderId="10" xfId="0" applyNumberFormat="1" applyFont="1" applyBorder="1"/>
    <xf numFmtId="170" fontId="23" fillId="0" borderId="0" xfId="1" applyNumberFormat="1" applyFont="1" applyBorder="1" applyAlignment="1">
      <alignment horizontal="left"/>
    </xf>
    <xf numFmtId="2" fontId="23" fillId="0" borderId="0" xfId="0" applyNumberFormat="1" applyFont="1" applyBorder="1" applyAlignment="1">
      <alignment horizontal="left"/>
    </xf>
    <xf numFmtId="10" fontId="23" fillId="0" borderId="0" xfId="1" applyNumberFormat="1" applyFont="1" applyBorder="1"/>
    <xf numFmtId="0" fontId="33" fillId="0" borderId="15" xfId="3" applyFont="1" applyBorder="1" applyAlignment="1">
      <alignment horizontal="center" vertical="center"/>
    </xf>
    <xf numFmtId="170" fontId="23" fillId="0" borderId="3" xfId="1" applyNumberFormat="1" applyFont="1" applyBorder="1"/>
    <xf numFmtId="0" fontId="23" fillId="0" borderId="3" xfId="0" applyFont="1" applyBorder="1"/>
    <xf numFmtId="170" fontId="23" fillId="0" borderId="16" xfId="1" applyNumberFormat="1" applyFont="1" applyBorder="1"/>
    <xf numFmtId="170" fontId="23" fillId="0" borderId="10" xfId="1" applyNumberFormat="1" applyFont="1" applyBorder="1" applyAlignment="1">
      <alignment horizontal="left"/>
    </xf>
    <xf numFmtId="0" fontId="23" fillId="4" borderId="4" xfId="0" applyFont="1" applyFill="1" applyBorder="1" applyAlignment="1">
      <alignment horizontal="center"/>
    </xf>
    <xf numFmtId="0" fontId="23" fillId="4" borderId="0" xfId="0" applyFont="1" applyFill="1" applyAlignment="1">
      <alignment horizontal="right"/>
    </xf>
    <xf numFmtId="0" fontId="23" fillId="0" borderId="16" xfId="0" applyFont="1" applyBorder="1"/>
    <xf numFmtId="0" fontId="23" fillId="0" borderId="11" xfId="0" applyFont="1" applyBorder="1" applyAlignment="1">
      <alignment horizontal="left"/>
    </xf>
    <xf numFmtId="0" fontId="23" fillId="0" borderId="13" xfId="0" applyFont="1" applyBorder="1" applyAlignment="1">
      <alignment horizontal="left"/>
    </xf>
    <xf numFmtId="170" fontId="23" fillId="0" borderId="14" xfId="1" applyNumberFormat="1" applyFont="1" applyBorder="1"/>
    <xf numFmtId="0" fontId="30" fillId="16" borderId="0" xfId="0" applyFont="1" applyFill="1" applyAlignment="1">
      <alignment horizontal="left"/>
    </xf>
    <xf numFmtId="0" fontId="35" fillId="0" borderId="0" xfId="0" applyFont="1"/>
    <xf numFmtId="14" fontId="23" fillId="0" borderId="0" xfId="0" applyNumberFormat="1" applyFont="1" applyFill="1" applyAlignment="1">
      <alignment horizontal="left"/>
    </xf>
    <xf numFmtId="167" fontId="23" fillId="0" borderId="0" xfId="1" applyNumberFormat="1" applyFont="1" applyAlignment="1">
      <alignment horizontal="left"/>
    </xf>
    <xf numFmtId="170" fontId="23" fillId="0" borderId="0" xfId="1" applyNumberFormat="1" applyFont="1" applyFill="1" applyAlignment="1">
      <alignment horizontal="left"/>
    </xf>
    <xf numFmtId="170" fontId="23" fillId="0" borderId="0" xfId="1" applyNumberFormat="1" applyFont="1" applyAlignment="1">
      <alignment horizontal="left"/>
    </xf>
    <xf numFmtId="170" fontId="30" fillId="6" borderId="0" xfId="1" applyNumberFormat="1" applyFont="1" applyFill="1"/>
    <xf numFmtId="0" fontId="23" fillId="7" borderId="0" xfId="0" applyFont="1" applyFill="1" applyBorder="1" applyAlignment="1">
      <alignment horizontal="center"/>
    </xf>
    <xf numFmtId="0" fontId="23" fillId="4" borderId="12" xfId="0" applyFont="1" applyFill="1" applyBorder="1" applyAlignment="1">
      <alignment horizontal="center"/>
    </xf>
    <xf numFmtId="168" fontId="23" fillId="0" borderId="0" xfId="1" applyNumberFormat="1" applyFont="1"/>
    <xf numFmtId="9" fontId="23" fillId="0" borderId="0" xfId="0" applyNumberFormat="1" applyFont="1" applyAlignment="1">
      <alignment horizontal="left"/>
    </xf>
    <xf numFmtId="165" fontId="23" fillId="0" borderId="0" xfId="0" applyNumberFormat="1" applyFont="1" applyAlignment="1">
      <alignment horizontal="left"/>
    </xf>
    <xf numFmtId="0" fontId="23" fillId="0" borderId="0" xfId="0" applyFont="1" applyAlignment="1">
      <alignment vertical="center"/>
    </xf>
    <xf numFmtId="170" fontId="23" fillId="0" borderId="11" xfId="0" applyNumberFormat="1" applyFont="1" applyBorder="1"/>
    <xf numFmtId="170" fontId="23" fillId="0" borderId="10" xfId="1" applyNumberFormat="1" applyFont="1" applyBorder="1"/>
    <xf numFmtId="170" fontId="23" fillId="0" borderId="10" xfId="0" applyNumberFormat="1" applyFont="1" applyBorder="1"/>
    <xf numFmtId="2" fontId="23" fillId="15" borderId="0" xfId="0" applyNumberFormat="1" applyFont="1" applyFill="1"/>
    <xf numFmtId="0" fontId="23" fillId="7" borderId="0" xfId="0" applyFont="1" applyFill="1"/>
    <xf numFmtId="0" fontId="23" fillId="0" borderId="0" xfId="1" applyNumberFormat="1" applyFont="1"/>
    <xf numFmtId="14" fontId="23" fillId="0" borderId="0" xfId="1" applyNumberFormat="1" applyFont="1"/>
    <xf numFmtId="14" fontId="23" fillId="0" borderId="0" xfId="1" applyNumberFormat="1" applyFont="1" applyAlignment="1">
      <alignment horizontal="center"/>
    </xf>
    <xf numFmtId="170" fontId="23" fillId="0" borderId="0" xfId="1" applyNumberFormat="1" applyFont="1" applyAlignment="1">
      <alignment horizontal="center"/>
    </xf>
    <xf numFmtId="0" fontId="36" fillId="7" borderId="3" xfId="0" applyFont="1" applyFill="1" applyBorder="1" applyAlignment="1">
      <alignment horizontal="center"/>
    </xf>
    <xf numFmtId="170" fontId="25" fillId="0" borderId="19" xfId="1" applyNumberFormat="1" applyFont="1" applyBorder="1" applyAlignment="1">
      <alignment horizontal="center"/>
    </xf>
    <xf numFmtId="170" fontId="25" fillId="0" borderId="12" xfId="1" applyNumberFormat="1" applyFont="1" applyBorder="1" applyAlignment="1">
      <alignment horizontal="center"/>
    </xf>
    <xf numFmtId="167" fontId="25" fillId="0" borderId="12" xfId="5" applyNumberFormat="1" applyFont="1" applyBorder="1" applyAlignment="1">
      <alignment horizontal="center"/>
    </xf>
    <xf numFmtId="0" fontId="23" fillId="0" borderId="13" xfId="0" applyFont="1" applyBorder="1"/>
    <xf numFmtId="167" fontId="25" fillId="0" borderId="14" xfId="5" applyNumberFormat="1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1" fontId="25" fillId="0" borderId="19" xfId="5" applyNumberFormat="1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3" fillId="0" borderId="19" xfId="0" applyFont="1" applyBorder="1" applyAlignment="1">
      <alignment horizontal="center"/>
    </xf>
    <xf numFmtId="0" fontId="23" fillId="0" borderId="15" xfId="0" applyFont="1" applyBorder="1"/>
    <xf numFmtId="0" fontId="23" fillId="0" borderId="16" xfId="0" applyNumberFormat="1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173" fontId="23" fillId="0" borderId="10" xfId="1" applyNumberFormat="1" applyFont="1" applyBorder="1" applyAlignment="1">
      <alignment horizontal="center"/>
    </xf>
    <xf numFmtId="166" fontId="23" fillId="0" borderId="19" xfId="0" applyNumberFormat="1" applyFont="1" applyBorder="1" applyAlignment="1">
      <alignment horizontal="center"/>
    </xf>
    <xf numFmtId="167" fontId="23" fillId="0" borderId="11" xfId="0" applyNumberFormat="1" applyFont="1" applyBorder="1" applyAlignment="1">
      <alignment horizontal="center"/>
    </xf>
    <xf numFmtId="167" fontId="23" fillId="0" borderId="0" xfId="0" applyNumberFormat="1" applyFont="1" applyBorder="1" applyAlignment="1">
      <alignment horizontal="center"/>
    </xf>
    <xf numFmtId="173" fontId="23" fillId="0" borderId="0" xfId="1" applyNumberFormat="1" applyFont="1" applyBorder="1" applyAlignment="1">
      <alignment horizontal="center"/>
    </xf>
    <xf numFmtId="167" fontId="23" fillId="0" borderId="0" xfId="1" applyNumberFormat="1" applyFont="1" applyBorder="1" applyAlignment="1">
      <alignment horizontal="center"/>
    </xf>
    <xf numFmtId="166" fontId="23" fillId="0" borderId="12" xfId="0" applyNumberFormat="1" applyFont="1" applyBorder="1" applyAlignment="1">
      <alignment horizontal="center"/>
    </xf>
    <xf numFmtId="9" fontId="27" fillId="0" borderId="0" xfId="0" applyNumberFormat="1" applyFont="1"/>
    <xf numFmtId="10" fontId="23" fillId="0" borderId="19" xfId="0" applyNumberFormat="1" applyFont="1" applyBorder="1"/>
    <xf numFmtId="10" fontId="23" fillId="0" borderId="14" xfId="1" applyNumberFormat="1" applyFont="1" applyBorder="1" applyAlignment="1">
      <alignment horizontal="center"/>
    </xf>
    <xf numFmtId="0" fontId="27" fillId="0" borderId="0" xfId="0" applyNumberFormat="1" applyFont="1" applyBorder="1"/>
    <xf numFmtId="0" fontId="23" fillId="7" borderId="3" xfId="0" applyFont="1" applyFill="1" applyBorder="1" applyAlignment="1">
      <alignment horizontal="left"/>
    </xf>
    <xf numFmtId="166" fontId="23" fillId="0" borderId="0" xfId="1" applyNumberFormat="1" applyFont="1"/>
    <xf numFmtId="0" fontId="10" fillId="0" borderId="0" xfId="0" applyFont="1" applyBorder="1"/>
    <xf numFmtId="0" fontId="23" fillId="8" borderId="3" xfId="0" applyFont="1" applyFill="1" applyBorder="1" applyAlignment="1">
      <alignment horizontal="center"/>
    </xf>
    <xf numFmtId="0" fontId="23" fillId="8" borderId="1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4" fillId="6" borderId="0" xfId="0" applyFont="1" applyFill="1" applyAlignment="1">
      <alignment horizontal="center" vertical="center"/>
    </xf>
    <xf numFmtId="0" fontId="24" fillId="6" borderId="4" xfId="0" applyFont="1" applyFill="1" applyBorder="1" applyAlignment="1">
      <alignment horizontal="center" vertical="center"/>
    </xf>
    <xf numFmtId="0" fontId="0" fillId="7" borderId="15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7" fillId="6" borderId="0" xfId="0" applyFont="1" applyFill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23" fillId="4" borderId="3" xfId="0" applyFont="1" applyFill="1" applyBorder="1" applyAlignment="1">
      <alignment horizontal="center"/>
    </xf>
    <xf numFmtId="0" fontId="24" fillId="12" borderId="0" xfId="0" applyFont="1" applyFill="1" applyAlignment="1">
      <alignment horizontal="center" vertical="center"/>
    </xf>
    <xf numFmtId="0" fontId="23" fillId="8" borderId="3" xfId="0" applyFont="1" applyFill="1" applyBorder="1" applyAlignment="1">
      <alignment horizontal="center" vertical="center"/>
    </xf>
    <xf numFmtId="0" fontId="23" fillId="8" borderId="3" xfId="0" applyFont="1" applyFill="1" applyBorder="1" applyAlignment="1">
      <alignment horizontal="center"/>
    </xf>
    <xf numFmtId="0" fontId="29" fillId="9" borderId="4" xfId="0" applyFont="1" applyFill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/>
    </xf>
    <xf numFmtId="0" fontId="23" fillId="8" borderId="15" xfId="0" applyFont="1" applyFill="1" applyBorder="1" applyAlignment="1">
      <alignment horizontal="center"/>
    </xf>
    <xf numFmtId="0" fontId="23" fillId="8" borderId="16" xfId="0" applyFont="1" applyFill="1" applyBorder="1" applyAlignment="1">
      <alignment horizontal="center"/>
    </xf>
    <xf numFmtId="0" fontId="23" fillId="15" borderId="15" xfId="0" applyFont="1" applyFill="1" applyBorder="1" applyAlignment="1">
      <alignment horizontal="center"/>
    </xf>
    <xf numFmtId="0" fontId="23" fillId="15" borderId="16" xfId="0" applyFont="1" applyFill="1" applyBorder="1" applyAlignment="1">
      <alignment horizontal="center"/>
    </xf>
    <xf numFmtId="0" fontId="30" fillId="8" borderId="3" xfId="0" applyFont="1" applyFill="1" applyBorder="1" applyAlignment="1">
      <alignment horizontal="center"/>
    </xf>
    <xf numFmtId="0" fontId="29" fillId="9" borderId="0" xfId="0" applyFont="1" applyFill="1" applyBorder="1" applyAlignment="1">
      <alignment horizontal="center"/>
    </xf>
    <xf numFmtId="0" fontId="23" fillId="7" borderId="0" xfId="0" applyFont="1" applyFill="1" applyAlignment="1">
      <alignment horizontal="center"/>
    </xf>
    <xf numFmtId="0" fontId="23" fillId="0" borderId="3" xfId="0" applyFont="1" applyBorder="1" applyAlignment="1">
      <alignment horizontal="center"/>
    </xf>
    <xf numFmtId="0" fontId="24" fillId="6" borderId="10" xfId="0" applyFont="1" applyFill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18" xfId="0" applyFont="1" applyBorder="1" applyAlignment="1">
      <alignment horizontal="left"/>
    </xf>
    <xf numFmtId="0" fontId="23" fillId="0" borderId="10" xfId="0" applyFont="1" applyBorder="1" applyAlignment="1">
      <alignment horizontal="left"/>
    </xf>
    <xf numFmtId="0" fontId="23" fillId="0" borderId="11" xfId="0" applyFont="1" applyBorder="1" applyAlignment="1">
      <alignment horizontal="left"/>
    </xf>
    <xf numFmtId="0" fontId="23" fillId="0" borderId="0" xfId="0" applyFont="1" applyBorder="1" applyAlignment="1">
      <alignment horizontal="left"/>
    </xf>
    <xf numFmtId="0" fontId="23" fillId="0" borderId="13" xfId="0" applyFont="1" applyBorder="1" applyAlignment="1">
      <alignment horizontal="left"/>
    </xf>
    <xf numFmtId="0" fontId="23" fillId="0" borderId="4" xfId="0" applyFont="1" applyBorder="1" applyAlignment="1">
      <alignment horizontal="left"/>
    </xf>
    <xf numFmtId="0" fontId="23" fillId="0" borderId="23" xfId="0" applyFont="1" applyBorder="1" applyAlignment="1">
      <alignment horizontal="center"/>
    </xf>
    <xf numFmtId="0" fontId="23" fillId="0" borderId="24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2" fontId="0" fillId="0" borderId="0" xfId="0" applyNumberFormat="1"/>
    <xf numFmtId="168" fontId="0" fillId="0" borderId="0" xfId="0" applyNumberFormat="1"/>
  </cellXfs>
  <cellStyles count="8">
    <cellStyle name="blp_column_header" xfId="6" xr:uid="{BE510329-6163-4941-B8DF-4282BFAF0A73}"/>
    <cellStyle name="Currency" xfId="4" builtinId="4"/>
    <cellStyle name="Normal" xfId="0" builtinId="0"/>
    <cellStyle name="Normal 2" xfId="2" xr:uid="{11869B0C-5127-4D29-92A6-BBC7141765CC}"/>
    <cellStyle name="Normale 2" xfId="5" xr:uid="{E79362CC-06C0-4667-965E-ECA0A64C5933}"/>
    <cellStyle name="Normale_XXX" xfId="3" xr:uid="{F4FE2517-7604-432A-A400-D46850452CED}"/>
    <cellStyle name="Percent" xfId="1" builtinId="5"/>
    <cellStyle name="Percentuale 2" xfId="7" xr:uid="{77054514-1E1E-44F4-9D24-93E33CF37D9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'Bootstraping-Linear_Interpol'!$N$7:$N$69</c:f>
              <c:numCache>
                <c:formatCode>General</c:formatCode>
                <c:ptCount val="63"/>
                <c:pt idx="0">
                  <c:v>7</c:v>
                </c:pt>
                <c:pt idx="1">
                  <c:v>29</c:v>
                </c:pt>
                <c:pt idx="2">
                  <c:v>90</c:v>
                </c:pt>
                <c:pt idx="3">
                  <c:v>182</c:v>
                </c:pt>
                <c:pt idx="4">
                  <c:v>366</c:v>
                </c:pt>
                <c:pt idx="5">
                  <c:v>547</c:v>
                </c:pt>
                <c:pt idx="6">
                  <c:v>733</c:v>
                </c:pt>
                <c:pt idx="7">
                  <c:v>912</c:v>
                </c:pt>
                <c:pt idx="8">
                  <c:v>1097</c:v>
                </c:pt>
                <c:pt idx="9">
                  <c:v>1279</c:v>
                </c:pt>
                <c:pt idx="10">
                  <c:v>1461</c:v>
                </c:pt>
                <c:pt idx="11">
                  <c:v>1643</c:v>
                </c:pt>
                <c:pt idx="12">
                  <c:v>1827</c:v>
                </c:pt>
                <c:pt idx="13">
                  <c:v>2008</c:v>
                </c:pt>
                <c:pt idx="14">
                  <c:v>2192</c:v>
                </c:pt>
                <c:pt idx="15">
                  <c:v>2373</c:v>
                </c:pt>
                <c:pt idx="16">
                  <c:v>2557</c:v>
                </c:pt>
                <c:pt idx="17">
                  <c:v>2738</c:v>
                </c:pt>
                <c:pt idx="18">
                  <c:v>2924</c:v>
                </c:pt>
                <c:pt idx="19">
                  <c:v>3106</c:v>
                </c:pt>
                <c:pt idx="20">
                  <c:v>3288</c:v>
                </c:pt>
                <c:pt idx="21">
                  <c:v>3470</c:v>
                </c:pt>
                <c:pt idx="22">
                  <c:v>3653</c:v>
                </c:pt>
                <c:pt idx="23">
                  <c:v>3834</c:v>
                </c:pt>
                <c:pt idx="24">
                  <c:v>4018</c:v>
                </c:pt>
                <c:pt idx="25">
                  <c:v>4199</c:v>
                </c:pt>
                <c:pt idx="26">
                  <c:v>4383</c:v>
                </c:pt>
                <c:pt idx="27">
                  <c:v>4565</c:v>
                </c:pt>
                <c:pt idx="28">
                  <c:v>4751</c:v>
                </c:pt>
                <c:pt idx="29">
                  <c:v>4930</c:v>
                </c:pt>
                <c:pt idx="30">
                  <c:v>5115</c:v>
                </c:pt>
                <c:pt idx="31">
                  <c:v>5297</c:v>
                </c:pt>
                <c:pt idx="32">
                  <c:v>5479</c:v>
                </c:pt>
                <c:pt idx="33">
                  <c:v>5661</c:v>
                </c:pt>
                <c:pt idx="34">
                  <c:v>5844</c:v>
                </c:pt>
                <c:pt idx="35">
                  <c:v>6026</c:v>
                </c:pt>
                <c:pt idx="36">
                  <c:v>6210</c:v>
                </c:pt>
                <c:pt idx="37">
                  <c:v>6391</c:v>
                </c:pt>
                <c:pt idx="38">
                  <c:v>6575</c:v>
                </c:pt>
                <c:pt idx="39">
                  <c:v>6756</c:v>
                </c:pt>
                <c:pt idx="40">
                  <c:v>6942</c:v>
                </c:pt>
                <c:pt idx="41">
                  <c:v>7121</c:v>
                </c:pt>
                <c:pt idx="42">
                  <c:v>7306</c:v>
                </c:pt>
                <c:pt idx="43">
                  <c:v>7488</c:v>
                </c:pt>
                <c:pt idx="44">
                  <c:v>7671</c:v>
                </c:pt>
                <c:pt idx="45">
                  <c:v>7852</c:v>
                </c:pt>
                <c:pt idx="46">
                  <c:v>8036</c:v>
                </c:pt>
                <c:pt idx="47">
                  <c:v>8217</c:v>
                </c:pt>
                <c:pt idx="48">
                  <c:v>8401</c:v>
                </c:pt>
                <c:pt idx="49">
                  <c:v>8582</c:v>
                </c:pt>
                <c:pt idx="50">
                  <c:v>8766</c:v>
                </c:pt>
                <c:pt idx="51">
                  <c:v>8948</c:v>
                </c:pt>
                <c:pt idx="52">
                  <c:v>9133</c:v>
                </c:pt>
                <c:pt idx="53">
                  <c:v>9315</c:v>
                </c:pt>
                <c:pt idx="54">
                  <c:v>9497</c:v>
                </c:pt>
                <c:pt idx="55">
                  <c:v>9679</c:v>
                </c:pt>
                <c:pt idx="56">
                  <c:v>9862</c:v>
                </c:pt>
                <c:pt idx="57">
                  <c:v>10043</c:v>
                </c:pt>
                <c:pt idx="58">
                  <c:v>10227</c:v>
                </c:pt>
                <c:pt idx="59">
                  <c:v>10409</c:v>
                </c:pt>
                <c:pt idx="60">
                  <c:v>10593</c:v>
                </c:pt>
                <c:pt idx="61">
                  <c:v>10774</c:v>
                </c:pt>
                <c:pt idx="62">
                  <c:v>10960</c:v>
                </c:pt>
              </c:numCache>
            </c:numRef>
          </c:xVal>
          <c:yVal>
            <c:numRef>
              <c:f>'Bootstraping-Linear_Interpol'!$R$7:$R$69</c:f>
              <c:numCache>
                <c:formatCode>0.000%</c:formatCode>
                <c:ptCount val="63"/>
                <c:pt idx="0">
                  <c:v>1.0001007323682103</c:v>
                </c:pt>
                <c:pt idx="1">
                  <c:v>1.0004174519712086</c:v>
                </c:pt>
                <c:pt idx="2">
                  <c:v>1.0012966791995634</c:v>
                </c:pt>
                <c:pt idx="3">
                  <c:v>1.002625653781553</c:v>
                </c:pt>
                <c:pt idx="4">
                  <c:v>1.0029493816043955</c:v>
                </c:pt>
                <c:pt idx="5">
                  <c:v>1.0049578930286021</c:v>
                </c:pt>
                <c:pt idx="6">
                  <c:v>1.0073760986995521</c:v>
                </c:pt>
                <c:pt idx="7">
                  <c:v>1.0088897868252849</c:v>
                </c:pt>
                <c:pt idx="8">
                  <c:v>1.0103164388058028</c:v>
                </c:pt>
                <c:pt idx="9">
                  <c:v>1.0114281748724145</c:v>
                </c:pt>
                <c:pt idx="10">
                  <c:v>1.0123536413378431</c:v>
                </c:pt>
                <c:pt idx="11">
                  <c:v>1.0129984030329278</c:v>
                </c:pt>
                <c:pt idx="12">
                  <c:v>1.0134263697880397</c:v>
                </c:pt>
                <c:pt idx="13">
                  <c:v>1.0135216491518062</c:v>
                </c:pt>
                <c:pt idx="14">
                  <c:v>1.0133599501332615</c:v>
                </c:pt>
                <c:pt idx="15">
                  <c:v>1.0128305336924632</c:v>
                </c:pt>
                <c:pt idx="16">
                  <c:v>1.0119976269221789</c:v>
                </c:pt>
                <c:pt idx="17">
                  <c:v>1.0107653473369573</c:v>
                </c:pt>
                <c:pt idx="18">
                  <c:v>1.0092006157390916</c:v>
                </c:pt>
                <c:pt idx="19">
                  <c:v>1.0073522800434731</c:v>
                </c:pt>
                <c:pt idx="20">
                  <c:v>1.0052078352548612</c:v>
                </c:pt>
                <c:pt idx="21">
                  <c:v>1.0027428937830463</c:v>
                </c:pt>
                <c:pt idx="22">
                  <c:v>1.0000051136254562</c:v>
                </c:pt>
                <c:pt idx="23">
                  <c:v>0.9970925583720528</c:v>
                </c:pt>
                <c:pt idx="24">
                  <c:v>0.99385361452465637</c:v>
                </c:pt>
                <c:pt idx="25">
                  <c:v>0.99039532379994277</c:v>
                </c:pt>
                <c:pt idx="26">
                  <c:v>0.98679020693532449</c:v>
                </c:pt>
                <c:pt idx="27">
                  <c:v>0.98333474078483463</c:v>
                </c:pt>
                <c:pt idx="28">
                  <c:v>0.97957089337625958</c:v>
                </c:pt>
                <c:pt idx="29">
                  <c:v>0.97572820524914383</c:v>
                </c:pt>
                <c:pt idx="30">
                  <c:v>0.9715311937408968</c:v>
                </c:pt>
                <c:pt idx="31">
                  <c:v>0.96718015777272259</c:v>
                </c:pt>
                <c:pt idx="32">
                  <c:v>0.96323486181379736</c:v>
                </c:pt>
                <c:pt idx="33">
                  <c:v>0.95995155192871962</c:v>
                </c:pt>
                <c:pt idx="34">
                  <c:v>0.95652328213654647</c:v>
                </c:pt>
                <c:pt idx="35">
                  <c:v>0.95298837254024249</c:v>
                </c:pt>
                <c:pt idx="36">
                  <c:v>0.94928848899498064</c:v>
                </c:pt>
                <c:pt idx="37">
                  <c:v>0.94552605904517817</c:v>
                </c:pt>
                <c:pt idx="38">
                  <c:v>0.94157744852062486</c:v>
                </c:pt>
                <c:pt idx="39">
                  <c:v>0.93757231293034271</c:v>
                </c:pt>
                <c:pt idx="40">
                  <c:v>0.93333284404442118</c:v>
                </c:pt>
                <c:pt idx="41">
                  <c:v>0.92913534645949947</c:v>
                </c:pt>
                <c:pt idx="42">
                  <c:v>0.92575822738044389</c:v>
                </c:pt>
                <c:pt idx="43">
                  <c:v>0.92317677227657946</c:v>
                </c:pt>
                <c:pt idx="44">
                  <c:v>0.92054719364683446</c:v>
                </c:pt>
                <c:pt idx="45">
                  <c:v>0.9179130634315914</c:v>
                </c:pt>
                <c:pt idx="46">
                  <c:v>0.91520164615392929</c:v>
                </c:pt>
                <c:pt idx="47">
                  <c:v>0.91250150490314907</c:v>
                </c:pt>
                <c:pt idx="48">
                  <c:v>0.90972346262596882</c:v>
                </c:pt>
                <c:pt idx="49">
                  <c:v>0.90695825552129161</c:v>
                </c:pt>
                <c:pt idx="50">
                  <c:v>0.90411455834394505</c:v>
                </c:pt>
                <c:pt idx="51">
                  <c:v>0.90126954571398665</c:v>
                </c:pt>
                <c:pt idx="52">
                  <c:v>0.89916175759252448</c:v>
                </c:pt>
                <c:pt idx="53">
                  <c:v>0.89740435722579104</c:v>
                </c:pt>
                <c:pt idx="54">
                  <c:v>0.89565424451177311</c:v>
                </c:pt>
                <c:pt idx="55">
                  <c:v>0.89391139371819761</c:v>
                </c:pt>
                <c:pt idx="56">
                  <c:v>0.89216627268060977</c:v>
                </c:pt>
                <c:pt idx="57">
                  <c:v>0.89044737565168119</c:v>
                </c:pt>
                <c:pt idx="58">
                  <c:v>0.88870730229595507</c:v>
                </c:pt>
                <c:pt idx="59">
                  <c:v>0.88699332258143004</c:v>
                </c:pt>
                <c:pt idx="60">
                  <c:v>0.88526777993873373</c:v>
                </c:pt>
                <c:pt idx="61">
                  <c:v>0.88357743230208696</c:v>
                </c:pt>
                <c:pt idx="62">
                  <c:v>0.88174439219662359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2-4088-9B3A-8241CE2CA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909615"/>
        <c:axId val="1921124847"/>
      </c:scatterChart>
      <c:valAx>
        <c:axId val="19439096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1124847"/>
        <c:crosses val="autoZero"/>
        <c:crossBetween val="midCat"/>
      </c:valAx>
      <c:valAx>
        <c:axId val="192112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909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'Nelson Siegel_linearBoot'!$C$3</c:f>
              <c:strCache>
                <c:ptCount val="1"/>
                <c:pt idx="0">
                  <c:v>DF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'Nelson Siegel_linearBoot'!$A$4:$A$37</c:f>
              <c:numCache>
                <c:formatCode>General</c:formatCode>
                <c:ptCount val="34"/>
                <c:pt idx="0">
                  <c:v>7</c:v>
                </c:pt>
                <c:pt idx="1">
                  <c:v>29</c:v>
                </c:pt>
                <c:pt idx="2">
                  <c:v>90</c:v>
                </c:pt>
                <c:pt idx="3">
                  <c:v>182</c:v>
                </c:pt>
                <c:pt idx="4">
                  <c:v>366</c:v>
                </c:pt>
                <c:pt idx="5">
                  <c:v>547</c:v>
                </c:pt>
                <c:pt idx="6">
                  <c:v>733</c:v>
                </c:pt>
                <c:pt idx="7">
                  <c:v>912</c:v>
                </c:pt>
                <c:pt idx="8">
                  <c:v>1097</c:v>
                </c:pt>
                <c:pt idx="9">
                  <c:v>1279</c:v>
                </c:pt>
                <c:pt idx="10">
                  <c:v>1461</c:v>
                </c:pt>
                <c:pt idx="11">
                  <c:v>1643</c:v>
                </c:pt>
                <c:pt idx="12">
                  <c:v>1827</c:v>
                </c:pt>
                <c:pt idx="13">
                  <c:v>2008</c:v>
                </c:pt>
                <c:pt idx="14">
                  <c:v>2192</c:v>
                </c:pt>
                <c:pt idx="15">
                  <c:v>2373</c:v>
                </c:pt>
                <c:pt idx="16">
                  <c:v>2557</c:v>
                </c:pt>
                <c:pt idx="17">
                  <c:v>2738</c:v>
                </c:pt>
                <c:pt idx="18">
                  <c:v>2924</c:v>
                </c:pt>
                <c:pt idx="19">
                  <c:v>3106</c:v>
                </c:pt>
                <c:pt idx="20">
                  <c:v>3288</c:v>
                </c:pt>
                <c:pt idx="21">
                  <c:v>3470</c:v>
                </c:pt>
                <c:pt idx="22">
                  <c:v>3653</c:v>
                </c:pt>
                <c:pt idx="23">
                  <c:v>3834</c:v>
                </c:pt>
                <c:pt idx="24">
                  <c:v>4018</c:v>
                </c:pt>
                <c:pt idx="25">
                  <c:v>4199</c:v>
                </c:pt>
                <c:pt idx="26">
                  <c:v>4383</c:v>
                </c:pt>
                <c:pt idx="27">
                  <c:v>4565</c:v>
                </c:pt>
                <c:pt idx="28">
                  <c:v>4751</c:v>
                </c:pt>
                <c:pt idx="29">
                  <c:v>4930</c:v>
                </c:pt>
                <c:pt idx="30">
                  <c:v>5115</c:v>
                </c:pt>
                <c:pt idx="31">
                  <c:v>5297</c:v>
                </c:pt>
                <c:pt idx="32">
                  <c:v>5479</c:v>
                </c:pt>
                <c:pt idx="33">
                  <c:v>5661</c:v>
                </c:pt>
              </c:numCache>
            </c:numRef>
          </c:xVal>
          <c:yVal>
            <c:numRef>
              <c:f>'Nelson Siegel_linearBoot'!$C$4:$C$37</c:f>
              <c:numCache>
                <c:formatCode>0.00%</c:formatCode>
                <c:ptCount val="34"/>
                <c:pt idx="0">
                  <c:v>1.0001007323682103</c:v>
                </c:pt>
                <c:pt idx="1">
                  <c:v>1.0004174519712086</c:v>
                </c:pt>
                <c:pt idx="2">
                  <c:v>1.0012966791995634</c:v>
                </c:pt>
                <c:pt idx="3">
                  <c:v>1.002625653781553</c:v>
                </c:pt>
                <c:pt idx="4">
                  <c:v>1.0029493816043955</c:v>
                </c:pt>
                <c:pt idx="5">
                  <c:v>1.0049578930286021</c:v>
                </c:pt>
                <c:pt idx="6">
                  <c:v>1.0073760986995521</c:v>
                </c:pt>
                <c:pt idx="7">
                  <c:v>1.0088897868252849</c:v>
                </c:pt>
                <c:pt idx="8">
                  <c:v>1.0103164388058028</c:v>
                </c:pt>
                <c:pt idx="9">
                  <c:v>1.0114281748724145</c:v>
                </c:pt>
                <c:pt idx="10">
                  <c:v>1.0123536413378431</c:v>
                </c:pt>
                <c:pt idx="11">
                  <c:v>1.0129984030329278</c:v>
                </c:pt>
                <c:pt idx="12">
                  <c:v>1.0134263697880397</c:v>
                </c:pt>
                <c:pt idx="13">
                  <c:v>1.0135216491518062</c:v>
                </c:pt>
                <c:pt idx="14">
                  <c:v>1.0133599501332615</c:v>
                </c:pt>
                <c:pt idx="15">
                  <c:v>1.0128305336924632</c:v>
                </c:pt>
                <c:pt idx="16">
                  <c:v>1.0119976269221789</c:v>
                </c:pt>
                <c:pt idx="17">
                  <c:v>1.0107653473369573</c:v>
                </c:pt>
                <c:pt idx="18">
                  <c:v>1.0092006157390916</c:v>
                </c:pt>
                <c:pt idx="19">
                  <c:v>1.0073522800434731</c:v>
                </c:pt>
                <c:pt idx="20">
                  <c:v>1.0052078352548612</c:v>
                </c:pt>
                <c:pt idx="21">
                  <c:v>1.0027428937830463</c:v>
                </c:pt>
                <c:pt idx="22">
                  <c:v>1.0000051136254562</c:v>
                </c:pt>
                <c:pt idx="23">
                  <c:v>0.9970925583720528</c:v>
                </c:pt>
                <c:pt idx="24">
                  <c:v>0.99385361452465637</c:v>
                </c:pt>
                <c:pt idx="25">
                  <c:v>0.99039532379994277</c:v>
                </c:pt>
                <c:pt idx="26">
                  <c:v>0.98679020693532449</c:v>
                </c:pt>
                <c:pt idx="27">
                  <c:v>0.98333474078483463</c:v>
                </c:pt>
                <c:pt idx="28">
                  <c:v>0.97957089337625958</c:v>
                </c:pt>
                <c:pt idx="29">
                  <c:v>0.97572820524914383</c:v>
                </c:pt>
                <c:pt idx="30">
                  <c:v>0.9715311937408968</c:v>
                </c:pt>
                <c:pt idx="31">
                  <c:v>0.96718015777272259</c:v>
                </c:pt>
                <c:pt idx="32">
                  <c:v>0.96323486181379736</c:v>
                </c:pt>
                <c:pt idx="33">
                  <c:v>0.95995155192871962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5-48CC-AD2C-5C7379DDB1F1}"/>
            </c:ext>
          </c:extLst>
        </c:ser>
        <c:ser>
          <c:idx val="1"/>
          <c:order val="1"/>
          <c:tx>
            <c:strRef>
              <c:f>'Nelson Siegel_linearBoot'!$E$3</c:f>
              <c:strCache>
                <c:ptCount val="1"/>
                <c:pt idx="0">
                  <c:v>DF NS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'Nelson Siegel_linearBoot'!$A$4:$A$37</c:f>
              <c:numCache>
                <c:formatCode>General</c:formatCode>
                <c:ptCount val="34"/>
                <c:pt idx="0">
                  <c:v>7</c:v>
                </c:pt>
                <c:pt idx="1">
                  <c:v>29</c:v>
                </c:pt>
                <c:pt idx="2">
                  <c:v>90</c:v>
                </c:pt>
                <c:pt idx="3">
                  <c:v>182</c:v>
                </c:pt>
                <c:pt idx="4">
                  <c:v>366</c:v>
                </c:pt>
                <c:pt idx="5">
                  <c:v>547</c:v>
                </c:pt>
                <c:pt idx="6">
                  <c:v>733</c:v>
                </c:pt>
                <c:pt idx="7">
                  <c:v>912</c:v>
                </c:pt>
                <c:pt idx="8">
                  <c:v>1097</c:v>
                </c:pt>
                <c:pt idx="9">
                  <c:v>1279</c:v>
                </c:pt>
                <c:pt idx="10">
                  <c:v>1461</c:v>
                </c:pt>
                <c:pt idx="11">
                  <c:v>1643</c:v>
                </c:pt>
                <c:pt idx="12">
                  <c:v>1827</c:v>
                </c:pt>
                <c:pt idx="13">
                  <c:v>2008</c:v>
                </c:pt>
                <c:pt idx="14">
                  <c:v>2192</c:v>
                </c:pt>
                <c:pt idx="15">
                  <c:v>2373</c:v>
                </c:pt>
                <c:pt idx="16">
                  <c:v>2557</c:v>
                </c:pt>
                <c:pt idx="17">
                  <c:v>2738</c:v>
                </c:pt>
                <c:pt idx="18">
                  <c:v>2924</c:v>
                </c:pt>
                <c:pt idx="19">
                  <c:v>3106</c:v>
                </c:pt>
                <c:pt idx="20">
                  <c:v>3288</c:v>
                </c:pt>
                <c:pt idx="21">
                  <c:v>3470</c:v>
                </c:pt>
                <c:pt idx="22">
                  <c:v>3653</c:v>
                </c:pt>
                <c:pt idx="23">
                  <c:v>3834</c:v>
                </c:pt>
                <c:pt idx="24">
                  <c:v>4018</c:v>
                </c:pt>
                <c:pt idx="25">
                  <c:v>4199</c:v>
                </c:pt>
                <c:pt idx="26">
                  <c:v>4383</c:v>
                </c:pt>
                <c:pt idx="27">
                  <c:v>4565</c:v>
                </c:pt>
                <c:pt idx="28">
                  <c:v>4751</c:v>
                </c:pt>
                <c:pt idx="29">
                  <c:v>4930</c:v>
                </c:pt>
                <c:pt idx="30">
                  <c:v>5115</c:v>
                </c:pt>
                <c:pt idx="31">
                  <c:v>5297</c:v>
                </c:pt>
                <c:pt idx="32">
                  <c:v>5479</c:v>
                </c:pt>
                <c:pt idx="33">
                  <c:v>5661</c:v>
                </c:pt>
              </c:numCache>
            </c:numRef>
          </c:xVal>
          <c:yVal>
            <c:numRef>
              <c:f>'Nelson Siegel_linearBoot'!$E$4:$E$37</c:f>
              <c:numCache>
                <c:formatCode>0.0000</c:formatCode>
                <c:ptCount val="34"/>
                <c:pt idx="0">
                  <c:v>1.0000530397785674</c:v>
                </c:pt>
                <c:pt idx="1">
                  <c:v>1.0002234963349286</c:v>
                </c:pt>
                <c:pt idx="2">
                  <c:v>1.0007235921249094</c:v>
                </c:pt>
                <c:pt idx="3">
                  <c:v>1.0015420210978525</c:v>
                </c:pt>
                <c:pt idx="4">
                  <c:v>1.0033341954252877</c:v>
                </c:pt>
                <c:pt idx="5">
                  <c:v>1.0051837486968751</c:v>
                </c:pt>
                <c:pt idx="6">
                  <c:v>1.0070557814885541</c:v>
                </c:pt>
                <c:pt idx="7">
                  <c:v>1.00874162037462</c:v>
                </c:pt>
                <c:pt idx="8">
                  <c:v>1.010293540841666</c:v>
                </c:pt>
                <c:pt idx="9">
                  <c:v>1.0115783779645566</c:v>
                </c:pt>
                <c:pt idx="10">
                  <c:v>1.0125844764342176</c:v>
                </c:pt>
                <c:pt idx="11">
                  <c:v>1.0132849634982091</c:v>
                </c:pt>
                <c:pt idx="12">
                  <c:v>1.013664933125209</c:v>
                </c:pt>
                <c:pt idx="13">
                  <c:v>1.0137074719099941</c:v>
                </c:pt>
                <c:pt idx="14">
                  <c:v>1.0134111477012917</c:v>
                </c:pt>
                <c:pt idx="15">
                  <c:v>1.0127880279521186</c:v>
                </c:pt>
                <c:pt idx="16">
                  <c:v>1.0118241125311782</c:v>
                </c:pt>
                <c:pt idx="17">
                  <c:v>1.010560538498869</c:v>
                </c:pt>
                <c:pt idx="18">
                  <c:v>1.0089488439784389</c:v>
                </c:pt>
                <c:pt idx="19">
                  <c:v>1.0070786678118997</c:v>
                </c:pt>
                <c:pt idx="20">
                  <c:v>1.0049338180052567</c:v>
                </c:pt>
                <c:pt idx="21">
                  <c:v>1.0025302441231716</c:v>
                </c:pt>
                <c:pt idx="22">
                  <c:v>0.9998691244964979</c:v>
                </c:pt>
                <c:pt idx="23">
                  <c:v>0.99701245461289456</c:v>
                </c:pt>
                <c:pt idx="24">
                  <c:v>0.99389607043133188</c:v>
                </c:pt>
                <c:pt idx="25">
                  <c:v>0.99063756190357966</c:v>
                </c:pt>
                <c:pt idx="26">
                  <c:v>0.98714476004637808</c:v>
                </c:pt>
                <c:pt idx="27">
                  <c:v>0.98352619083046666</c:v>
                </c:pt>
                <c:pt idx="28">
                  <c:v>0.97967479940999447</c:v>
                </c:pt>
                <c:pt idx="29">
                  <c:v>0.97583547389275394</c:v>
                </c:pt>
                <c:pt idx="30">
                  <c:v>0.97174366942800172</c:v>
                </c:pt>
                <c:pt idx="31">
                  <c:v>0.96760763888870216</c:v>
                </c:pt>
                <c:pt idx="32">
                  <c:v>0.9633733410154256</c:v>
                </c:pt>
                <c:pt idx="33">
                  <c:v>0.959051369775483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15-48CC-AD2C-5C7379DDB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775184"/>
        <c:axId val="1711295664"/>
      </c:scatterChart>
      <c:valAx>
        <c:axId val="1796775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295664"/>
        <c:crosses val="autoZero"/>
        <c:crossBetween val="midCat"/>
      </c:valAx>
      <c:valAx>
        <c:axId val="171129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775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'Nelson Siegel_linearBoot'!$D$3</c:f>
              <c:strCache>
                <c:ptCount val="1"/>
                <c:pt idx="0">
                  <c:v>Spot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'Nelson Siegel_linearBoot'!$A$4:$A$37</c:f>
              <c:numCache>
                <c:formatCode>General</c:formatCode>
                <c:ptCount val="34"/>
                <c:pt idx="0">
                  <c:v>7</c:v>
                </c:pt>
                <c:pt idx="1">
                  <c:v>29</c:v>
                </c:pt>
                <c:pt idx="2">
                  <c:v>90</c:v>
                </c:pt>
                <c:pt idx="3">
                  <c:v>182</c:v>
                </c:pt>
                <c:pt idx="4">
                  <c:v>366</c:v>
                </c:pt>
                <c:pt idx="5">
                  <c:v>547</c:v>
                </c:pt>
                <c:pt idx="6">
                  <c:v>733</c:v>
                </c:pt>
                <c:pt idx="7">
                  <c:v>912</c:v>
                </c:pt>
                <c:pt idx="8">
                  <c:v>1097</c:v>
                </c:pt>
                <c:pt idx="9">
                  <c:v>1279</c:v>
                </c:pt>
                <c:pt idx="10">
                  <c:v>1461</c:v>
                </c:pt>
                <c:pt idx="11">
                  <c:v>1643</c:v>
                </c:pt>
                <c:pt idx="12">
                  <c:v>1827</c:v>
                </c:pt>
                <c:pt idx="13">
                  <c:v>2008</c:v>
                </c:pt>
                <c:pt idx="14">
                  <c:v>2192</c:v>
                </c:pt>
                <c:pt idx="15">
                  <c:v>2373</c:v>
                </c:pt>
                <c:pt idx="16">
                  <c:v>2557</c:v>
                </c:pt>
                <c:pt idx="17">
                  <c:v>2738</c:v>
                </c:pt>
                <c:pt idx="18">
                  <c:v>2924</c:v>
                </c:pt>
                <c:pt idx="19">
                  <c:v>3106</c:v>
                </c:pt>
                <c:pt idx="20">
                  <c:v>3288</c:v>
                </c:pt>
                <c:pt idx="21">
                  <c:v>3470</c:v>
                </c:pt>
                <c:pt idx="22">
                  <c:v>3653</c:v>
                </c:pt>
                <c:pt idx="23">
                  <c:v>3834</c:v>
                </c:pt>
                <c:pt idx="24">
                  <c:v>4018</c:v>
                </c:pt>
                <c:pt idx="25">
                  <c:v>4199</c:v>
                </c:pt>
                <c:pt idx="26">
                  <c:v>4383</c:v>
                </c:pt>
                <c:pt idx="27">
                  <c:v>4565</c:v>
                </c:pt>
                <c:pt idx="28">
                  <c:v>4751</c:v>
                </c:pt>
                <c:pt idx="29">
                  <c:v>4930</c:v>
                </c:pt>
                <c:pt idx="30">
                  <c:v>5115</c:v>
                </c:pt>
                <c:pt idx="31">
                  <c:v>5297</c:v>
                </c:pt>
                <c:pt idx="32">
                  <c:v>5479</c:v>
                </c:pt>
                <c:pt idx="33">
                  <c:v>5661</c:v>
                </c:pt>
              </c:numCache>
            </c:numRef>
          </c:xVal>
          <c:yVal>
            <c:numRef>
              <c:f>'Nelson Siegel_linearBoot'!$D$4:$D$37</c:f>
              <c:numCache>
                <c:formatCode>0.000%</c:formatCode>
                <c:ptCount val="34"/>
                <c:pt idx="0">
                  <c:v>-5.1802608880784718E-3</c:v>
                </c:pt>
                <c:pt idx="1">
                  <c:v>-5.1810810501860391E-3</c:v>
                </c:pt>
                <c:pt idx="2">
                  <c:v>-5.1833569484785345E-3</c:v>
                </c:pt>
                <c:pt idx="3">
                  <c:v>-5.1867944992257213E-3</c:v>
                </c:pt>
                <c:pt idx="4">
                  <c:v>-2.8967613557471096E-3</c:v>
                </c:pt>
                <c:pt idx="5">
                  <c:v>-3.2549022555051041E-3</c:v>
                </c:pt>
                <c:pt idx="6">
                  <c:v>-3.609345422164898E-3</c:v>
                </c:pt>
                <c:pt idx="7">
                  <c:v>-3.4936205138086374E-3</c:v>
                </c:pt>
                <c:pt idx="8">
                  <c:v>-3.3681782236432648E-3</c:v>
                </c:pt>
                <c:pt idx="9">
                  <c:v>-3.1984456348546314E-3</c:v>
                </c:pt>
                <c:pt idx="10">
                  <c:v>-3.0253694747065167E-3</c:v>
                </c:pt>
                <c:pt idx="11">
                  <c:v>-2.8297465400222823E-3</c:v>
                </c:pt>
                <c:pt idx="12">
                  <c:v>-2.6279871579032231E-3</c:v>
                </c:pt>
                <c:pt idx="13">
                  <c:v>-2.4079567164810309E-3</c:v>
                </c:pt>
                <c:pt idx="14">
                  <c:v>-2.1796247601355728E-3</c:v>
                </c:pt>
                <c:pt idx="15">
                  <c:v>-1.9340965492724504E-3</c:v>
                </c:pt>
                <c:pt idx="16">
                  <c:v>-1.6790932079107396E-3</c:v>
                </c:pt>
                <c:pt idx="17">
                  <c:v>-1.4078936710208722E-3</c:v>
                </c:pt>
                <c:pt idx="18">
                  <c:v>-1.1275913980111159E-3</c:v>
                </c:pt>
                <c:pt idx="19">
                  <c:v>-8.4904641418976419E-4</c:v>
                </c:pt>
                <c:pt idx="20">
                  <c:v>-5.6872131889342567E-4</c:v>
                </c:pt>
                <c:pt idx="21">
                  <c:v>-2.8417579516050136E-4</c:v>
                </c:pt>
                <c:pt idx="22">
                  <c:v>-5.0394209071829353E-7</c:v>
                </c:pt>
                <c:pt idx="23">
                  <c:v>2.733968494530072E-4</c:v>
                </c:pt>
                <c:pt idx="24">
                  <c:v>5.5239592180615529E-4</c:v>
                </c:pt>
                <c:pt idx="25">
                  <c:v>8.2743403007372839E-4</c:v>
                </c:pt>
                <c:pt idx="26">
                  <c:v>1.0922232803677284E-3</c:v>
                </c:pt>
                <c:pt idx="27">
                  <c:v>1.3253115714974512E-3</c:v>
                </c:pt>
                <c:pt idx="28">
                  <c:v>1.5640160302014187E-3</c:v>
                </c:pt>
                <c:pt idx="29">
                  <c:v>1.7942465413126594E-3</c:v>
                </c:pt>
                <c:pt idx="30">
                  <c:v>2.0327438243190697E-3</c:v>
                </c:pt>
                <c:pt idx="31">
                  <c:v>2.2679588834270781E-3</c:v>
                </c:pt>
                <c:pt idx="32">
                  <c:v>2.4611943935096206E-3</c:v>
                </c:pt>
                <c:pt idx="33">
                  <c:v>2.5992027049069008E-3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76-4177-AC11-D1117391DB51}"/>
            </c:ext>
          </c:extLst>
        </c:ser>
        <c:ser>
          <c:idx val="1"/>
          <c:order val="1"/>
          <c:tx>
            <c:strRef>
              <c:f>'Nelson Siegel_linearBoot'!$F$3</c:f>
              <c:strCache>
                <c:ptCount val="1"/>
                <c:pt idx="0">
                  <c:v>Spot NS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'Nelson Siegel_linearBoot'!$A$4:$A$37</c:f>
              <c:numCache>
                <c:formatCode>General</c:formatCode>
                <c:ptCount val="34"/>
                <c:pt idx="0">
                  <c:v>7</c:v>
                </c:pt>
                <c:pt idx="1">
                  <c:v>29</c:v>
                </c:pt>
                <c:pt idx="2">
                  <c:v>90</c:v>
                </c:pt>
                <c:pt idx="3">
                  <c:v>182</c:v>
                </c:pt>
                <c:pt idx="4">
                  <c:v>366</c:v>
                </c:pt>
                <c:pt idx="5">
                  <c:v>547</c:v>
                </c:pt>
                <c:pt idx="6">
                  <c:v>733</c:v>
                </c:pt>
                <c:pt idx="7">
                  <c:v>912</c:v>
                </c:pt>
                <c:pt idx="8">
                  <c:v>1097</c:v>
                </c:pt>
                <c:pt idx="9">
                  <c:v>1279</c:v>
                </c:pt>
                <c:pt idx="10">
                  <c:v>1461</c:v>
                </c:pt>
                <c:pt idx="11">
                  <c:v>1643</c:v>
                </c:pt>
                <c:pt idx="12">
                  <c:v>1827</c:v>
                </c:pt>
                <c:pt idx="13">
                  <c:v>2008</c:v>
                </c:pt>
                <c:pt idx="14">
                  <c:v>2192</c:v>
                </c:pt>
                <c:pt idx="15">
                  <c:v>2373</c:v>
                </c:pt>
                <c:pt idx="16">
                  <c:v>2557</c:v>
                </c:pt>
                <c:pt idx="17">
                  <c:v>2738</c:v>
                </c:pt>
                <c:pt idx="18">
                  <c:v>2924</c:v>
                </c:pt>
                <c:pt idx="19">
                  <c:v>3106</c:v>
                </c:pt>
                <c:pt idx="20">
                  <c:v>3288</c:v>
                </c:pt>
                <c:pt idx="21">
                  <c:v>3470</c:v>
                </c:pt>
                <c:pt idx="22">
                  <c:v>3653</c:v>
                </c:pt>
                <c:pt idx="23">
                  <c:v>3834</c:v>
                </c:pt>
                <c:pt idx="24">
                  <c:v>4018</c:v>
                </c:pt>
                <c:pt idx="25">
                  <c:v>4199</c:v>
                </c:pt>
                <c:pt idx="26">
                  <c:v>4383</c:v>
                </c:pt>
                <c:pt idx="27">
                  <c:v>4565</c:v>
                </c:pt>
                <c:pt idx="28">
                  <c:v>4751</c:v>
                </c:pt>
                <c:pt idx="29">
                  <c:v>4930</c:v>
                </c:pt>
                <c:pt idx="30">
                  <c:v>5115</c:v>
                </c:pt>
                <c:pt idx="31">
                  <c:v>5297</c:v>
                </c:pt>
                <c:pt idx="32">
                  <c:v>5479</c:v>
                </c:pt>
                <c:pt idx="33">
                  <c:v>5661</c:v>
                </c:pt>
              </c:numCache>
            </c:numRef>
          </c:xVal>
          <c:yVal>
            <c:numRef>
              <c:f>'Nelson Siegel_linearBoot'!$F$4:$F$37</c:f>
              <c:numCache>
                <c:formatCode>0.00%</c:formatCode>
                <c:ptCount val="34"/>
                <c:pt idx="0">
                  <c:v>-2.7276877032778183E-3</c:v>
                </c:pt>
                <c:pt idx="1">
                  <c:v>-2.7741272690900657E-3</c:v>
                </c:pt>
                <c:pt idx="2">
                  <c:v>-2.8933218333868065E-3</c:v>
                </c:pt>
                <c:pt idx="3">
                  <c:v>-3.0478023378366298E-3</c:v>
                </c:pt>
                <c:pt idx="4">
                  <c:v>-3.2740812985249429E-3</c:v>
                </c:pt>
                <c:pt idx="5">
                  <c:v>-3.4027958981999438E-3</c:v>
                </c:pt>
                <c:pt idx="6">
                  <c:v>-3.4531543471806657E-3</c:v>
                </c:pt>
                <c:pt idx="7">
                  <c:v>-3.4356448531029475E-3</c:v>
                </c:pt>
                <c:pt idx="8">
                  <c:v>-3.3607404964298496E-3</c:v>
                </c:pt>
                <c:pt idx="9">
                  <c:v>-3.2402424833093959E-3</c:v>
                </c:pt>
                <c:pt idx="10">
                  <c:v>-3.0815482628628326E-3</c:v>
                </c:pt>
                <c:pt idx="11">
                  <c:v>-2.8917207544099212E-3</c:v>
                </c:pt>
                <c:pt idx="12">
                  <c:v>-2.6743664741890752E-3</c:v>
                </c:pt>
                <c:pt idx="13">
                  <c:v>-2.4408240790031225E-3</c:v>
                </c:pt>
                <c:pt idx="14">
                  <c:v>-2.1879220559907803E-3</c:v>
                </c:pt>
                <c:pt idx="15">
                  <c:v>-1.9277296984369675E-3</c:v>
                </c:pt>
                <c:pt idx="16">
                  <c:v>-1.6549516655437891E-3</c:v>
                </c:pt>
                <c:pt idx="17">
                  <c:v>-1.3812489357221543E-3</c:v>
                </c:pt>
                <c:pt idx="18">
                  <c:v>-1.0968722744100496E-3</c:v>
                </c:pt>
                <c:pt idx="19">
                  <c:v>-8.1756065489463228E-4</c:v>
                </c:pt>
                <c:pt idx="20">
                  <c:v>-5.3887079688667795E-4</c:v>
                </c:pt>
                <c:pt idx="21">
                  <c:v>-2.6217217296198395E-4</c:v>
                </c:pt>
                <c:pt idx="22">
                  <c:v>1.2898512083585667E-5</c:v>
                </c:pt>
                <c:pt idx="23">
                  <c:v>2.8094056424058029E-4</c:v>
                </c:pt>
                <c:pt idx="24">
                  <c:v>5.4856856465226541E-4</c:v>
                </c:pt>
                <c:pt idx="25">
                  <c:v>8.0646697688495524E-4</c:v>
                </c:pt>
                <c:pt idx="26">
                  <c:v>1.0627173379474959E-3</c:v>
                </c:pt>
                <c:pt idx="27">
                  <c:v>1.3099592683914146E-3</c:v>
                </c:pt>
                <c:pt idx="28">
                  <c:v>1.5559789309203787E-3</c:v>
                </c:pt>
                <c:pt idx="29">
                  <c:v>1.7862191277128285E-3</c:v>
                </c:pt>
                <c:pt idx="30">
                  <c:v>2.0173530004045253E-3</c:v>
                </c:pt>
                <c:pt idx="31">
                  <c:v>2.2379267540943654E-3</c:v>
                </c:pt>
                <c:pt idx="32">
                  <c:v>2.4517489502657881E-3</c:v>
                </c:pt>
                <c:pt idx="33">
                  <c:v>2.6588642004841583E-3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76-4177-AC11-D1117391D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775184"/>
        <c:axId val="1711295664"/>
      </c:scatterChart>
      <c:valAx>
        <c:axId val="1796775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295664"/>
        <c:crosses val="autoZero"/>
        <c:crossBetween val="midCat"/>
      </c:valAx>
      <c:valAx>
        <c:axId val="171129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775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DF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'Nelson Siegel_cfrBoot'!$D$3</c:f>
              <c:strCache>
                <c:ptCount val="1"/>
                <c:pt idx="0">
                  <c:v>DF</c:v>
                </c:pt>
              </c:strCache>
            </c:strRef>
          </c:tx>
          <c:marker>
            <c:symbol val="none"/>
          </c:marker>
          <c:xVal>
            <c:numRef>
              <c:f>'Nelson Siegel_cfrBoot'!$A$4:$A$123</c:f>
              <c:numCache>
                <c:formatCode>General</c:formatCode>
                <c:ptCount val="120"/>
                <c:pt idx="0">
                  <c:v>360</c:v>
                </c:pt>
                <c:pt idx="1">
                  <c:v>720</c:v>
                </c:pt>
                <c:pt idx="2">
                  <c:v>1080</c:v>
                </c:pt>
                <c:pt idx="3">
                  <c:v>1440</c:v>
                </c:pt>
                <c:pt idx="4">
                  <c:v>1800</c:v>
                </c:pt>
                <c:pt idx="5">
                  <c:v>2160</c:v>
                </c:pt>
                <c:pt idx="6">
                  <c:v>2520</c:v>
                </c:pt>
                <c:pt idx="7">
                  <c:v>2880</c:v>
                </c:pt>
                <c:pt idx="8">
                  <c:v>3240</c:v>
                </c:pt>
                <c:pt idx="9">
                  <c:v>3600</c:v>
                </c:pt>
                <c:pt idx="10">
                  <c:v>3960</c:v>
                </c:pt>
                <c:pt idx="11">
                  <c:v>4320</c:v>
                </c:pt>
                <c:pt idx="12">
                  <c:v>4680</c:v>
                </c:pt>
                <c:pt idx="13">
                  <c:v>5040</c:v>
                </c:pt>
                <c:pt idx="14">
                  <c:v>5400</c:v>
                </c:pt>
                <c:pt idx="15">
                  <c:v>5760</c:v>
                </c:pt>
                <c:pt idx="16">
                  <c:v>6120</c:v>
                </c:pt>
                <c:pt idx="17">
                  <c:v>6480</c:v>
                </c:pt>
                <c:pt idx="18">
                  <c:v>6840</c:v>
                </c:pt>
                <c:pt idx="19">
                  <c:v>7200</c:v>
                </c:pt>
                <c:pt idx="20">
                  <c:v>7560</c:v>
                </c:pt>
                <c:pt idx="21">
                  <c:v>7920</c:v>
                </c:pt>
                <c:pt idx="22">
                  <c:v>8280</c:v>
                </c:pt>
                <c:pt idx="23">
                  <c:v>8640</c:v>
                </c:pt>
                <c:pt idx="24">
                  <c:v>9000</c:v>
                </c:pt>
                <c:pt idx="25">
                  <c:v>9360</c:v>
                </c:pt>
                <c:pt idx="26">
                  <c:v>9720</c:v>
                </c:pt>
                <c:pt idx="27">
                  <c:v>10080</c:v>
                </c:pt>
                <c:pt idx="28">
                  <c:v>10440</c:v>
                </c:pt>
                <c:pt idx="29">
                  <c:v>10800</c:v>
                </c:pt>
              </c:numCache>
            </c:numRef>
          </c:xVal>
          <c:yVal>
            <c:numRef>
              <c:f>'Nelson Siegel_cfrBoot'!$D$4:$D$123</c:f>
              <c:numCache>
                <c:formatCode>0.00%</c:formatCode>
                <c:ptCount val="120"/>
                <c:pt idx="0">
                  <c:v>1.0028883183568678</c:v>
                </c:pt>
                <c:pt idx="1">
                  <c:v>1.0065430689449719</c:v>
                </c:pt>
                <c:pt idx="2">
                  <c:v>1.0094829523808249</c:v>
                </c:pt>
                <c:pt idx="3">
                  <c:v>1.0115417234219375</c:v>
                </c:pt>
                <c:pt idx="4">
                  <c:v>1.0126625282439541</c:v>
                </c:pt>
                <c:pt idx="5">
                  <c:v>1.0126927327395849</c:v>
                </c:pt>
                <c:pt idx="6">
                  <c:v>1.0114752368609528</c:v>
                </c:pt>
                <c:pt idx="7">
                  <c:v>1.008860444756521</c:v>
                </c:pt>
                <c:pt idx="8">
                  <c:v>1.0050608030188599</c:v>
                </c:pt>
                <c:pt idx="9">
                  <c:v>1.0000553305128728</c:v>
                </c:pt>
                <c:pt idx="10">
                  <c:v>0.99360048315896099</c:v>
                </c:pt>
                <c:pt idx="11">
                  <c:v>0.98718729855419018</c:v>
                </c:pt>
                <c:pt idx="12">
                  <c:v>0.97936428488646288</c:v>
                </c:pt>
                <c:pt idx="13">
                  <c:v>0.97160326507029249</c:v>
                </c:pt>
                <c:pt idx="14">
                  <c:v>0.96390374783239308</c:v>
                </c:pt>
                <c:pt idx="15">
                  <c:v>0.95632798403834651</c:v>
                </c:pt>
                <c:pt idx="16">
                  <c:v>0.94881176166344305</c:v>
                </c:pt>
                <c:pt idx="17">
                  <c:v>0.94135461274422827</c:v>
                </c:pt>
                <c:pt idx="18">
                  <c:v>0.93395607299518846</c:v>
                </c:pt>
                <c:pt idx="19">
                  <c:v>0.92661568177984366</c:v>
                </c:pt>
                <c:pt idx="20">
                  <c:v>0.92120568892387089</c:v>
                </c:pt>
                <c:pt idx="21">
                  <c:v>0.91582728200290575</c:v>
                </c:pt>
                <c:pt idx="22">
                  <c:v>0.91048027660426645</c:v>
                </c:pt>
                <c:pt idx="23">
                  <c:v>0.90516448939195426</c:v>
                </c:pt>
                <c:pt idx="24">
                  <c:v>0.89987973810036737</c:v>
                </c:pt>
                <c:pt idx="25">
                  <c:v>0.8964355700026273</c:v>
                </c:pt>
                <c:pt idx="26">
                  <c:v>0.89300458399287452</c:v>
                </c:pt>
                <c:pt idx="27">
                  <c:v>0.8895867296184482</c:v>
                </c:pt>
                <c:pt idx="28">
                  <c:v>0.88618195661978905</c:v>
                </c:pt>
                <c:pt idx="29">
                  <c:v>0.88279021492969856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BD-4EE1-81C9-5C3055468CAB}"/>
            </c:ext>
          </c:extLst>
        </c:ser>
        <c:ser>
          <c:idx val="0"/>
          <c:order val="1"/>
          <c:tx>
            <c:strRef>
              <c:f>'Nelson Siegel_cfrBoot'!$F$3</c:f>
              <c:strCache>
                <c:ptCount val="1"/>
                <c:pt idx="0">
                  <c:v>DF 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'Nelson Siegel_cfrBoot'!$A$4:$A$123</c:f>
              <c:numCache>
                <c:formatCode>General</c:formatCode>
                <c:ptCount val="120"/>
                <c:pt idx="0">
                  <c:v>360</c:v>
                </c:pt>
                <c:pt idx="1">
                  <c:v>720</c:v>
                </c:pt>
                <c:pt idx="2">
                  <c:v>1080</c:v>
                </c:pt>
                <c:pt idx="3">
                  <c:v>1440</c:v>
                </c:pt>
                <c:pt idx="4">
                  <c:v>1800</c:v>
                </c:pt>
                <c:pt idx="5">
                  <c:v>2160</c:v>
                </c:pt>
                <c:pt idx="6">
                  <c:v>2520</c:v>
                </c:pt>
                <c:pt idx="7">
                  <c:v>2880</c:v>
                </c:pt>
                <c:pt idx="8">
                  <c:v>3240</c:v>
                </c:pt>
                <c:pt idx="9">
                  <c:v>3600</c:v>
                </c:pt>
                <c:pt idx="10">
                  <c:v>3960</c:v>
                </c:pt>
                <c:pt idx="11">
                  <c:v>4320</c:v>
                </c:pt>
                <c:pt idx="12">
                  <c:v>4680</c:v>
                </c:pt>
                <c:pt idx="13">
                  <c:v>5040</c:v>
                </c:pt>
                <c:pt idx="14">
                  <c:v>5400</c:v>
                </c:pt>
                <c:pt idx="15">
                  <c:v>5760</c:v>
                </c:pt>
                <c:pt idx="16">
                  <c:v>6120</c:v>
                </c:pt>
                <c:pt idx="17">
                  <c:v>6480</c:v>
                </c:pt>
                <c:pt idx="18">
                  <c:v>6840</c:v>
                </c:pt>
                <c:pt idx="19">
                  <c:v>7200</c:v>
                </c:pt>
                <c:pt idx="20">
                  <c:v>7560</c:v>
                </c:pt>
                <c:pt idx="21">
                  <c:v>7920</c:v>
                </c:pt>
                <c:pt idx="22">
                  <c:v>8280</c:v>
                </c:pt>
                <c:pt idx="23">
                  <c:v>8640</c:v>
                </c:pt>
                <c:pt idx="24">
                  <c:v>9000</c:v>
                </c:pt>
                <c:pt idx="25">
                  <c:v>9360</c:v>
                </c:pt>
                <c:pt idx="26">
                  <c:v>9720</c:v>
                </c:pt>
                <c:pt idx="27">
                  <c:v>10080</c:v>
                </c:pt>
                <c:pt idx="28">
                  <c:v>10440</c:v>
                </c:pt>
                <c:pt idx="29">
                  <c:v>10800</c:v>
                </c:pt>
              </c:numCache>
            </c:numRef>
          </c:xVal>
          <c:yVal>
            <c:numRef>
              <c:f>'Nelson Siegel_cfrBoot'!$F$4:$F$123</c:f>
              <c:numCache>
                <c:formatCode>0.00%</c:formatCode>
                <c:ptCount val="120"/>
                <c:pt idx="0">
                  <c:v>1.0007663334078103</c:v>
                </c:pt>
                <c:pt idx="1">
                  <c:v>1.0066200235097107</c:v>
                </c:pt>
                <c:pt idx="2">
                  <c:v>1.0120085733103128</c:v>
                </c:pt>
                <c:pt idx="3">
                  <c:v>1.0151130400048396</c:v>
                </c:pt>
                <c:pt idx="4">
                  <c:v>1.0157113181240554</c:v>
                </c:pt>
                <c:pt idx="5">
                  <c:v>1.0141741691294011</c:v>
                </c:pt>
                <c:pt idx="6">
                  <c:v>1.0110123040023333</c:v>
                </c:pt>
                <c:pt idx="7">
                  <c:v>1.0066943208139125</c:v>
                </c:pt>
                <c:pt idx="8">
                  <c:v>1.0015914012739013</c:v>
                </c:pt>
                <c:pt idx="9">
                  <c:v>0.99597573699729747</c:v>
                </c:pt>
                <c:pt idx="10">
                  <c:v>0.99003764392937155</c:v>
                </c:pt>
                <c:pt idx="11">
                  <c:v>0.98390595490966248</c:v>
                </c:pt>
                <c:pt idx="12">
                  <c:v>0.97766585947171614</c:v>
                </c:pt>
                <c:pt idx="13">
                  <c:v>0.97137268523223941</c:v>
                </c:pt>
                <c:pt idx="14">
                  <c:v>0.96506184813938445</c:v>
                </c:pt>
                <c:pt idx="15">
                  <c:v>0.95875573814125714</c:v>
                </c:pt>
                <c:pt idx="16">
                  <c:v>0.95246834775897926</c:v>
                </c:pt>
                <c:pt idx="17">
                  <c:v>0.94620831854587717</c:v>
                </c:pt>
                <c:pt idx="18">
                  <c:v>0.93998091445345544</c:v>
                </c:pt>
                <c:pt idx="19">
                  <c:v>0.93378928419811724</c:v>
                </c:pt>
                <c:pt idx="20">
                  <c:v>0.92763526070995095</c:v>
                </c:pt>
                <c:pt idx="21">
                  <c:v>0.92151986324374591</c:v>
                </c:pt>
                <c:pt idx="22">
                  <c:v>0.91544361056154733</c:v>
                </c:pt>
                <c:pt idx="23">
                  <c:v>0.90940671512615012</c:v>
                </c:pt>
                <c:pt idx="24">
                  <c:v>0.90340920290335636</c:v>
                </c:pt>
                <c:pt idx="25">
                  <c:v>0.89745098694379566</c:v>
                </c:pt>
                <c:pt idx="26">
                  <c:v>0.8915319124000628</c:v>
                </c:pt>
                <c:pt idx="27">
                  <c:v>0.88565178397207511</c:v>
                </c:pt>
                <c:pt idx="28">
                  <c:v>0.87981038258672672</c:v>
                </c:pt>
                <c:pt idx="29">
                  <c:v>0.87400747550527835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BD-4EE1-81C9-5C3055468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59695"/>
        <c:axId val="201578671"/>
      </c:scatterChart>
      <c:valAx>
        <c:axId val="39559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78671"/>
        <c:crosses val="autoZero"/>
        <c:crossBetween val="midCat"/>
      </c:valAx>
      <c:valAx>
        <c:axId val="20157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969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'Nelson Siegel_cfrBoot'!$E$3</c:f>
              <c:strCache>
                <c:ptCount val="1"/>
                <c:pt idx="0">
                  <c:v>Spot</c:v>
                </c:pt>
              </c:strCache>
            </c:strRef>
          </c:tx>
          <c:marker>
            <c:symbol val="none"/>
          </c:marker>
          <c:xVal>
            <c:numRef>
              <c:f>'Nelson Siegel_cfrBoot'!$A$4:$A$123</c:f>
              <c:numCache>
                <c:formatCode>General</c:formatCode>
                <c:ptCount val="120"/>
                <c:pt idx="0">
                  <c:v>360</c:v>
                </c:pt>
                <c:pt idx="1">
                  <c:v>720</c:v>
                </c:pt>
                <c:pt idx="2">
                  <c:v>1080</c:v>
                </c:pt>
                <c:pt idx="3">
                  <c:v>1440</c:v>
                </c:pt>
                <c:pt idx="4">
                  <c:v>1800</c:v>
                </c:pt>
                <c:pt idx="5">
                  <c:v>2160</c:v>
                </c:pt>
                <c:pt idx="6">
                  <c:v>2520</c:v>
                </c:pt>
                <c:pt idx="7">
                  <c:v>2880</c:v>
                </c:pt>
                <c:pt idx="8">
                  <c:v>3240</c:v>
                </c:pt>
                <c:pt idx="9">
                  <c:v>3600</c:v>
                </c:pt>
                <c:pt idx="10">
                  <c:v>3960</c:v>
                </c:pt>
                <c:pt idx="11">
                  <c:v>4320</c:v>
                </c:pt>
                <c:pt idx="12">
                  <c:v>4680</c:v>
                </c:pt>
                <c:pt idx="13">
                  <c:v>5040</c:v>
                </c:pt>
                <c:pt idx="14">
                  <c:v>5400</c:v>
                </c:pt>
                <c:pt idx="15">
                  <c:v>5760</c:v>
                </c:pt>
                <c:pt idx="16">
                  <c:v>6120</c:v>
                </c:pt>
                <c:pt idx="17">
                  <c:v>6480</c:v>
                </c:pt>
                <c:pt idx="18">
                  <c:v>6840</c:v>
                </c:pt>
                <c:pt idx="19">
                  <c:v>7200</c:v>
                </c:pt>
                <c:pt idx="20">
                  <c:v>7560</c:v>
                </c:pt>
                <c:pt idx="21">
                  <c:v>7920</c:v>
                </c:pt>
                <c:pt idx="22">
                  <c:v>8280</c:v>
                </c:pt>
                <c:pt idx="23">
                  <c:v>8640</c:v>
                </c:pt>
                <c:pt idx="24">
                  <c:v>9000</c:v>
                </c:pt>
                <c:pt idx="25">
                  <c:v>9360</c:v>
                </c:pt>
                <c:pt idx="26">
                  <c:v>9720</c:v>
                </c:pt>
                <c:pt idx="27">
                  <c:v>10080</c:v>
                </c:pt>
                <c:pt idx="28">
                  <c:v>10440</c:v>
                </c:pt>
                <c:pt idx="29">
                  <c:v>10800</c:v>
                </c:pt>
              </c:numCache>
            </c:numRef>
          </c:xVal>
          <c:yVal>
            <c:numRef>
              <c:f>'Nelson Siegel_cfrBoot'!$E$4:$E$123</c:f>
              <c:numCache>
                <c:formatCode>0.000%</c:formatCode>
                <c:ptCount val="120"/>
                <c:pt idx="0">
                  <c:v>-2.8799999999999794E-3</c:v>
                </c:pt>
                <c:pt idx="1">
                  <c:v>-3.2561793283012331E-3</c:v>
                </c:pt>
                <c:pt idx="2">
                  <c:v>-3.141179680448193E-3</c:v>
                </c:pt>
                <c:pt idx="3">
                  <c:v>-2.8636271531631745E-3</c:v>
                </c:pt>
                <c:pt idx="4">
                  <c:v>-2.5108527619549909E-3</c:v>
                </c:pt>
                <c:pt idx="5">
                  <c:v>-2.0959590813368267E-3</c:v>
                </c:pt>
                <c:pt idx="6">
                  <c:v>-1.6237118393302701E-3</c:v>
                </c:pt>
                <c:pt idx="7">
                  <c:v>-1.0971128621434616E-3</c:v>
                </c:pt>
                <c:pt idx="8">
                  <c:v>-5.5728303166875149E-4</c:v>
                </c:pt>
                <c:pt idx="9">
                  <c:v>-5.4884504162392213E-6</c:v>
                </c:pt>
                <c:pt idx="10">
                  <c:v>5.7784159329036708E-4</c:v>
                </c:pt>
                <c:pt idx="11">
                  <c:v>1.0622324121974576E-3</c:v>
                </c:pt>
                <c:pt idx="12">
                  <c:v>1.5823217639985244E-3</c:v>
                </c:pt>
                <c:pt idx="13">
                  <c:v>2.0264538285354162E-3</c:v>
                </c:pt>
                <c:pt idx="14">
                  <c:v>2.4101248334215176E-3</c:v>
                </c:pt>
                <c:pt idx="15">
                  <c:v>2.7409358044248361E-3</c:v>
                </c:pt>
                <c:pt idx="16">
                  <c:v>3.0321081894127827E-3</c:v>
                </c:pt>
                <c:pt idx="17">
                  <c:v>3.2903560886771285E-3</c:v>
                </c:pt>
                <c:pt idx="18">
                  <c:v>3.5209583045829585E-3</c:v>
                </c:pt>
                <c:pt idx="19">
                  <c:v>3.7281224202415802E-3</c:v>
                </c:pt>
                <c:pt idx="20">
                  <c:v>3.8240023848485228E-3</c:v>
                </c:pt>
                <c:pt idx="21">
                  <c:v>3.9111860358504828E-3</c:v>
                </c:pt>
                <c:pt idx="22">
                  <c:v>3.9908038736728166E-3</c:v>
                </c:pt>
                <c:pt idx="23">
                  <c:v>4.0637985875152981E-3</c:v>
                </c:pt>
                <c:pt idx="24">
                  <c:v>4.1309625017101961E-3</c:v>
                </c:pt>
                <c:pt idx="25">
                  <c:v>4.1206583669457812E-3</c:v>
                </c:pt>
                <c:pt idx="26">
                  <c:v>4.1110994283767915E-3</c:v>
                </c:pt>
                <c:pt idx="27">
                  <c:v>4.1022077312187644E-3</c:v>
                </c:pt>
                <c:pt idx="28">
                  <c:v>4.0939158274170672E-3</c:v>
                </c:pt>
                <c:pt idx="29">
                  <c:v>4.0861650632279343E-3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2D-4C2D-A8D5-247AB10AC5EC}"/>
            </c:ext>
          </c:extLst>
        </c:ser>
        <c:ser>
          <c:idx val="0"/>
          <c:order val="1"/>
          <c:tx>
            <c:strRef>
              <c:f>'Nelson Siegel_cfrBoot'!$G$3</c:f>
              <c:strCache>
                <c:ptCount val="1"/>
                <c:pt idx="0">
                  <c:v>Spot NS</c:v>
                </c:pt>
              </c:strCache>
            </c:strRef>
          </c:tx>
          <c:marker>
            <c:symbol val="none"/>
          </c:marker>
          <c:xVal>
            <c:numRef>
              <c:f>'Nelson Siegel_cfrBoot'!$A$4:$A$123</c:f>
              <c:numCache>
                <c:formatCode>General</c:formatCode>
                <c:ptCount val="120"/>
                <c:pt idx="0">
                  <c:v>360</c:v>
                </c:pt>
                <c:pt idx="1">
                  <c:v>720</c:v>
                </c:pt>
                <c:pt idx="2">
                  <c:v>1080</c:v>
                </c:pt>
                <c:pt idx="3">
                  <c:v>1440</c:v>
                </c:pt>
                <c:pt idx="4">
                  <c:v>1800</c:v>
                </c:pt>
                <c:pt idx="5">
                  <c:v>2160</c:v>
                </c:pt>
                <c:pt idx="6">
                  <c:v>2520</c:v>
                </c:pt>
                <c:pt idx="7">
                  <c:v>2880</c:v>
                </c:pt>
                <c:pt idx="8">
                  <c:v>3240</c:v>
                </c:pt>
                <c:pt idx="9">
                  <c:v>3600</c:v>
                </c:pt>
                <c:pt idx="10">
                  <c:v>3960</c:v>
                </c:pt>
                <c:pt idx="11">
                  <c:v>4320</c:v>
                </c:pt>
                <c:pt idx="12">
                  <c:v>4680</c:v>
                </c:pt>
                <c:pt idx="13">
                  <c:v>5040</c:v>
                </c:pt>
                <c:pt idx="14">
                  <c:v>5400</c:v>
                </c:pt>
                <c:pt idx="15">
                  <c:v>5760</c:v>
                </c:pt>
                <c:pt idx="16">
                  <c:v>6120</c:v>
                </c:pt>
                <c:pt idx="17">
                  <c:v>6480</c:v>
                </c:pt>
                <c:pt idx="18">
                  <c:v>6840</c:v>
                </c:pt>
                <c:pt idx="19">
                  <c:v>7200</c:v>
                </c:pt>
                <c:pt idx="20">
                  <c:v>7560</c:v>
                </c:pt>
                <c:pt idx="21">
                  <c:v>7920</c:v>
                </c:pt>
                <c:pt idx="22">
                  <c:v>8280</c:v>
                </c:pt>
                <c:pt idx="23">
                  <c:v>8640</c:v>
                </c:pt>
                <c:pt idx="24">
                  <c:v>9000</c:v>
                </c:pt>
                <c:pt idx="25">
                  <c:v>9360</c:v>
                </c:pt>
                <c:pt idx="26">
                  <c:v>9720</c:v>
                </c:pt>
                <c:pt idx="27">
                  <c:v>10080</c:v>
                </c:pt>
                <c:pt idx="28">
                  <c:v>10440</c:v>
                </c:pt>
                <c:pt idx="29">
                  <c:v>10800</c:v>
                </c:pt>
              </c:numCache>
            </c:numRef>
          </c:xVal>
          <c:yVal>
            <c:numRef>
              <c:f>'Nelson Siegel_cfrBoot'!$G$4:$G$123</c:f>
              <c:numCache>
                <c:formatCode>General</c:formatCode>
                <c:ptCount val="120"/>
                <c:pt idx="0">
                  <c:v>-7.6603992429218905E-4</c:v>
                </c:pt>
                <c:pt idx="1">
                  <c:v>-3.2991036916633601E-3</c:v>
                </c:pt>
                <c:pt idx="2">
                  <c:v>-3.9790141599654015E-3</c:v>
                </c:pt>
                <c:pt idx="3">
                  <c:v>-3.7499939388821557E-3</c:v>
                </c:pt>
                <c:pt idx="4">
                  <c:v>-3.1178346154845738E-3</c:v>
                </c:pt>
                <c:pt idx="5">
                  <c:v>-2.3457758077647336E-3</c:v>
                </c:pt>
                <c:pt idx="6">
                  <c:v>-1.5645871564531981E-3</c:v>
                </c:pt>
                <c:pt idx="7">
                  <c:v>-8.340016685681556E-4</c:v>
                </c:pt>
                <c:pt idx="8">
                  <c:v>-1.7668181519236558E-4</c:v>
                </c:pt>
                <c:pt idx="9">
                  <c:v>4.0323821387397559E-4</c:v>
                </c:pt>
                <c:pt idx="10">
                  <c:v>9.1021021866541309E-4</c:v>
                </c:pt>
                <c:pt idx="11">
                  <c:v>1.3520800646828592E-3</c:v>
                </c:pt>
                <c:pt idx="12">
                  <c:v>1.7374864851729935E-3</c:v>
                </c:pt>
                <c:pt idx="13">
                  <c:v>2.0746477454392704E-3</c:v>
                </c:pt>
                <c:pt idx="14">
                  <c:v>2.3708725573842264E-3</c:v>
                </c:pt>
                <c:pt idx="15">
                  <c:v>2.6324338309441143E-3</c:v>
                </c:pt>
                <c:pt idx="16">
                  <c:v>2.8646119548627817E-3</c:v>
                </c:pt>
                <c:pt idx="17">
                  <c:v>3.0718069051962559E-3</c:v>
                </c:pt>
                <c:pt idx="18">
                  <c:v>3.2576688261648202E-3</c:v>
                </c:pt>
                <c:pt idx="19">
                  <c:v>3.4252235994853917E-3</c:v>
                </c:pt>
                <c:pt idx="20">
                  <c:v>3.5769838801760485E-3</c:v>
                </c:pt>
                <c:pt idx="21">
                  <c:v>3.7150430348550905E-3</c:v>
                </c:pt>
                <c:pt idx="22">
                  <c:v>3.8411526481806299E-3</c:v>
                </c:pt>
                <c:pt idx="23">
                  <c:v>3.9567855620969913E-3</c:v>
                </c:pt>
                <c:pt idx="24">
                  <c:v>4.0631867539773162E-3</c:v>
                </c:pt>
                <c:pt idx="25">
                  <c:v>4.1614142599423172E-3</c:v>
                </c:pt>
                <c:pt idx="26">
                  <c:v>4.2523720748581552E-3</c:v>
                </c:pt>
                <c:pt idx="27">
                  <c:v>4.3368366420478499E-3</c:v>
                </c:pt>
                <c:pt idx="28">
                  <c:v>4.4154782434854987E-3</c:v>
                </c:pt>
                <c:pt idx="29">
                  <c:v>4.4888783384493128E-3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2D-4C2D-A8D5-247AB10AC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59695"/>
        <c:axId val="201578671"/>
      </c:scatterChart>
      <c:valAx>
        <c:axId val="39559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78671"/>
        <c:crosses val="autoZero"/>
        <c:crossBetween val="midCat"/>
      </c:valAx>
      <c:valAx>
        <c:axId val="20157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969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Merton!$H$4</c:f>
              <c:strCache>
                <c:ptCount val="1"/>
                <c:pt idx="0">
                  <c:v>Rmkt(t,T)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Merton!$F$5:$F$23</c:f>
              <c:numCache>
                <c:formatCode>0.00</c:formatCode>
                <c:ptCount val="19"/>
                <c:pt idx="0">
                  <c:v>1.9444444444444445E-2</c:v>
                </c:pt>
                <c:pt idx="1">
                  <c:v>8.0555555555555561E-2</c:v>
                </c:pt>
                <c:pt idx="2">
                  <c:v>0.25</c:v>
                </c:pt>
                <c:pt idx="3">
                  <c:v>0.50555555555555554</c:v>
                </c:pt>
                <c:pt idx="4">
                  <c:v>1.0166666666666666</c:v>
                </c:pt>
                <c:pt idx="5">
                  <c:v>2.036111111111111</c:v>
                </c:pt>
                <c:pt idx="6">
                  <c:v>3.0472222222222221</c:v>
                </c:pt>
                <c:pt idx="7">
                  <c:v>4.0583333333333336</c:v>
                </c:pt>
                <c:pt idx="8">
                  <c:v>5.0750000000000002</c:v>
                </c:pt>
                <c:pt idx="9">
                  <c:v>6.0888888888888886</c:v>
                </c:pt>
                <c:pt idx="10">
                  <c:v>7.1027777777777779</c:v>
                </c:pt>
                <c:pt idx="11">
                  <c:v>8.1222222222222218</c:v>
                </c:pt>
                <c:pt idx="12">
                  <c:v>9.1333333333333329</c:v>
                </c:pt>
                <c:pt idx="13">
                  <c:v>10.147222222222222</c:v>
                </c:pt>
                <c:pt idx="14">
                  <c:v>12.175000000000001</c:v>
                </c:pt>
                <c:pt idx="15">
                  <c:v>15.219444444444445</c:v>
                </c:pt>
                <c:pt idx="16">
                  <c:v>20.294444444444444</c:v>
                </c:pt>
                <c:pt idx="17">
                  <c:v>25.369444444444444</c:v>
                </c:pt>
                <c:pt idx="18">
                  <c:v>30.444444444444443</c:v>
                </c:pt>
              </c:numCache>
            </c:numRef>
          </c:xVal>
          <c:yVal>
            <c:numRef>
              <c:f>Merton!$G$5:$G$23</c:f>
              <c:numCache>
                <c:formatCode>0.000%</c:formatCode>
                <c:ptCount val="19"/>
                <c:pt idx="0">
                  <c:v>-5.1800000000000006E-3</c:v>
                </c:pt>
                <c:pt idx="1">
                  <c:v>-4.6999999999999993E-3</c:v>
                </c:pt>
                <c:pt idx="2">
                  <c:v>-4.13E-3</c:v>
                </c:pt>
                <c:pt idx="3">
                  <c:v>-3.62E-3</c:v>
                </c:pt>
                <c:pt idx="4">
                  <c:v>-2.8799999999999997E-3</c:v>
                </c:pt>
                <c:pt idx="5">
                  <c:v>-3.63E-3</c:v>
                </c:pt>
                <c:pt idx="6">
                  <c:v>-3.3899999999999998E-3</c:v>
                </c:pt>
                <c:pt idx="7">
                  <c:v>-3.0500000000000002E-3</c:v>
                </c:pt>
                <c:pt idx="8">
                  <c:v>-2.66E-3</c:v>
                </c:pt>
                <c:pt idx="9">
                  <c:v>-2.2200000000000002E-3</c:v>
                </c:pt>
                <c:pt idx="10">
                  <c:v>-1.73E-3</c:v>
                </c:pt>
                <c:pt idx="11">
                  <c:v>-1.1900000000000001E-3</c:v>
                </c:pt>
                <c:pt idx="12">
                  <c:v>-6.4000000000000005E-4</c:v>
                </c:pt>
                <c:pt idx="13">
                  <c:v>-8.0000000000000007E-5</c:v>
                </c:pt>
                <c:pt idx="14">
                  <c:v>1E-3</c:v>
                </c:pt>
                <c:pt idx="15">
                  <c:v>2.3600000000000001E-3</c:v>
                </c:pt>
                <c:pt idx="16">
                  <c:v>3.6900000000000001E-3</c:v>
                </c:pt>
                <c:pt idx="17">
                  <c:v>4.1000000000000003E-3</c:v>
                </c:pt>
                <c:pt idx="18">
                  <c:v>4.0600000000000002E-3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28-4105-AEB4-3465AF76D36F}"/>
            </c:ext>
          </c:extLst>
        </c:ser>
        <c:ser>
          <c:idx val="1"/>
          <c:order val="1"/>
          <c:tx>
            <c:strRef>
              <c:f>Merton!$I$4</c:f>
              <c:strCache>
                <c:ptCount val="1"/>
                <c:pt idx="0">
                  <c:v>Merton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Merton!$F$5:$F$23</c:f>
              <c:numCache>
                <c:formatCode>0.00</c:formatCode>
                <c:ptCount val="19"/>
                <c:pt idx="0">
                  <c:v>1.9444444444444445E-2</c:v>
                </c:pt>
                <c:pt idx="1">
                  <c:v>8.0555555555555561E-2</c:v>
                </c:pt>
                <c:pt idx="2">
                  <c:v>0.25</c:v>
                </c:pt>
                <c:pt idx="3">
                  <c:v>0.50555555555555554</c:v>
                </c:pt>
                <c:pt idx="4">
                  <c:v>1.0166666666666666</c:v>
                </c:pt>
                <c:pt idx="5">
                  <c:v>2.036111111111111</c:v>
                </c:pt>
                <c:pt idx="6">
                  <c:v>3.0472222222222221</c:v>
                </c:pt>
                <c:pt idx="7">
                  <c:v>4.0583333333333336</c:v>
                </c:pt>
                <c:pt idx="8">
                  <c:v>5.0750000000000002</c:v>
                </c:pt>
                <c:pt idx="9">
                  <c:v>6.0888888888888886</c:v>
                </c:pt>
                <c:pt idx="10">
                  <c:v>7.1027777777777779</c:v>
                </c:pt>
                <c:pt idx="11">
                  <c:v>8.1222222222222218</c:v>
                </c:pt>
                <c:pt idx="12">
                  <c:v>9.1333333333333329</c:v>
                </c:pt>
                <c:pt idx="13">
                  <c:v>10.147222222222222</c:v>
                </c:pt>
                <c:pt idx="14">
                  <c:v>12.175000000000001</c:v>
                </c:pt>
                <c:pt idx="15">
                  <c:v>15.219444444444445</c:v>
                </c:pt>
                <c:pt idx="16">
                  <c:v>20.294444444444444</c:v>
                </c:pt>
                <c:pt idx="17">
                  <c:v>25.369444444444444</c:v>
                </c:pt>
                <c:pt idx="18">
                  <c:v>30.444444444444443</c:v>
                </c:pt>
              </c:numCache>
            </c:numRef>
          </c:xVal>
          <c:yVal>
            <c:numRef>
              <c:f>Merton!$I$5:$I$23</c:f>
              <c:numCache>
                <c:formatCode>0.00%</c:formatCode>
                <c:ptCount val="19"/>
                <c:pt idx="0">
                  <c:v>-4.6268486723502009E-3</c:v>
                </c:pt>
                <c:pt idx="1">
                  <c:v>-4.5944548558025152E-3</c:v>
                </c:pt>
                <c:pt idx="2">
                  <c:v>-4.5049303767833761E-3</c:v>
                </c:pt>
                <c:pt idx="3">
                  <c:v>-4.3707292771751755E-3</c:v>
                </c:pt>
                <c:pt idx="4">
                  <c:v>-4.1052834388824429E-3</c:v>
                </c:pt>
                <c:pt idx="5">
                  <c:v>-3.5876063473684653E-3</c:v>
                </c:pt>
                <c:pt idx="6">
                  <c:v>-3.0896508734803789E-3</c:v>
                </c:pt>
                <c:pt idx="7">
                  <c:v>-2.6071217542292849E-3</c:v>
                </c:pt>
                <c:pt idx="8">
                  <c:v>-2.1374951038613346E-3</c:v>
                </c:pt>
                <c:pt idx="9">
                  <c:v>-1.68468406593602E-3</c:v>
                </c:pt>
                <c:pt idx="10">
                  <c:v>-1.2473842592668435E-3</c:v>
                </c:pt>
                <c:pt idx="11">
                  <c:v>-8.2332724295922555E-4</c:v>
                </c:pt>
                <c:pt idx="12">
                  <c:v>-4.182265575591892E-4</c:v>
                </c:pt>
                <c:pt idx="13">
                  <c:v>-2.7502941182417262E-5</c:v>
                </c:pt>
                <c:pt idx="14">
                  <c:v>7.0741059780271153E-4</c:v>
                </c:pt>
                <c:pt idx="15">
                  <c:v>1.6942833584243132E-3</c:v>
                </c:pt>
                <c:pt idx="16">
                  <c:v>3.0284877660461929E-3</c:v>
                </c:pt>
                <c:pt idx="17">
                  <c:v>3.9740609960694931E-3</c:v>
                </c:pt>
                <c:pt idx="18">
                  <c:v>4.5310030484942134E-3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28-4105-AEB4-3465AF76D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8674559"/>
        <c:axId val="1432116287"/>
      </c:scatterChart>
      <c:valAx>
        <c:axId val="1428674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116287"/>
        <c:crosses val="autoZero"/>
        <c:crossBetween val="midCat"/>
      </c:valAx>
      <c:valAx>
        <c:axId val="1432116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674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Merton!$G$4</c:f>
              <c:strCache>
                <c:ptCount val="1"/>
                <c:pt idx="0">
                  <c:v>Euribor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Merton!$F$5:$F$23</c:f>
              <c:numCache>
                <c:formatCode>0.00</c:formatCode>
                <c:ptCount val="19"/>
                <c:pt idx="0">
                  <c:v>1.9444444444444445E-2</c:v>
                </c:pt>
                <c:pt idx="1">
                  <c:v>8.0555555555555561E-2</c:v>
                </c:pt>
                <c:pt idx="2">
                  <c:v>0.25</c:v>
                </c:pt>
                <c:pt idx="3">
                  <c:v>0.50555555555555554</c:v>
                </c:pt>
                <c:pt idx="4">
                  <c:v>1.0166666666666666</c:v>
                </c:pt>
                <c:pt idx="5">
                  <c:v>2.036111111111111</c:v>
                </c:pt>
                <c:pt idx="6">
                  <c:v>3.0472222222222221</c:v>
                </c:pt>
                <c:pt idx="7">
                  <c:v>4.0583333333333336</c:v>
                </c:pt>
                <c:pt idx="8">
                  <c:v>5.0750000000000002</c:v>
                </c:pt>
                <c:pt idx="9">
                  <c:v>6.0888888888888886</c:v>
                </c:pt>
                <c:pt idx="10">
                  <c:v>7.1027777777777779</c:v>
                </c:pt>
                <c:pt idx="11">
                  <c:v>8.1222222222222218</c:v>
                </c:pt>
                <c:pt idx="12">
                  <c:v>9.1333333333333329</c:v>
                </c:pt>
                <c:pt idx="13">
                  <c:v>10.147222222222222</c:v>
                </c:pt>
                <c:pt idx="14">
                  <c:v>12.175000000000001</c:v>
                </c:pt>
                <c:pt idx="15">
                  <c:v>15.219444444444445</c:v>
                </c:pt>
                <c:pt idx="16">
                  <c:v>20.294444444444444</c:v>
                </c:pt>
                <c:pt idx="17">
                  <c:v>25.369444444444444</c:v>
                </c:pt>
                <c:pt idx="18">
                  <c:v>30.444444444444443</c:v>
                </c:pt>
              </c:numCache>
            </c:numRef>
          </c:cat>
          <c:val>
            <c:numRef>
              <c:f>Merton!$J$5:$J$23</c:f>
              <c:numCache>
                <c:formatCode>0.000%</c:formatCode>
                <c:ptCount val="19"/>
                <c:pt idx="0">
                  <c:v>-5.5315132764979964E-4</c:v>
                </c:pt>
                <c:pt idx="1">
                  <c:v>-1.0554514419748411E-4</c:v>
                </c:pt>
                <c:pt idx="2">
                  <c:v>3.7493037678337608E-4</c:v>
                </c:pt>
                <c:pt idx="3">
                  <c:v>7.507292771751755E-4</c:v>
                </c:pt>
                <c:pt idx="4">
                  <c:v>4.0764830172422759E-3</c:v>
                </c:pt>
                <c:pt idx="5">
                  <c:v>3.5513050058207387E-3</c:v>
                </c:pt>
                <c:pt idx="6">
                  <c:v>3.0557491224106345E-3</c:v>
                </c:pt>
                <c:pt idx="7">
                  <c:v>2.5766198664412413E-3</c:v>
                </c:pt>
                <c:pt idx="8">
                  <c:v>2.1108933082662419E-3</c:v>
                </c:pt>
                <c:pt idx="9">
                  <c:v>1.6624825653768016E-3</c:v>
                </c:pt>
                <c:pt idx="10">
                  <c:v>1.2300831962845835E-3</c:v>
                </c:pt>
                <c:pt idx="11">
                  <c:v>8.1142666782822118E-4</c:v>
                </c:pt>
                <c:pt idx="12">
                  <c:v>4.1182637050123468E-4</c:v>
                </c:pt>
                <c:pt idx="13">
                  <c:v>2.6702937935291144E-5</c:v>
                </c:pt>
                <c:pt idx="14">
                  <c:v>-6.974112065033113E-4</c:v>
                </c:pt>
                <c:pt idx="15">
                  <c:v>-1.6706875957206058E-3</c:v>
                </c:pt>
                <c:pt idx="16">
                  <c:v>-2.9916015757114858E-3</c:v>
                </c:pt>
                <c:pt idx="17">
                  <c:v>-3.9330823043130245E-3</c:v>
                </c:pt>
                <c:pt idx="18">
                  <c:v>-4.4904281195392807E-3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01-47D9-A576-98AC8CD51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149359"/>
        <c:axId val="1432112959"/>
      </c:barChart>
      <c:catAx>
        <c:axId val="1932149359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112959"/>
        <c:crosses val="autoZero"/>
        <c:auto val="1"/>
        <c:lblAlgn val="ctr"/>
        <c:lblOffset val="100"/>
        <c:noMultiLvlLbl val="0"/>
      </c:catAx>
      <c:valAx>
        <c:axId val="143211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149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Spot</a:t>
            </a:r>
            <a:r>
              <a:rPr lang="en-US" baseline="0"/>
              <a:t> Rate Slope Shift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marker>
            <c:symbol val="none"/>
          </c:marker>
          <c:xVal>
            <c:numRef>
              <c:f>'NOTE 2 (Q1, Q3 to Q5)'!$D$173:$D$187</c:f>
              <c:numCache>
                <c:formatCode>General</c:formatCode>
                <c:ptCount val="15"/>
                <c:pt idx="0">
                  <c:v>90</c:v>
                </c:pt>
                <c:pt idx="1">
                  <c:v>270</c:v>
                </c:pt>
                <c:pt idx="2">
                  <c:v>450</c:v>
                </c:pt>
                <c:pt idx="3">
                  <c:v>630</c:v>
                </c:pt>
                <c:pt idx="4">
                  <c:v>810</c:v>
                </c:pt>
                <c:pt idx="5">
                  <c:v>992</c:v>
                </c:pt>
                <c:pt idx="6">
                  <c:v>1170</c:v>
                </c:pt>
                <c:pt idx="7">
                  <c:v>1351</c:v>
                </c:pt>
                <c:pt idx="8">
                  <c:v>1531</c:v>
                </c:pt>
                <c:pt idx="9">
                  <c:v>1710</c:v>
                </c:pt>
                <c:pt idx="10">
                  <c:v>1890</c:v>
                </c:pt>
                <c:pt idx="11">
                  <c:v>2070</c:v>
                </c:pt>
                <c:pt idx="12">
                  <c:v>2250</c:v>
                </c:pt>
                <c:pt idx="13">
                  <c:v>2430</c:v>
                </c:pt>
                <c:pt idx="14">
                  <c:v>2610</c:v>
                </c:pt>
              </c:numCache>
            </c:numRef>
          </c:xVal>
          <c:yVal>
            <c:numRef>
              <c:f>'NOTE 2 (Q1, Q3 to Q5)'!$H$173:$H$187</c:f>
              <c:numCache>
                <c:formatCode>0.000%</c:formatCode>
                <c:ptCount val="15"/>
                <c:pt idx="0">
                  <c:v>-5.1833569484785345E-3</c:v>
                </c:pt>
                <c:pt idx="1">
                  <c:v>-3.7021449926851568E-3</c:v>
                </c:pt>
                <c:pt idx="2">
                  <c:v>-3.0987976732664135E-3</c:v>
                </c:pt>
                <c:pt idx="3">
                  <c:v>-3.4389265584204819E-3</c:v>
                </c:pt>
                <c:pt idx="4">
                  <c:v>-3.5532955844918748E-3</c:v>
                </c:pt>
                <c:pt idx="5">
                  <c:v>-3.4336335075722813E-3</c:v>
                </c:pt>
                <c:pt idx="6">
                  <c:v>-3.2937562145456236E-3</c:v>
                </c:pt>
                <c:pt idx="7">
                  <c:v>-3.1244010629110706E-3</c:v>
                </c:pt>
                <c:pt idx="8">
                  <c:v>-2.9446257472087473E-3</c:v>
                </c:pt>
                <c:pt idx="9">
                  <c:v>-2.7512531373861402E-3</c:v>
                </c:pt>
                <c:pt idx="10">
                  <c:v>-2.5466204679636694E-3</c:v>
                </c:pt>
                <c:pt idx="11">
                  <c:v>-2.3264842679533212E-3</c:v>
                </c:pt>
                <c:pt idx="12">
                  <c:v>-2.0966461725995512E-3</c:v>
                </c:pt>
                <c:pt idx="13">
                  <c:v>-1.8509723723175596E-3</c:v>
                </c:pt>
                <c:pt idx="14">
                  <c:v>-1.595786653019777E-3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D4-4034-9FE4-73542AC3D8C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'NOTE 2 (Q1, Q3 to Q5)'!$D$173:$D$187</c:f>
              <c:numCache>
                <c:formatCode>General</c:formatCode>
                <c:ptCount val="15"/>
                <c:pt idx="0">
                  <c:v>90</c:v>
                </c:pt>
                <c:pt idx="1">
                  <c:v>270</c:v>
                </c:pt>
                <c:pt idx="2">
                  <c:v>450</c:v>
                </c:pt>
                <c:pt idx="3">
                  <c:v>630</c:v>
                </c:pt>
                <c:pt idx="4">
                  <c:v>810</c:v>
                </c:pt>
                <c:pt idx="5">
                  <c:v>992</c:v>
                </c:pt>
                <c:pt idx="6">
                  <c:v>1170</c:v>
                </c:pt>
                <c:pt idx="7">
                  <c:v>1351</c:v>
                </c:pt>
                <c:pt idx="8">
                  <c:v>1531</c:v>
                </c:pt>
                <c:pt idx="9">
                  <c:v>1710</c:v>
                </c:pt>
                <c:pt idx="10">
                  <c:v>1890</c:v>
                </c:pt>
                <c:pt idx="11">
                  <c:v>2070</c:v>
                </c:pt>
                <c:pt idx="12">
                  <c:v>2250</c:v>
                </c:pt>
                <c:pt idx="13">
                  <c:v>2430</c:v>
                </c:pt>
                <c:pt idx="14">
                  <c:v>2610</c:v>
                </c:pt>
              </c:numCache>
            </c:numRef>
          </c:xVal>
          <c:yVal>
            <c:numRef>
              <c:f>'NOTE 2 (Q1, Q3 to Q5)'!$J$173:$J$187</c:f>
              <c:numCache>
                <c:formatCode>0.000%</c:formatCode>
                <c:ptCount val="15"/>
                <c:pt idx="0">
                  <c:v>-3.1833569484785349E-3</c:v>
                </c:pt>
                <c:pt idx="1">
                  <c:v>-1.9878592783994431E-3</c:v>
                </c:pt>
                <c:pt idx="2">
                  <c:v>-1.6702262446949853E-3</c:v>
                </c:pt>
                <c:pt idx="3">
                  <c:v>-2.2960694155633394E-3</c:v>
                </c:pt>
                <c:pt idx="4">
                  <c:v>-2.6961527273490181E-3</c:v>
                </c:pt>
                <c:pt idx="5">
                  <c:v>-2.8653795393183135E-3</c:v>
                </c:pt>
                <c:pt idx="6">
                  <c:v>-3.0080419288313386E-3</c:v>
                </c:pt>
                <c:pt idx="7">
                  <c:v>-3.1259883644983726E-3</c:v>
                </c:pt>
                <c:pt idx="8">
                  <c:v>-3.2319273345103356E-3</c:v>
                </c:pt>
                <c:pt idx="9">
                  <c:v>-3.3226817088147123E-3</c:v>
                </c:pt>
                <c:pt idx="10">
                  <c:v>-3.403763325106527E-3</c:v>
                </c:pt>
                <c:pt idx="11">
                  <c:v>-3.4693414108104646E-3</c:v>
                </c:pt>
                <c:pt idx="12">
                  <c:v>-3.5252176011709804E-3</c:v>
                </c:pt>
                <c:pt idx="13">
                  <c:v>-3.5652580866032749E-3</c:v>
                </c:pt>
                <c:pt idx="14">
                  <c:v>-3.5957866530197781E-3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D4-4034-9FE4-73542AC3D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102128"/>
        <c:axId val="1019888320"/>
      </c:scatterChart>
      <c:valAx>
        <c:axId val="61010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888320"/>
        <c:crosses val="autoZero"/>
        <c:crossBetween val="midCat"/>
      </c:valAx>
      <c:valAx>
        <c:axId val="101988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02128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Vasicek model</a:t>
            </a:r>
            <a:r>
              <a:rPr lang="en-US" baseline="0"/>
              <a:t> - </a:t>
            </a:r>
            <a:r>
              <a:rPr lang="en-US"/>
              <a:t>Discount</a:t>
            </a:r>
            <a:r>
              <a:rPr lang="en-US" baseline="0"/>
              <a:t> Factor Calibration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'Vasicek (Q9)'!$G$8</c:f>
              <c:strCache>
                <c:ptCount val="1"/>
                <c:pt idx="0">
                  <c:v>DFmkt(t,T)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'Vasicek (Q9)'!$F$9:$F$71</c:f>
              <c:numCache>
                <c:formatCode>0.00</c:formatCode>
                <c:ptCount val="63"/>
                <c:pt idx="0">
                  <c:v>1.9444444444444445E-2</c:v>
                </c:pt>
                <c:pt idx="1">
                  <c:v>8.0555555555555561E-2</c:v>
                </c:pt>
                <c:pt idx="2">
                  <c:v>0.25</c:v>
                </c:pt>
                <c:pt idx="3">
                  <c:v>0.50555555555555554</c:v>
                </c:pt>
                <c:pt idx="4">
                  <c:v>1.0166666666666666</c:v>
                </c:pt>
                <c:pt idx="5">
                  <c:v>1.5194444444444444</c:v>
                </c:pt>
                <c:pt idx="6">
                  <c:v>2.036111111111111</c:v>
                </c:pt>
                <c:pt idx="7">
                  <c:v>2.5333333333333332</c:v>
                </c:pt>
                <c:pt idx="8">
                  <c:v>3.0472222222222221</c:v>
                </c:pt>
                <c:pt idx="9">
                  <c:v>3.5527777777777776</c:v>
                </c:pt>
                <c:pt idx="10">
                  <c:v>4.0583333333333336</c:v>
                </c:pt>
                <c:pt idx="11">
                  <c:v>4.5638888888888891</c:v>
                </c:pt>
                <c:pt idx="12">
                  <c:v>5.0750000000000002</c:v>
                </c:pt>
                <c:pt idx="13">
                  <c:v>5.5777777777777775</c:v>
                </c:pt>
                <c:pt idx="14">
                  <c:v>6.0888888888888886</c:v>
                </c:pt>
                <c:pt idx="15">
                  <c:v>6.5916666666666668</c:v>
                </c:pt>
                <c:pt idx="16">
                  <c:v>7.1027777777777779</c:v>
                </c:pt>
                <c:pt idx="17">
                  <c:v>7.6055555555555552</c:v>
                </c:pt>
                <c:pt idx="18">
                  <c:v>8.1222222222222218</c:v>
                </c:pt>
                <c:pt idx="19">
                  <c:v>8.6277777777777782</c:v>
                </c:pt>
                <c:pt idx="20">
                  <c:v>9.1333333333333329</c:v>
                </c:pt>
                <c:pt idx="21">
                  <c:v>9.6388888888888893</c:v>
                </c:pt>
                <c:pt idx="22">
                  <c:v>10.147222222222222</c:v>
                </c:pt>
                <c:pt idx="23">
                  <c:v>10.65</c:v>
                </c:pt>
                <c:pt idx="24">
                  <c:v>11.161111111111111</c:v>
                </c:pt>
                <c:pt idx="25">
                  <c:v>11.66388888888889</c:v>
                </c:pt>
                <c:pt idx="26">
                  <c:v>12.175000000000001</c:v>
                </c:pt>
                <c:pt idx="27">
                  <c:v>12.680555555555555</c:v>
                </c:pt>
                <c:pt idx="28">
                  <c:v>13.197222222222223</c:v>
                </c:pt>
                <c:pt idx="29">
                  <c:v>13.694444444444445</c:v>
                </c:pt>
                <c:pt idx="30">
                  <c:v>14.208333333333334</c:v>
                </c:pt>
                <c:pt idx="31">
                  <c:v>14.713888888888889</c:v>
                </c:pt>
                <c:pt idx="32">
                  <c:v>15.219444444444445</c:v>
                </c:pt>
                <c:pt idx="33">
                  <c:v>15.725</c:v>
                </c:pt>
                <c:pt idx="34">
                  <c:v>16.233333333333334</c:v>
                </c:pt>
                <c:pt idx="35">
                  <c:v>16.738888888888887</c:v>
                </c:pt>
                <c:pt idx="36">
                  <c:v>17.25</c:v>
                </c:pt>
                <c:pt idx="37">
                  <c:v>17.752777777777776</c:v>
                </c:pt>
                <c:pt idx="38">
                  <c:v>18.263888888888889</c:v>
                </c:pt>
                <c:pt idx="39">
                  <c:v>18.766666666666666</c:v>
                </c:pt>
                <c:pt idx="40">
                  <c:v>19.283333333333335</c:v>
                </c:pt>
                <c:pt idx="41">
                  <c:v>19.780555555555555</c:v>
                </c:pt>
                <c:pt idx="42">
                  <c:v>20.294444444444444</c:v>
                </c:pt>
                <c:pt idx="43">
                  <c:v>20.8</c:v>
                </c:pt>
                <c:pt idx="44">
                  <c:v>21.308333333333334</c:v>
                </c:pt>
                <c:pt idx="45">
                  <c:v>21.81111111111111</c:v>
                </c:pt>
                <c:pt idx="46">
                  <c:v>22.322222222222223</c:v>
                </c:pt>
                <c:pt idx="47">
                  <c:v>22.824999999999999</c:v>
                </c:pt>
                <c:pt idx="48">
                  <c:v>23.336111111111112</c:v>
                </c:pt>
                <c:pt idx="49">
                  <c:v>23.838888888888889</c:v>
                </c:pt>
                <c:pt idx="50">
                  <c:v>24.35</c:v>
                </c:pt>
                <c:pt idx="51">
                  <c:v>24.855555555555554</c:v>
                </c:pt>
                <c:pt idx="52">
                  <c:v>25.369444444444444</c:v>
                </c:pt>
                <c:pt idx="53">
                  <c:v>25.875</c:v>
                </c:pt>
                <c:pt idx="54">
                  <c:v>26.380555555555556</c:v>
                </c:pt>
                <c:pt idx="55">
                  <c:v>26.886111111111113</c:v>
                </c:pt>
                <c:pt idx="56">
                  <c:v>27.394444444444446</c:v>
                </c:pt>
                <c:pt idx="57">
                  <c:v>27.897222222222222</c:v>
                </c:pt>
                <c:pt idx="58">
                  <c:v>28.408333333333335</c:v>
                </c:pt>
                <c:pt idx="59">
                  <c:v>28.913888888888888</c:v>
                </c:pt>
                <c:pt idx="60">
                  <c:v>29.425000000000001</c:v>
                </c:pt>
                <c:pt idx="61">
                  <c:v>29.927777777777777</c:v>
                </c:pt>
                <c:pt idx="62">
                  <c:v>30.444444444444443</c:v>
                </c:pt>
              </c:numCache>
            </c:numRef>
          </c:xVal>
          <c:yVal>
            <c:numRef>
              <c:f>'Vasicek (Q9)'!$G$9:$G$71</c:f>
              <c:numCache>
                <c:formatCode>0.00%</c:formatCode>
                <c:ptCount val="63"/>
                <c:pt idx="0">
                  <c:v>1.0001007323682103</c:v>
                </c:pt>
                <c:pt idx="1">
                  <c:v>1.0004174519712086</c:v>
                </c:pt>
                <c:pt idx="2">
                  <c:v>1.0012966791995634</c:v>
                </c:pt>
                <c:pt idx="3">
                  <c:v>1.002625653781553</c:v>
                </c:pt>
                <c:pt idx="4">
                  <c:v>1.0029493816043955</c:v>
                </c:pt>
                <c:pt idx="5">
                  <c:v>1.0049578930286021</c:v>
                </c:pt>
                <c:pt idx="6">
                  <c:v>1.0073760986995521</c:v>
                </c:pt>
                <c:pt idx="7">
                  <c:v>1.0088897868252849</c:v>
                </c:pt>
                <c:pt idx="8">
                  <c:v>1.0103164388058028</c:v>
                </c:pt>
                <c:pt idx="9">
                  <c:v>1.0114281748724145</c:v>
                </c:pt>
                <c:pt idx="10">
                  <c:v>1.0123536413378431</c:v>
                </c:pt>
                <c:pt idx="11">
                  <c:v>1.0129984030329278</c:v>
                </c:pt>
                <c:pt idx="12">
                  <c:v>1.0134263697880397</c:v>
                </c:pt>
                <c:pt idx="13">
                  <c:v>1.0135216491518062</c:v>
                </c:pt>
                <c:pt idx="14">
                  <c:v>1.0133599501332615</c:v>
                </c:pt>
                <c:pt idx="15">
                  <c:v>1.0128305336924632</c:v>
                </c:pt>
                <c:pt idx="16">
                  <c:v>1.0119976269221789</c:v>
                </c:pt>
                <c:pt idx="17">
                  <c:v>1.0107653473369573</c:v>
                </c:pt>
                <c:pt idx="18">
                  <c:v>1.0092006157390916</c:v>
                </c:pt>
                <c:pt idx="19">
                  <c:v>1.0073522800434731</c:v>
                </c:pt>
                <c:pt idx="20">
                  <c:v>1.0052078352548612</c:v>
                </c:pt>
                <c:pt idx="21">
                  <c:v>1.0027428937830463</c:v>
                </c:pt>
                <c:pt idx="22">
                  <c:v>1.0000051136254562</c:v>
                </c:pt>
                <c:pt idx="23">
                  <c:v>0.9970925583720528</c:v>
                </c:pt>
                <c:pt idx="24">
                  <c:v>0.99385361452465637</c:v>
                </c:pt>
                <c:pt idx="25">
                  <c:v>0.99039532379994277</c:v>
                </c:pt>
                <c:pt idx="26">
                  <c:v>0.98679020693532449</c:v>
                </c:pt>
                <c:pt idx="27">
                  <c:v>0.98333474078483463</c:v>
                </c:pt>
                <c:pt idx="28">
                  <c:v>0.97957089337625958</c:v>
                </c:pt>
                <c:pt idx="29">
                  <c:v>0.97572820524914383</c:v>
                </c:pt>
                <c:pt idx="30">
                  <c:v>0.9715311937408968</c:v>
                </c:pt>
                <c:pt idx="31">
                  <c:v>0.96718015777272259</c:v>
                </c:pt>
                <c:pt idx="32">
                  <c:v>0.96323486181379736</c:v>
                </c:pt>
                <c:pt idx="33">
                  <c:v>0.95995155192871962</c:v>
                </c:pt>
                <c:pt idx="34">
                  <c:v>0.95652328213654647</c:v>
                </c:pt>
                <c:pt idx="35">
                  <c:v>0.95298837254024249</c:v>
                </c:pt>
                <c:pt idx="36">
                  <c:v>0.94928848899498064</c:v>
                </c:pt>
                <c:pt idx="37">
                  <c:v>0.94552605904517817</c:v>
                </c:pt>
                <c:pt idx="38">
                  <c:v>0.94157744852062486</c:v>
                </c:pt>
                <c:pt idx="39">
                  <c:v>0.93757231293034271</c:v>
                </c:pt>
                <c:pt idx="40">
                  <c:v>0.93333284404442118</c:v>
                </c:pt>
                <c:pt idx="41">
                  <c:v>0.92913534645949947</c:v>
                </c:pt>
                <c:pt idx="42">
                  <c:v>0.92575822738044389</c:v>
                </c:pt>
                <c:pt idx="43">
                  <c:v>0.92317677227657946</c:v>
                </c:pt>
                <c:pt idx="44">
                  <c:v>0.92054719364683446</c:v>
                </c:pt>
                <c:pt idx="45">
                  <c:v>0.9179130634315914</c:v>
                </c:pt>
                <c:pt idx="46">
                  <c:v>0.91520164615392929</c:v>
                </c:pt>
                <c:pt idx="47">
                  <c:v>0.91250150490314907</c:v>
                </c:pt>
                <c:pt idx="48">
                  <c:v>0.90972346262596882</c:v>
                </c:pt>
                <c:pt idx="49">
                  <c:v>0.90695825552129161</c:v>
                </c:pt>
                <c:pt idx="50">
                  <c:v>0.90411455834394505</c:v>
                </c:pt>
                <c:pt idx="51">
                  <c:v>0.90126954571398665</c:v>
                </c:pt>
                <c:pt idx="52">
                  <c:v>0.89916175759252448</c:v>
                </c:pt>
                <c:pt idx="53">
                  <c:v>0.89740435722579104</c:v>
                </c:pt>
                <c:pt idx="54">
                  <c:v>0.89565424451177311</c:v>
                </c:pt>
                <c:pt idx="55">
                  <c:v>0.89391139371819761</c:v>
                </c:pt>
                <c:pt idx="56">
                  <c:v>0.89216627268060977</c:v>
                </c:pt>
                <c:pt idx="57">
                  <c:v>0.89044737565168119</c:v>
                </c:pt>
                <c:pt idx="58">
                  <c:v>0.88870730229595507</c:v>
                </c:pt>
                <c:pt idx="59">
                  <c:v>0.88699332258143004</c:v>
                </c:pt>
                <c:pt idx="60">
                  <c:v>0.88526777993873373</c:v>
                </c:pt>
                <c:pt idx="61">
                  <c:v>0.88357743230208696</c:v>
                </c:pt>
                <c:pt idx="62">
                  <c:v>0.88174439219662359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99-4D87-A3EA-1D6CE94AE8C9}"/>
            </c:ext>
          </c:extLst>
        </c:ser>
        <c:ser>
          <c:idx val="1"/>
          <c:order val="1"/>
          <c:tx>
            <c:strRef>
              <c:f>'Vasicek (Q9)'!$H$8</c:f>
              <c:strCache>
                <c:ptCount val="1"/>
                <c:pt idx="0">
                  <c:v>DFvas(t,T)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'Vasicek (Q9)'!$F$9:$F$71</c:f>
              <c:numCache>
                <c:formatCode>0.00</c:formatCode>
                <c:ptCount val="63"/>
                <c:pt idx="0">
                  <c:v>1.9444444444444445E-2</c:v>
                </c:pt>
                <c:pt idx="1">
                  <c:v>8.0555555555555561E-2</c:v>
                </c:pt>
                <c:pt idx="2">
                  <c:v>0.25</c:v>
                </c:pt>
                <c:pt idx="3">
                  <c:v>0.50555555555555554</c:v>
                </c:pt>
                <c:pt idx="4">
                  <c:v>1.0166666666666666</c:v>
                </c:pt>
                <c:pt idx="5">
                  <c:v>1.5194444444444444</c:v>
                </c:pt>
                <c:pt idx="6">
                  <c:v>2.036111111111111</c:v>
                </c:pt>
                <c:pt idx="7">
                  <c:v>2.5333333333333332</c:v>
                </c:pt>
                <c:pt idx="8">
                  <c:v>3.0472222222222221</c:v>
                </c:pt>
                <c:pt idx="9">
                  <c:v>3.5527777777777776</c:v>
                </c:pt>
                <c:pt idx="10">
                  <c:v>4.0583333333333336</c:v>
                </c:pt>
                <c:pt idx="11">
                  <c:v>4.5638888888888891</c:v>
                </c:pt>
                <c:pt idx="12">
                  <c:v>5.0750000000000002</c:v>
                </c:pt>
                <c:pt idx="13">
                  <c:v>5.5777777777777775</c:v>
                </c:pt>
                <c:pt idx="14">
                  <c:v>6.0888888888888886</c:v>
                </c:pt>
                <c:pt idx="15">
                  <c:v>6.5916666666666668</c:v>
                </c:pt>
                <c:pt idx="16">
                  <c:v>7.1027777777777779</c:v>
                </c:pt>
                <c:pt idx="17">
                  <c:v>7.6055555555555552</c:v>
                </c:pt>
                <c:pt idx="18">
                  <c:v>8.1222222222222218</c:v>
                </c:pt>
                <c:pt idx="19">
                  <c:v>8.6277777777777782</c:v>
                </c:pt>
                <c:pt idx="20">
                  <c:v>9.1333333333333329</c:v>
                </c:pt>
                <c:pt idx="21">
                  <c:v>9.6388888888888893</c:v>
                </c:pt>
                <c:pt idx="22">
                  <c:v>10.147222222222222</c:v>
                </c:pt>
                <c:pt idx="23">
                  <c:v>10.65</c:v>
                </c:pt>
                <c:pt idx="24">
                  <c:v>11.161111111111111</c:v>
                </c:pt>
                <c:pt idx="25">
                  <c:v>11.66388888888889</c:v>
                </c:pt>
                <c:pt idx="26">
                  <c:v>12.175000000000001</c:v>
                </c:pt>
                <c:pt idx="27">
                  <c:v>12.680555555555555</c:v>
                </c:pt>
                <c:pt idx="28">
                  <c:v>13.197222222222223</c:v>
                </c:pt>
                <c:pt idx="29">
                  <c:v>13.694444444444445</c:v>
                </c:pt>
                <c:pt idx="30">
                  <c:v>14.208333333333334</c:v>
                </c:pt>
                <c:pt idx="31">
                  <c:v>14.713888888888889</c:v>
                </c:pt>
                <c:pt idx="32">
                  <c:v>15.219444444444445</c:v>
                </c:pt>
                <c:pt idx="33">
                  <c:v>15.725</c:v>
                </c:pt>
                <c:pt idx="34">
                  <c:v>16.233333333333334</c:v>
                </c:pt>
                <c:pt idx="35">
                  <c:v>16.738888888888887</c:v>
                </c:pt>
                <c:pt idx="36">
                  <c:v>17.25</c:v>
                </c:pt>
                <c:pt idx="37">
                  <c:v>17.752777777777776</c:v>
                </c:pt>
                <c:pt idx="38">
                  <c:v>18.263888888888889</c:v>
                </c:pt>
                <c:pt idx="39">
                  <c:v>18.766666666666666</c:v>
                </c:pt>
                <c:pt idx="40">
                  <c:v>19.283333333333335</c:v>
                </c:pt>
                <c:pt idx="41">
                  <c:v>19.780555555555555</c:v>
                </c:pt>
                <c:pt idx="42">
                  <c:v>20.294444444444444</c:v>
                </c:pt>
                <c:pt idx="43">
                  <c:v>20.8</c:v>
                </c:pt>
                <c:pt idx="44">
                  <c:v>21.308333333333334</c:v>
                </c:pt>
                <c:pt idx="45">
                  <c:v>21.81111111111111</c:v>
                </c:pt>
                <c:pt idx="46">
                  <c:v>22.322222222222223</c:v>
                </c:pt>
                <c:pt idx="47">
                  <c:v>22.824999999999999</c:v>
                </c:pt>
                <c:pt idx="48">
                  <c:v>23.336111111111112</c:v>
                </c:pt>
                <c:pt idx="49">
                  <c:v>23.838888888888889</c:v>
                </c:pt>
                <c:pt idx="50">
                  <c:v>24.35</c:v>
                </c:pt>
                <c:pt idx="51">
                  <c:v>24.855555555555554</c:v>
                </c:pt>
                <c:pt idx="52">
                  <c:v>25.369444444444444</c:v>
                </c:pt>
                <c:pt idx="53">
                  <c:v>25.875</c:v>
                </c:pt>
                <c:pt idx="54">
                  <c:v>26.380555555555556</c:v>
                </c:pt>
                <c:pt idx="55">
                  <c:v>26.886111111111113</c:v>
                </c:pt>
                <c:pt idx="56">
                  <c:v>27.394444444444446</c:v>
                </c:pt>
                <c:pt idx="57">
                  <c:v>27.897222222222222</c:v>
                </c:pt>
                <c:pt idx="58">
                  <c:v>28.408333333333335</c:v>
                </c:pt>
                <c:pt idx="59">
                  <c:v>28.913888888888888</c:v>
                </c:pt>
                <c:pt idx="60">
                  <c:v>29.425000000000001</c:v>
                </c:pt>
                <c:pt idx="61">
                  <c:v>29.927777777777777</c:v>
                </c:pt>
                <c:pt idx="62">
                  <c:v>30.444444444444443</c:v>
                </c:pt>
              </c:numCache>
            </c:numRef>
          </c:xVal>
          <c:yVal>
            <c:numRef>
              <c:f>'Vasicek (Q9)'!$H$9:$H$71</c:f>
              <c:numCache>
                <c:formatCode>0.000%</c:formatCode>
                <c:ptCount val="63"/>
                <c:pt idx="0">
                  <c:v>1.000129456146815</c:v>
                </c:pt>
                <c:pt idx="1">
                  <c:v>1.000532170886095</c:v>
                </c:pt>
                <c:pt idx="2">
                  <c:v>1.0016160078821366</c:v>
                </c:pt>
                <c:pt idx="3">
                  <c:v>1.0031602332177834</c:v>
                </c:pt>
                <c:pt idx="4">
                  <c:v>1.0059276464016731</c:v>
                </c:pt>
                <c:pt idx="5">
                  <c:v>1.0082417408273474</c:v>
                </c:pt>
                <c:pt idx="6">
                  <c:v>1.0102102258238301</c:v>
                </c:pt>
                <c:pt idx="7">
                  <c:v>1.0117247268807779</c:v>
                </c:pt>
                <c:pt idx="8">
                  <c:v>1.012911399403011</c:v>
                </c:pt>
                <c:pt idx="9">
                  <c:v>1.0137164444940043</c:v>
                </c:pt>
                <c:pt idx="10">
                  <c:v>1.0141754924773203</c:v>
                </c:pt>
                <c:pt idx="11">
                  <c:v>1.0143021668340206</c:v>
                </c:pt>
                <c:pt idx="12">
                  <c:v>1.0141064905628165</c:v>
                </c:pt>
                <c:pt idx="13">
                  <c:v>1.013610427695425</c:v>
                </c:pt>
                <c:pt idx="14">
                  <c:v>1.0128119779525697</c:v>
                </c:pt>
                <c:pt idx="15">
                  <c:v>1.0117514074110132</c:v>
                </c:pt>
                <c:pt idx="16">
                  <c:v>1.0104081665380544</c:v>
                </c:pt>
                <c:pt idx="17">
                  <c:v>1.0088403730495736</c:v>
                </c:pt>
                <c:pt idx="18">
                  <c:v>1.0069895408214173</c:v>
                </c:pt>
                <c:pt idx="19">
                  <c:v>1.0049578434416677</c:v>
                </c:pt>
                <c:pt idx="20">
                  <c:v>1.0027222208896824</c:v>
                </c:pt>
                <c:pt idx="21">
                  <c:v>1.0002968175181224</c:v>
                </c:pt>
                <c:pt idx="22">
                  <c:v>0.99768090613691718</c:v>
                </c:pt>
                <c:pt idx="23">
                  <c:v>0.99493262506565683</c:v>
                </c:pt>
                <c:pt idx="24">
                  <c:v>0.9919886757038715</c:v>
                </c:pt>
                <c:pt idx="25">
                  <c:v>0.9889585580556397</c:v>
                </c:pt>
                <c:pt idx="26">
                  <c:v>0.98575542612251821</c:v>
                </c:pt>
                <c:pt idx="27">
                  <c:v>0.98247854800238621</c:v>
                </c:pt>
                <c:pt idx="28">
                  <c:v>0.97903157617680814</c:v>
                </c:pt>
                <c:pt idx="29">
                  <c:v>0.97563323446835637</c:v>
                </c:pt>
                <c:pt idx="30">
                  <c:v>0.97205012359484066</c:v>
                </c:pt>
                <c:pt idx="31">
                  <c:v>0.96846711094548599</c:v>
                </c:pt>
                <c:pt idx="32">
                  <c:v>0.96483855439098187</c:v>
                </c:pt>
                <c:pt idx="33">
                  <c:v>0.9611761174476311</c:v>
                </c:pt>
                <c:pt idx="34">
                  <c:v>0.9574709151065427</c:v>
                </c:pt>
                <c:pt idx="35">
                  <c:v>0.9537746337388906</c:v>
                </c:pt>
                <c:pt idx="36">
                  <c:v>0.95003737236508567</c:v>
                </c:pt>
                <c:pt idx="37">
                  <c:v>0.94637130003059666</c:v>
                </c:pt>
                <c:pt idx="38">
                  <c:v>0.94266545301008486</c:v>
                </c:pt>
                <c:pt idx="39">
                  <c:v>0.93905075696271001</c:v>
                </c:pt>
                <c:pt idx="40">
                  <c:v>0.93537821472028126</c:v>
                </c:pt>
                <c:pt idx="41">
                  <c:v>0.93189358184039528</c:v>
                </c:pt>
                <c:pt idx="42">
                  <c:v>0.92835297858887522</c:v>
                </c:pt>
                <c:pt idx="43">
                  <c:v>0.92493936725738835</c:v>
                </c:pt>
                <c:pt idx="44">
                  <c:v>0.92158566248375395</c:v>
                </c:pt>
                <c:pt idx="45">
                  <c:v>0.91835488948024946</c:v>
                </c:pt>
                <c:pt idx="46">
                  <c:v>0.91516720795709694</c:v>
                </c:pt>
                <c:pt idx="47">
                  <c:v>0.91213489610950971</c:v>
                </c:pt>
                <c:pt idx="48">
                  <c:v>0.90916577458365044</c:v>
                </c:pt>
                <c:pt idx="49">
                  <c:v>0.90636465970718338</c:v>
                </c:pt>
                <c:pt idx="50">
                  <c:v>0.90364671944970432</c:v>
                </c:pt>
                <c:pt idx="51">
                  <c:v>0.90109465796251531</c:v>
                </c:pt>
                <c:pt idx="52">
                  <c:v>0.89864736507137566</c:v>
                </c:pt>
                <c:pt idx="53">
                  <c:v>0.89639182135445872</c:v>
                </c:pt>
                <c:pt idx="54">
                  <c:v>0.89429455196098828</c:v>
                </c:pt>
                <c:pt idx="55">
                  <c:v>0.89236289335539642</c:v>
                </c:pt>
                <c:pt idx="56">
                  <c:v>0.89059494865811895</c:v>
                </c:pt>
                <c:pt idx="57">
                  <c:v>0.88902546703183916</c:v>
                </c:pt>
                <c:pt idx="58">
                  <c:v>0.88761991185471756</c:v>
                </c:pt>
                <c:pt idx="59">
                  <c:v>0.88642526985533177</c:v>
                </c:pt>
                <c:pt idx="60">
                  <c:v>0.88542265731310665</c:v>
                </c:pt>
                <c:pt idx="61">
                  <c:v>0.88464487042422513</c:v>
                </c:pt>
                <c:pt idx="62">
                  <c:v>0.88406856721231553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99-4D87-A3EA-1D6CE94AE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8674559"/>
        <c:axId val="1432116287"/>
      </c:scatterChart>
      <c:valAx>
        <c:axId val="1428674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116287"/>
        <c:crosses val="autoZero"/>
        <c:crossBetween val="midCat"/>
      </c:valAx>
      <c:valAx>
        <c:axId val="1432116287"/>
        <c:scaling>
          <c:orientation val="minMax"/>
          <c:max val="1.02"/>
          <c:min val="0.85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674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Rate Calibration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'Vasicek (Q9)'!$J$8</c:f>
              <c:strCache>
                <c:ptCount val="1"/>
                <c:pt idx="0">
                  <c:v>Ratemkt(t,T)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'Vasicek (Q9)'!$F$9:$F$27</c:f>
              <c:numCache>
                <c:formatCode>0.00</c:formatCode>
                <c:ptCount val="19"/>
                <c:pt idx="0">
                  <c:v>1.9444444444444445E-2</c:v>
                </c:pt>
                <c:pt idx="1">
                  <c:v>8.0555555555555561E-2</c:v>
                </c:pt>
                <c:pt idx="2">
                  <c:v>0.25</c:v>
                </c:pt>
                <c:pt idx="3">
                  <c:v>0.50555555555555554</c:v>
                </c:pt>
                <c:pt idx="4">
                  <c:v>1.0166666666666666</c:v>
                </c:pt>
                <c:pt idx="5">
                  <c:v>1.5194444444444444</c:v>
                </c:pt>
                <c:pt idx="6">
                  <c:v>2.036111111111111</c:v>
                </c:pt>
                <c:pt idx="7">
                  <c:v>2.5333333333333332</c:v>
                </c:pt>
                <c:pt idx="8">
                  <c:v>3.0472222222222221</c:v>
                </c:pt>
                <c:pt idx="9">
                  <c:v>3.5527777777777776</c:v>
                </c:pt>
                <c:pt idx="10">
                  <c:v>4.0583333333333336</c:v>
                </c:pt>
                <c:pt idx="11">
                  <c:v>4.5638888888888891</c:v>
                </c:pt>
                <c:pt idx="12">
                  <c:v>5.0750000000000002</c:v>
                </c:pt>
                <c:pt idx="13">
                  <c:v>5.5777777777777775</c:v>
                </c:pt>
                <c:pt idx="14">
                  <c:v>6.0888888888888886</c:v>
                </c:pt>
                <c:pt idx="15">
                  <c:v>6.5916666666666668</c:v>
                </c:pt>
                <c:pt idx="16">
                  <c:v>7.1027777777777779</c:v>
                </c:pt>
                <c:pt idx="17">
                  <c:v>7.6055555555555552</c:v>
                </c:pt>
                <c:pt idx="18">
                  <c:v>8.1222222222222218</c:v>
                </c:pt>
              </c:numCache>
            </c:numRef>
          </c:xVal>
          <c:yVal>
            <c:numRef>
              <c:f>'Vasicek (Q9)'!$J$9:$J$27</c:f>
              <c:numCache>
                <c:formatCode>0.00%</c:formatCode>
                <c:ptCount val="19"/>
                <c:pt idx="0">
                  <c:v>-5.1802608880784718E-3</c:v>
                </c:pt>
                <c:pt idx="1">
                  <c:v>-5.1810810501860391E-3</c:v>
                </c:pt>
                <c:pt idx="2">
                  <c:v>-5.1833569484785345E-3</c:v>
                </c:pt>
                <c:pt idx="3">
                  <c:v>-5.1867944992257213E-3</c:v>
                </c:pt>
                <c:pt idx="4">
                  <c:v>-2.8967613557471096E-3</c:v>
                </c:pt>
                <c:pt idx="5">
                  <c:v>-3.2549022555051041E-3</c:v>
                </c:pt>
                <c:pt idx="6">
                  <c:v>-3.609345422164898E-3</c:v>
                </c:pt>
                <c:pt idx="7">
                  <c:v>-3.4936205138086374E-3</c:v>
                </c:pt>
                <c:pt idx="8">
                  <c:v>-3.3681782236432648E-3</c:v>
                </c:pt>
                <c:pt idx="9">
                  <c:v>-3.1984456348546314E-3</c:v>
                </c:pt>
                <c:pt idx="10">
                  <c:v>-3.0253694747065167E-3</c:v>
                </c:pt>
                <c:pt idx="11">
                  <c:v>-2.8297465400222823E-3</c:v>
                </c:pt>
                <c:pt idx="12">
                  <c:v>-2.6279871579032231E-3</c:v>
                </c:pt>
                <c:pt idx="13">
                  <c:v>-2.4079567164810309E-3</c:v>
                </c:pt>
                <c:pt idx="14">
                  <c:v>-2.1796247601355728E-3</c:v>
                </c:pt>
                <c:pt idx="15">
                  <c:v>-1.9340965492724504E-3</c:v>
                </c:pt>
                <c:pt idx="16">
                  <c:v>-1.6790932079107396E-3</c:v>
                </c:pt>
                <c:pt idx="17">
                  <c:v>-1.4078936710208722E-3</c:v>
                </c:pt>
                <c:pt idx="18">
                  <c:v>-1.1275913980111159E-3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7C-4AA9-A5CA-6B326367CDC6}"/>
            </c:ext>
          </c:extLst>
        </c:ser>
        <c:ser>
          <c:idx val="1"/>
          <c:order val="1"/>
          <c:tx>
            <c:strRef>
              <c:f>'Vasicek (Q9)'!$K$8</c:f>
              <c:strCache>
                <c:ptCount val="1"/>
                <c:pt idx="0">
                  <c:v>Ratevas(t,T)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'Vasicek (Q9)'!$F$9:$F$27</c:f>
              <c:numCache>
                <c:formatCode>0.00</c:formatCode>
                <c:ptCount val="19"/>
                <c:pt idx="0">
                  <c:v>1.9444444444444445E-2</c:v>
                </c:pt>
                <c:pt idx="1">
                  <c:v>8.0555555555555561E-2</c:v>
                </c:pt>
                <c:pt idx="2">
                  <c:v>0.25</c:v>
                </c:pt>
                <c:pt idx="3">
                  <c:v>0.50555555555555554</c:v>
                </c:pt>
                <c:pt idx="4">
                  <c:v>1.0166666666666666</c:v>
                </c:pt>
                <c:pt idx="5">
                  <c:v>1.5194444444444444</c:v>
                </c:pt>
                <c:pt idx="6">
                  <c:v>2.036111111111111</c:v>
                </c:pt>
                <c:pt idx="7">
                  <c:v>2.5333333333333332</c:v>
                </c:pt>
                <c:pt idx="8">
                  <c:v>3.0472222222222221</c:v>
                </c:pt>
                <c:pt idx="9">
                  <c:v>3.5527777777777776</c:v>
                </c:pt>
                <c:pt idx="10">
                  <c:v>4.0583333333333336</c:v>
                </c:pt>
                <c:pt idx="11">
                  <c:v>4.5638888888888891</c:v>
                </c:pt>
                <c:pt idx="12">
                  <c:v>5.0750000000000002</c:v>
                </c:pt>
                <c:pt idx="13">
                  <c:v>5.5777777777777775</c:v>
                </c:pt>
                <c:pt idx="14">
                  <c:v>6.0888888888888886</c:v>
                </c:pt>
                <c:pt idx="15">
                  <c:v>6.5916666666666668</c:v>
                </c:pt>
                <c:pt idx="16">
                  <c:v>7.1027777777777779</c:v>
                </c:pt>
                <c:pt idx="17">
                  <c:v>7.6055555555555552</c:v>
                </c:pt>
                <c:pt idx="18">
                  <c:v>8.1222222222222218</c:v>
                </c:pt>
              </c:numCache>
            </c:numRef>
          </c:xVal>
          <c:yVal>
            <c:numRef>
              <c:f>'Vasicek (Q9)'!$K$9:$K$27</c:f>
              <c:numCache>
                <c:formatCode>0.00%</c:formatCode>
                <c:ptCount val="19"/>
                <c:pt idx="0">
                  <c:v>-4.878664582229646E-3</c:v>
                </c:pt>
                <c:pt idx="1">
                  <c:v>-4.8459849707617629E-3</c:v>
                </c:pt>
                <c:pt idx="2">
                  <c:v>-4.7557370626279891E-3</c:v>
                </c:pt>
                <c:pt idx="3">
                  <c:v>-4.620630317915324E-3</c:v>
                </c:pt>
                <c:pt idx="4">
                  <c:v>-4.353998115105286E-3</c:v>
                </c:pt>
                <c:pt idx="5">
                  <c:v>-4.0962954929983303E-3</c:v>
                </c:pt>
                <c:pt idx="6">
                  <c:v>-3.8361150706046126E-3</c:v>
                </c:pt>
                <c:pt idx="7">
                  <c:v>-3.5900814833176751E-3</c:v>
                </c:pt>
                <c:pt idx="8">
                  <c:v>-3.3402013222896248E-3</c:v>
                </c:pt>
                <c:pt idx="9">
                  <c:v>-3.0986527502559146E-3</c:v>
                </c:pt>
                <c:pt idx="10">
                  <c:v>-2.8612654731649248E-3</c:v>
                </c:pt>
                <c:pt idx="11">
                  <c:v>-2.627958475429936E-3</c:v>
                </c:pt>
                <c:pt idx="12">
                  <c:v>-2.3961545151592292E-3</c:v>
                </c:pt>
                <c:pt idx="13">
                  <c:v>-2.1720419799178712E-3</c:v>
                </c:pt>
                <c:pt idx="14">
                  <c:v>-1.9481142017138762E-3</c:v>
                </c:pt>
                <c:pt idx="15">
                  <c:v>-1.7315989093828108E-3</c:v>
                </c:pt>
                <c:pt idx="16">
                  <c:v>-1.5152444692135242E-3</c:v>
                </c:pt>
                <c:pt idx="17">
                  <c:v>-1.3060347083114349E-3</c:v>
                </c:pt>
                <c:pt idx="18">
                  <c:v>-1.0947104169728059E-3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7C-4AA9-A5CA-6B326367C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8674559"/>
        <c:axId val="1432116287"/>
      </c:scatterChart>
      <c:valAx>
        <c:axId val="1428674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116287"/>
        <c:crosses val="autoZero"/>
        <c:crossBetween val="midCat"/>
      </c:valAx>
      <c:valAx>
        <c:axId val="1432116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674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</a:t>
            </a:r>
            <a:r>
              <a:rPr lang="en-US" baseline="0"/>
              <a:t> Factor Calibration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'Vasicek (Q9)'!$J$8</c:f>
              <c:strCache>
                <c:ptCount val="1"/>
                <c:pt idx="0">
                  <c:v>Ratemkt(t,T)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'Vasicek (Q9)'!$F$9:$F$32</c:f>
              <c:numCache>
                <c:formatCode>0.00</c:formatCode>
                <c:ptCount val="24"/>
                <c:pt idx="0">
                  <c:v>1.9444444444444445E-2</c:v>
                </c:pt>
                <c:pt idx="1">
                  <c:v>8.0555555555555561E-2</c:v>
                </c:pt>
                <c:pt idx="2">
                  <c:v>0.25</c:v>
                </c:pt>
                <c:pt idx="3">
                  <c:v>0.50555555555555554</c:v>
                </c:pt>
                <c:pt idx="4">
                  <c:v>1.0166666666666666</c:v>
                </c:pt>
                <c:pt idx="5">
                  <c:v>1.5194444444444444</c:v>
                </c:pt>
                <c:pt idx="6">
                  <c:v>2.036111111111111</c:v>
                </c:pt>
                <c:pt idx="7">
                  <c:v>2.5333333333333332</c:v>
                </c:pt>
                <c:pt idx="8">
                  <c:v>3.0472222222222221</c:v>
                </c:pt>
                <c:pt idx="9">
                  <c:v>3.5527777777777776</c:v>
                </c:pt>
                <c:pt idx="10">
                  <c:v>4.0583333333333336</c:v>
                </c:pt>
                <c:pt idx="11">
                  <c:v>4.5638888888888891</c:v>
                </c:pt>
                <c:pt idx="12">
                  <c:v>5.0750000000000002</c:v>
                </c:pt>
                <c:pt idx="13">
                  <c:v>5.5777777777777775</c:v>
                </c:pt>
                <c:pt idx="14">
                  <c:v>6.0888888888888886</c:v>
                </c:pt>
                <c:pt idx="15">
                  <c:v>6.5916666666666668</c:v>
                </c:pt>
                <c:pt idx="16">
                  <c:v>7.1027777777777779</c:v>
                </c:pt>
                <c:pt idx="17">
                  <c:v>7.6055555555555552</c:v>
                </c:pt>
                <c:pt idx="18">
                  <c:v>8.1222222222222218</c:v>
                </c:pt>
                <c:pt idx="19">
                  <c:v>8.6277777777777782</c:v>
                </c:pt>
                <c:pt idx="20">
                  <c:v>9.1333333333333329</c:v>
                </c:pt>
                <c:pt idx="21">
                  <c:v>9.6388888888888893</c:v>
                </c:pt>
                <c:pt idx="22">
                  <c:v>10.147222222222222</c:v>
                </c:pt>
                <c:pt idx="23">
                  <c:v>10.65</c:v>
                </c:pt>
              </c:numCache>
            </c:numRef>
          </c:xVal>
          <c:yVal>
            <c:numRef>
              <c:f>'Vasicek (Q9)'!$J$9:$J$32</c:f>
              <c:numCache>
                <c:formatCode>0.00%</c:formatCode>
                <c:ptCount val="24"/>
                <c:pt idx="0">
                  <c:v>-5.1802608880784718E-3</c:v>
                </c:pt>
                <c:pt idx="1">
                  <c:v>-5.1810810501860391E-3</c:v>
                </c:pt>
                <c:pt idx="2">
                  <c:v>-5.1833569484785345E-3</c:v>
                </c:pt>
                <c:pt idx="3">
                  <c:v>-5.1867944992257213E-3</c:v>
                </c:pt>
                <c:pt idx="4">
                  <c:v>-2.8967613557471096E-3</c:v>
                </c:pt>
                <c:pt idx="5">
                  <c:v>-3.2549022555051041E-3</c:v>
                </c:pt>
                <c:pt idx="6">
                  <c:v>-3.609345422164898E-3</c:v>
                </c:pt>
                <c:pt idx="7">
                  <c:v>-3.4936205138086374E-3</c:v>
                </c:pt>
                <c:pt idx="8">
                  <c:v>-3.3681782236432648E-3</c:v>
                </c:pt>
                <c:pt idx="9">
                  <c:v>-3.1984456348546314E-3</c:v>
                </c:pt>
                <c:pt idx="10">
                  <c:v>-3.0253694747065167E-3</c:v>
                </c:pt>
                <c:pt idx="11">
                  <c:v>-2.8297465400222823E-3</c:v>
                </c:pt>
                <c:pt idx="12">
                  <c:v>-2.6279871579032231E-3</c:v>
                </c:pt>
                <c:pt idx="13">
                  <c:v>-2.4079567164810309E-3</c:v>
                </c:pt>
                <c:pt idx="14">
                  <c:v>-2.1796247601355728E-3</c:v>
                </c:pt>
                <c:pt idx="15">
                  <c:v>-1.9340965492724504E-3</c:v>
                </c:pt>
                <c:pt idx="16">
                  <c:v>-1.6790932079107396E-3</c:v>
                </c:pt>
                <c:pt idx="17">
                  <c:v>-1.4078936710208722E-3</c:v>
                </c:pt>
                <c:pt idx="18">
                  <c:v>-1.1275913980111159E-3</c:v>
                </c:pt>
                <c:pt idx="19">
                  <c:v>-8.4904641418976419E-4</c:v>
                </c:pt>
                <c:pt idx="20">
                  <c:v>-5.6872131889342567E-4</c:v>
                </c:pt>
                <c:pt idx="21">
                  <c:v>-2.8417579516050136E-4</c:v>
                </c:pt>
                <c:pt idx="22">
                  <c:v>-5.0394209071829353E-7</c:v>
                </c:pt>
                <c:pt idx="23">
                  <c:v>2.733968494530072E-4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EE-4768-B498-A711665C0A37}"/>
            </c:ext>
          </c:extLst>
        </c:ser>
        <c:ser>
          <c:idx val="1"/>
          <c:order val="1"/>
          <c:tx>
            <c:strRef>
              <c:f>'Vasicek (Q9)'!$K$8</c:f>
              <c:strCache>
                <c:ptCount val="1"/>
                <c:pt idx="0">
                  <c:v>Ratevas(t,T)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'Vasicek (Q9)'!$F$9:$F$32</c:f>
              <c:numCache>
                <c:formatCode>0.00</c:formatCode>
                <c:ptCount val="24"/>
                <c:pt idx="0">
                  <c:v>1.9444444444444445E-2</c:v>
                </c:pt>
                <c:pt idx="1">
                  <c:v>8.0555555555555561E-2</c:v>
                </c:pt>
                <c:pt idx="2">
                  <c:v>0.25</c:v>
                </c:pt>
                <c:pt idx="3">
                  <c:v>0.50555555555555554</c:v>
                </c:pt>
                <c:pt idx="4">
                  <c:v>1.0166666666666666</c:v>
                </c:pt>
                <c:pt idx="5">
                  <c:v>1.5194444444444444</c:v>
                </c:pt>
                <c:pt idx="6">
                  <c:v>2.036111111111111</c:v>
                </c:pt>
                <c:pt idx="7">
                  <c:v>2.5333333333333332</c:v>
                </c:pt>
                <c:pt idx="8">
                  <c:v>3.0472222222222221</c:v>
                </c:pt>
                <c:pt idx="9">
                  <c:v>3.5527777777777776</c:v>
                </c:pt>
                <c:pt idx="10">
                  <c:v>4.0583333333333336</c:v>
                </c:pt>
                <c:pt idx="11">
                  <c:v>4.5638888888888891</c:v>
                </c:pt>
                <c:pt idx="12">
                  <c:v>5.0750000000000002</c:v>
                </c:pt>
                <c:pt idx="13">
                  <c:v>5.5777777777777775</c:v>
                </c:pt>
                <c:pt idx="14">
                  <c:v>6.0888888888888886</c:v>
                </c:pt>
                <c:pt idx="15">
                  <c:v>6.5916666666666668</c:v>
                </c:pt>
                <c:pt idx="16">
                  <c:v>7.1027777777777779</c:v>
                </c:pt>
                <c:pt idx="17">
                  <c:v>7.6055555555555552</c:v>
                </c:pt>
                <c:pt idx="18">
                  <c:v>8.1222222222222218</c:v>
                </c:pt>
                <c:pt idx="19">
                  <c:v>8.6277777777777782</c:v>
                </c:pt>
                <c:pt idx="20">
                  <c:v>9.1333333333333329</c:v>
                </c:pt>
                <c:pt idx="21">
                  <c:v>9.6388888888888893</c:v>
                </c:pt>
                <c:pt idx="22">
                  <c:v>10.147222222222222</c:v>
                </c:pt>
                <c:pt idx="23">
                  <c:v>10.65</c:v>
                </c:pt>
              </c:numCache>
            </c:numRef>
          </c:xVal>
          <c:yVal>
            <c:numRef>
              <c:f>'Vasicek (Q9)'!$K$9:$K$32</c:f>
              <c:numCache>
                <c:formatCode>0.00%</c:formatCode>
                <c:ptCount val="24"/>
                <c:pt idx="0">
                  <c:v>-4.878664582229646E-3</c:v>
                </c:pt>
                <c:pt idx="1">
                  <c:v>-4.8459849707617629E-3</c:v>
                </c:pt>
                <c:pt idx="2">
                  <c:v>-4.7557370626279891E-3</c:v>
                </c:pt>
                <c:pt idx="3">
                  <c:v>-4.620630317915324E-3</c:v>
                </c:pt>
                <c:pt idx="4">
                  <c:v>-4.353998115105286E-3</c:v>
                </c:pt>
                <c:pt idx="5">
                  <c:v>-4.0962954929983303E-3</c:v>
                </c:pt>
                <c:pt idx="6">
                  <c:v>-3.8361150706046126E-3</c:v>
                </c:pt>
                <c:pt idx="7">
                  <c:v>-3.5900814833176751E-3</c:v>
                </c:pt>
                <c:pt idx="8">
                  <c:v>-3.3402013222896248E-3</c:v>
                </c:pt>
                <c:pt idx="9">
                  <c:v>-3.0986527502559146E-3</c:v>
                </c:pt>
                <c:pt idx="10">
                  <c:v>-2.8612654731649248E-3</c:v>
                </c:pt>
                <c:pt idx="11">
                  <c:v>-2.627958475429936E-3</c:v>
                </c:pt>
                <c:pt idx="12">
                  <c:v>-2.3961545151592292E-3</c:v>
                </c:pt>
                <c:pt idx="13">
                  <c:v>-2.1720419799178712E-3</c:v>
                </c:pt>
                <c:pt idx="14">
                  <c:v>-1.9481142017138762E-3</c:v>
                </c:pt>
                <c:pt idx="15">
                  <c:v>-1.7315989093828108E-3</c:v>
                </c:pt>
                <c:pt idx="16">
                  <c:v>-1.5152444692135242E-3</c:v>
                </c:pt>
                <c:pt idx="17">
                  <c:v>-1.3060347083114349E-3</c:v>
                </c:pt>
                <c:pt idx="18">
                  <c:v>-1.0947104169728059E-3</c:v>
                </c:pt>
                <c:pt idx="19">
                  <c:v>-8.9145684077189167E-4</c:v>
                </c:pt>
                <c:pt idx="20">
                  <c:v>-6.916235085062209E-4</c:v>
                </c:pt>
                <c:pt idx="21">
                  <c:v>-4.9514476711702766E-4</c:v>
                </c:pt>
                <c:pt idx="22">
                  <c:v>-3.0090381430239384E-4</c:v>
                </c:pt>
                <c:pt idx="23">
                  <c:v>-1.1199518413050291E-4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EE-4768-B498-A711665C0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8674559"/>
        <c:axId val="1432116287"/>
      </c:scatterChart>
      <c:valAx>
        <c:axId val="1428674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116287"/>
        <c:crosses val="autoZero"/>
        <c:crossBetween val="midCat"/>
      </c:valAx>
      <c:valAx>
        <c:axId val="1432116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674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'Vasicek (Q9)'!$B$86:$B$586</c:f>
              <c:numCache>
                <c:formatCode>General</c:formatCode>
                <c:ptCount val="501"/>
                <c:pt idx="0">
                  <c:v>0</c:v>
                </c:pt>
                <c:pt idx="1">
                  <c:v>4.0000000000000001E-3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1.6E-2</c:v>
                </c:pt>
                <c:pt idx="5">
                  <c:v>0.02</c:v>
                </c:pt>
                <c:pt idx="6">
                  <c:v>2.4E-2</c:v>
                </c:pt>
                <c:pt idx="7">
                  <c:v>2.8000000000000001E-2</c:v>
                </c:pt>
                <c:pt idx="8">
                  <c:v>3.2000000000000001E-2</c:v>
                </c:pt>
                <c:pt idx="9">
                  <c:v>3.6000000000000004E-2</c:v>
                </c:pt>
                <c:pt idx="10">
                  <c:v>0.04</c:v>
                </c:pt>
                <c:pt idx="11">
                  <c:v>4.3999999999999997E-2</c:v>
                </c:pt>
                <c:pt idx="12">
                  <c:v>4.8000000000000001E-2</c:v>
                </c:pt>
                <c:pt idx="13">
                  <c:v>5.2000000000000005E-2</c:v>
                </c:pt>
                <c:pt idx="14">
                  <c:v>5.6000000000000001E-2</c:v>
                </c:pt>
                <c:pt idx="15">
                  <c:v>0.06</c:v>
                </c:pt>
                <c:pt idx="16">
                  <c:v>6.4000000000000001E-2</c:v>
                </c:pt>
                <c:pt idx="17">
                  <c:v>6.8000000000000005E-2</c:v>
                </c:pt>
                <c:pt idx="18">
                  <c:v>7.2000000000000008E-2</c:v>
                </c:pt>
                <c:pt idx="19">
                  <c:v>7.5999999999999998E-2</c:v>
                </c:pt>
                <c:pt idx="20">
                  <c:v>0.08</c:v>
                </c:pt>
                <c:pt idx="21">
                  <c:v>8.4000000000000005E-2</c:v>
                </c:pt>
                <c:pt idx="22">
                  <c:v>8.7999999999999995E-2</c:v>
                </c:pt>
                <c:pt idx="23">
                  <c:v>9.1999999999999998E-2</c:v>
                </c:pt>
                <c:pt idx="24">
                  <c:v>9.6000000000000002E-2</c:v>
                </c:pt>
                <c:pt idx="25">
                  <c:v>0.1</c:v>
                </c:pt>
                <c:pt idx="26">
                  <c:v>0.10400000000000001</c:v>
                </c:pt>
                <c:pt idx="27">
                  <c:v>0.108</c:v>
                </c:pt>
                <c:pt idx="28">
                  <c:v>0.112</c:v>
                </c:pt>
                <c:pt idx="29">
                  <c:v>0.11600000000000001</c:v>
                </c:pt>
                <c:pt idx="30">
                  <c:v>0.12</c:v>
                </c:pt>
                <c:pt idx="31">
                  <c:v>0.124</c:v>
                </c:pt>
                <c:pt idx="32">
                  <c:v>0.128</c:v>
                </c:pt>
                <c:pt idx="33">
                  <c:v>0.13200000000000001</c:v>
                </c:pt>
                <c:pt idx="34">
                  <c:v>0.13600000000000001</c:v>
                </c:pt>
                <c:pt idx="35">
                  <c:v>0.14000000000000001</c:v>
                </c:pt>
                <c:pt idx="36">
                  <c:v>0.14400000000000002</c:v>
                </c:pt>
                <c:pt idx="37">
                  <c:v>0.14799999999999999</c:v>
                </c:pt>
                <c:pt idx="38">
                  <c:v>0.152</c:v>
                </c:pt>
                <c:pt idx="39">
                  <c:v>0.156</c:v>
                </c:pt>
                <c:pt idx="40">
                  <c:v>0.16</c:v>
                </c:pt>
                <c:pt idx="41">
                  <c:v>0.16400000000000001</c:v>
                </c:pt>
                <c:pt idx="42">
                  <c:v>0.16800000000000001</c:v>
                </c:pt>
                <c:pt idx="43">
                  <c:v>0.17200000000000001</c:v>
                </c:pt>
                <c:pt idx="44">
                  <c:v>0.17599999999999999</c:v>
                </c:pt>
                <c:pt idx="45">
                  <c:v>0.18</c:v>
                </c:pt>
                <c:pt idx="46">
                  <c:v>0.184</c:v>
                </c:pt>
                <c:pt idx="47">
                  <c:v>0.188</c:v>
                </c:pt>
                <c:pt idx="48">
                  <c:v>0.192</c:v>
                </c:pt>
                <c:pt idx="49">
                  <c:v>0.19600000000000001</c:v>
                </c:pt>
                <c:pt idx="50">
                  <c:v>0.2</c:v>
                </c:pt>
                <c:pt idx="51">
                  <c:v>0.20400000000000001</c:v>
                </c:pt>
                <c:pt idx="52">
                  <c:v>0.20800000000000002</c:v>
                </c:pt>
                <c:pt idx="53">
                  <c:v>0.21199999999999999</c:v>
                </c:pt>
                <c:pt idx="54">
                  <c:v>0.216</c:v>
                </c:pt>
                <c:pt idx="55">
                  <c:v>0.22</c:v>
                </c:pt>
                <c:pt idx="56">
                  <c:v>0.224</c:v>
                </c:pt>
                <c:pt idx="57">
                  <c:v>0.22800000000000001</c:v>
                </c:pt>
                <c:pt idx="58">
                  <c:v>0.23200000000000001</c:v>
                </c:pt>
                <c:pt idx="59">
                  <c:v>0.23600000000000002</c:v>
                </c:pt>
                <c:pt idx="60">
                  <c:v>0.24</c:v>
                </c:pt>
                <c:pt idx="61">
                  <c:v>0.24399999999999999</c:v>
                </c:pt>
                <c:pt idx="62">
                  <c:v>0.248</c:v>
                </c:pt>
                <c:pt idx="63">
                  <c:v>0.252</c:v>
                </c:pt>
                <c:pt idx="64">
                  <c:v>0.25600000000000001</c:v>
                </c:pt>
                <c:pt idx="65">
                  <c:v>0.26</c:v>
                </c:pt>
                <c:pt idx="66">
                  <c:v>0.26400000000000001</c:v>
                </c:pt>
                <c:pt idx="67">
                  <c:v>0.26800000000000002</c:v>
                </c:pt>
                <c:pt idx="68">
                  <c:v>0.27200000000000002</c:v>
                </c:pt>
                <c:pt idx="69">
                  <c:v>0.27600000000000002</c:v>
                </c:pt>
                <c:pt idx="70">
                  <c:v>0.28000000000000003</c:v>
                </c:pt>
                <c:pt idx="71">
                  <c:v>0.28400000000000003</c:v>
                </c:pt>
                <c:pt idx="72">
                  <c:v>0.28800000000000003</c:v>
                </c:pt>
                <c:pt idx="73">
                  <c:v>0.29199999999999998</c:v>
                </c:pt>
                <c:pt idx="74">
                  <c:v>0.29599999999999999</c:v>
                </c:pt>
                <c:pt idx="75">
                  <c:v>0.3</c:v>
                </c:pt>
                <c:pt idx="76">
                  <c:v>0.30399999999999999</c:v>
                </c:pt>
                <c:pt idx="77">
                  <c:v>0.308</c:v>
                </c:pt>
                <c:pt idx="78">
                  <c:v>0.312</c:v>
                </c:pt>
                <c:pt idx="79">
                  <c:v>0.316</c:v>
                </c:pt>
                <c:pt idx="80">
                  <c:v>0.32</c:v>
                </c:pt>
                <c:pt idx="81">
                  <c:v>0.32400000000000001</c:v>
                </c:pt>
                <c:pt idx="82">
                  <c:v>0.32800000000000001</c:v>
                </c:pt>
                <c:pt idx="83">
                  <c:v>0.33200000000000002</c:v>
                </c:pt>
                <c:pt idx="84">
                  <c:v>0.33600000000000002</c:v>
                </c:pt>
                <c:pt idx="85">
                  <c:v>0.34</c:v>
                </c:pt>
                <c:pt idx="86">
                  <c:v>0.34400000000000003</c:v>
                </c:pt>
                <c:pt idx="87">
                  <c:v>0.34800000000000003</c:v>
                </c:pt>
                <c:pt idx="88">
                  <c:v>0.35199999999999998</c:v>
                </c:pt>
                <c:pt idx="89">
                  <c:v>0.35599999999999998</c:v>
                </c:pt>
                <c:pt idx="90">
                  <c:v>0.36</c:v>
                </c:pt>
                <c:pt idx="91">
                  <c:v>0.36399999999999999</c:v>
                </c:pt>
                <c:pt idx="92">
                  <c:v>0.36799999999999999</c:v>
                </c:pt>
                <c:pt idx="93">
                  <c:v>0.372</c:v>
                </c:pt>
                <c:pt idx="94">
                  <c:v>0.376</c:v>
                </c:pt>
                <c:pt idx="95">
                  <c:v>0.38</c:v>
                </c:pt>
                <c:pt idx="96">
                  <c:v>0.38400000000000001</c:v>
                </c:pt>
                <c:pt idx="97">
                  <c:v>0.38800000000000001</c:v>
                </c:pt>
                <c:pt idx="98">
                  <c:v>0.39200000000000002</c:v>
                </c:pt>
                <c:pt idx="99">
                  <c:v>0.39600000000000002</c:v>
                </c:pt>
                <c:pt idx="100">
                  <c:v>0.4</c:v>
                </c:pt>
                <c:pt idx="101">
                  <c:v>0.40400000000000003</c:v>
                </c:pt>
                <c:pt idx="102">
                  <c:v>0.40800000000000003</c:v>
                </c:pt>
                <c:pt idx="103">
                  <c:v>0.41200000000000003</c:v>
                </c:pt>
                <c:pt idx="104">
                  <c:v>0.41600000000000004</c:v>
                </c:pt>
                <c:pt idx="105">
                  <c:v>0.42</c:v>
                </c:pt>
                <c:pt idx="106">
                  <c:v>0.42399999999999999</c:v>
                </c:pt>
                <c:pt idx="107">
                  <c:v>0.42799999999999999</c:v>
                </c:pt>
                <c:pt idx="108">
                  <c:v>0.432</c:v>
                </c:pt>
                <c:pt idx="109">
                  <c:v>0.436</c:v>
                </c:pt>
                <c:pt idx="110">
                  <c:v>0.44</c:v>
                </c:pt>
                <c:pt idx="111">
                  <c:v>0.44400000000000001</c:v>
                </c:pt>
                <c:pt idx="112">
                  <c:v>0.44800000000000001</c:v>
                </c:pt>
                <c:pt idx="113">
                  <c:v>0.45200000000000001</c:v>
                </c:pt>
                <c:pt idx="114">
                  <c:v>0.45600000000000002</c:v>
                </c:pt>
                <c:pt idx="115">
                  <c:v>0.46</c:v>
                </c:pt>
                <c:pt idx="116">
                  <c:v>0.46400000000000002</c:v>
                </c:pt>
                <c:pt idx="117">
                  <c:v>0.46800000000000003</c:v>
                </c:pt>
                <c:pt idx="118">
                  <c:v>0.47200000000000003</c:v>
                </c:pt>
                <c:pt idx="119">
                  <c:v>0.47600000000000003</c:v>
                </c:pt>
                <c:pt idx="120">
                  <c:v>0.48</c:v>
                </c:pt>
                <c:pt idx="121">
                  <c:v>0.48399999999999999</c:v>
                </c:pt>
                <c:pt idx="122">
                  <c:v>0.48799999999999999</c:v>
                </c:pt>
                <c:pt idx="123">
                  <c:v>0.49199999999999999</c:v>
                </c:pt>
                <c:pt idx="124">
                  <c:v>0.496</c:v>
                </c:pt>
                <c:pt idx="125">
                  <c:v>0.5</c:v>
                </c:pt>
                <c:pt idx="126">
                  <c:v>0.504</c:v>
                </c:pt>
                <c:pt idx="127">
                  <c:v>0.50800000000000001</c:v>
                </c:pt>
                <c:pt idx="128">
                  <c:v>0.51200000000000001</c:v>
                </c:pt>
                <c:pt idx="129">
                  <c:v>0.51600000000000001</c:v>
                </c:pt>
                <c:pt idx="130">
                  <c:v>0.52</c:v>
                </c:pt>
                <c:pt idx="131">
                  <c:v>0.52400000000000002</c:v>
                </c:pt>
                <c:pt idx="132">
                  <c:v>0.52800000000000002</c:v>
                </c:pt>
                <c:pt idx="133">
                  <c:v>0.53200000000000003</c:v>
                </c:pt>
                <c:pt idx="134">
                  <c:v>0.53600000000000003</c:v>
                </c:pt>
                <c:pt idx="135">
                  <c:v>0.54</c:v>
                </c:pt>
                <c:pt idx="136">
                  <c:v>0.54400000000000004</c:v>
                </c:pt>
                <c:pt idx="137">
                  <c:v>0.54800000000000004</c:v>
                </c:pt>
                <c:pt idx="138">
                  <c:v>0.55200000000000005</c:v>
                </c:pt>
                <c:pt idx="139">
                  <c:v>0.55600000000000005</c:v>
                </c:pt>
                <c:pt idx="140">
                  <c:v>0.56000000000000005</c:v>
                </c:pt>
                <c:pt idx="141">
                  <c:v>0.56400000000000006</c:v>
                </c:pt>
                <c:pt idx="142">
                  <c:v>0.56800000000000006</c:v>
                </c:pt>
                <c:pt idx="143">
                  <c:v>0.57200000000000006</c:v>
                </c:pt>
                <c:pt idx="144">
                  <c:v>0.57600000000000007</c:v>
                </c:pt>
                <c:pt idx="145">
                  <c:v>0.57999999999999996</c:v>
                </c:pt>
                <c:pt idx="146">
                  <c:v>0.58399999999999996</c:v>
                </c:pt>
                <c:pt idx="147">
                  <c:v>0.58799999999999997</c:v>
                </c:pt>
                <c:pt idx="148">
                  <c:v>0.59199999999999997</c:v>
                </c:pt>
                <c:pt idx="149">
                  <c:v>0.59599999999999997</c:v>
                </c:pt>
                <c:pt idx="150">
                  <c:v>0.6</c:v>
                </c:pt>
                <c:pt idx="151">
                  <c:v>0.60399999999999998</c:v>
                </c:pt>
                <c:pt idx="152">
                  <c:v>0.60799999999999998</c:v>
                </c:pt>
                <c:pt idx="153">
                  <c:v>0.61199999999999999</c:v>
                </c:pt>
                <c:pt idx="154">
                  <c:v>0.61599999999999999</c:v>
                </c:pt>
                <c:pt idx="155">
                  <c:v>0.62</c:v>
                </c:pt>
                <c:pt idx="156">
                  <c:v>0.624</c:v>
                </c:pt>
                <c:pt idx="157">
                  <c:v>0.628</c:v>
                </c:pt>
                <c:pt idx="158">
                  <c:v>0.63200000000000001</c:v>
                </c:pt>
                <c:pt idx="159">
                  <c:v>0.63600000000000001</c:v>
                </c:pt>
                <c:pt idx="160">
                  <c:v>0.64</c:v>
                </c:pt>
                <c:pt idx="161">
                  <c:v>0.64400000000000002</c:v>
                </c:pt>
                <c:pt idx="162">
                  <c:v>0.64800000000000002</c:v>
                </c:pt>
                <c:pt idx="163">
                  <c:v>0.65200000000000002</c:v>
                </c:pt>
                <c:pt idx="164">
                  <c:v>0.65600000000000003</c:v>
                </c:pt>
                <c:pt idx="165">
                  <c:v>0.66</c:v>
                </c:pt>
                <c:pt idx="166">
                  <c:v>0.66400000000000003</c:v>
                </c:pt>
                <c:pt idx="167">
                  <c:v>0.66800000000000004</c:v>
                </c:pt>
                <c:pt idx="168">
                  <c:v>0.67200000000000004</c:v>
                </c:pt>
                <c:pt idx="169">
                  <c:v>0.67600000000000005</c:v>
                </c:pt>
                <c:pt idx="170">
                  <c:v>0.68</c:v>
                </c:pt>
                <c:pt idx="171">
                  <c:v>0.68400000000000005</c:v>
                </c:pt>
                <c:pt idx="172">
                  <c:v>0.68800000000000006</c:v>
                </c:pt>
                <c:pt idx="173">
                  <c:v>0.69200000000000006</c:v>
                </c:pt>
                <c:pt idx="174">
                  <c:v>0.69600000000000006</c:v>
                </c:pt>
                <c:pt idx="175">
                  <c:v>0.70000000000000007</c:v>
                </c:pt>
                <c:pt idx="176">
                  <c:v>0.70399999999999996</c:v>
                </c:pt>
                <c:pt idx="177">
                  <c:v>0.70799999999999996</c:v>
                </c:pt>
                <c:pt idx="178">
                  <c:v>0.71199999999999997</c:v>
                </c:pt>
                <c:pt idx="179">
                  <c:v>0.71599999999999997</c:v>
                </c:pt>
                <c:pt idx="180">
                  <c:v>0.72</c:v>
                </c:pt>
                <c:pt idx="181">
                  <c:v>0.72399999999999998</c:v>
                </c:pt>
                <c:pt idx="182">
                  <c:v>0.72799999999999998</c:v>
                </c:pt>
                <c:pt idx="183">
                  <c:v>0.73199999999999998</c:v>
                </c:pt>
                <c:pt idx="184">
                  <c:v>0.73599999999999999</c:v>
                </c:pt>
                <c:pt idx="185">
                  <c:v>0.74</c:v>
                </c:pt>
                <c:pt idx="186">
                  <c:v>0.74399999999999999</c:v>
                </c:pt>
                <c:pt idx="187">
                  <c:v>0.748</c:v>
                </c:pt>
                <c:pt idx="188">
                  <c:v>0.752</c:v>
                </c:pt>
                <c:pt idx="189">
                  <c:v>0.75600000000000001</c:v>
                </c:pt>
                <c:pt idx="190">
                  <c:v>0.76</c:v>
                </c:pt>
                <c:pt idx="191">
                  <c:v>0.76400000000000001</c:v>
                </c:pt>
                <c:pt idx="192">
                  <c:v>0.76800000000000002</c:v>
                </c:pt>
                <c:pt idx="193">
                  <c:v>0.77200000000000002</c:v>
                </c:pt>
                <c:pt idx="194">
                  <c:v>0.77600000000000002</c:v>
                </c:pt>
                <c:pt idx="195">
                  <c:v>0.78</c:v>
                </c:pt>
                <c:pt idx="196">
                  <c:v>0.78400000000000003</c:v>
                </c:pt>
                <c:pt idx="197">
                  <c:v>0.78800000000000003</c:v>
                </c:pt>
                <c:pt idx="198">
                  <c:v>0.79200000000000004</c:v>
                </c:pt>
                <c:pt idx="199">
                  <c:v>0.79600000000000004</c:v>
                </c:pt>
                <c:pt idx="200">
                  <c:v>0.8</c:v>
                </c:pt>
                <c:pt idx="201">
                  <c:v>0.80400000000000005</c:v>
                </c:pt>
                <c:pt idx="202">
                  <c:v>0.80800000000000005</c:v>
                </c:pt>
                <c:pt idx="203">
                  <c:v>0.81200000000000006</c:v>
                </c:pt>
                <c:pt idx="204">
                  <c:v>0.81600000000000006</c:v>
                </c:pt>
                <c:pt idx="205">
                  <c:v>0.82000000000000006</c:v>
                </c:pt>
                <c:pt idx="206">
                  <c:v>0.82400000000000007</c:v>
                </c:pt>
                <c:pt idx="207">
                  <c:v>0.82800000000000007</c:v>
                </c:pt>
                <c:pt idx="208">
                  <c:v>0.83200000000000007</c:v>
                </c:pt>
                <c:pt idx="209">
                  <c:v>0.83599999999999997</c:v>
                </c:pt>
                <c:pt idx="210">
                  <c:v>0.84</c:v>
                </c:pt>
                <c:pt idx="211">
                  <c:v>0.84399999999999997</c:v>
                </c:pt>
                <c:pt idx="212">
                  <c:v>0.84799999999999998</c:v>
                </c:pt>
                <c:pt idx="213">
                  <c:v>0.85199999999999998</c:v>
                </c:pt>
                <c:pt idx="214">
                  <c:v>0.85599999999999998</c:v>
                </c:pt>
                <c:pt idx="215">
                  <c:v>0.86</c:v>
                </c:pt>
                <c:pt idx="216">
                  <c:v>0.86399999999999999</c:v>
                </c:pt>
                <c:pt idx="217">
                  <c:v>0.86799999999999999</c:v>
                </c:pt>
                <c:pt idx="218">
                  <c:v>0.872</c:v>
                </c:pt>
                <c:pt idx="219">
                  <c:v>0.876</c:v>
                </c:pt>
                <c:pt idx="220">
                  <c:v>0.88</c:v>
                </c:pt>
                <c:pt idx="221">
                  <c:v>0.88400000000000001</c:v>
                </c:pt>
                <c:pt idx="222">
                  <c:v>0.88800000000000001</c:v>
                </c:pt>
                <c:pt idx="223">
                  <c:v>0.89200000000000002</c:v>
                </c:pt>
                <c:pt idx="224">
                  <c:v>0.89600000000000002</c:v>
                </c:pt>
                <c:pt idx="225">
                  <c:v>0.9</c:v>
                </c:pt>
                <c:pt idx="226">
                  <c:v>0.90400000000000003</c:v>
                </c:pt>
                <c:pt idx="227">
                  <c:v>0.90800000000000003</c:v>
                </c:pt>
                <c:pt idx="228">
                  <c:v>0.91200000000000003</c:v>
                </c:pt>
                <c:pt idx="229">
                  <c:v>0.91600000000000004</c:v>
                </c:pt>
                <c:pt idx="230">
                  <c:v>0.92</c:v>
                </c:pt>
                <c:pt idx="231">
                  <c:v>0.92400000000000004</c:v>
                </c:pt>
                <c:pt idx="232">
                  <c:v>0.92800000000000005</c:v>
                </c:pt>
                <c:pt idx="233">
                  <c:v>0.93200000000000005</c:v>
                </c:pt>
                <c:pt idx="234">
                  <c:v>0.93600000000000005</c:v>
                </c:pt>
                <c:pt idx="235">
                  <c:v>0.94000000000000006</c:v>
                </c:pt>
                <c:pt idx="236">
                  <c:v>0.94400000000000006</c:v>
                </c:pt>
                <c:pt idx="237">
                  <c:v>0.94800000000000006</c:v>
                </c:pt>
                <c:pt idx="238">
                  <c:v>0.95200000000000007</c:v>
                </c:pt>
                <c:pt idx="239">
                  <c:v>0.95600000000000007</c:v>
                </c:pt>
                <c:pt idx="240">
                  <c:v>0.96</c:v>
                </c:pt>
                <c:pt idx="241">
                  <c:v>0.96399999999999997</c:v>
                </c:pt>
                <c:pt idx="242">
                  <c:v>0.96799999999999997</c:v>
                </c:pt>
                <c:pt idx="243">
                  <c:v>0.97199999999999998</c:v>
                </c:pt>
                <c:pt idx="244">
                  <c:v>0.97599999999999998</c:v>
                </c:pt>
                <c:pt idx="245">
                  <c:v>0.98</c:v>
                </c:pt>
                <c:pt idx="246">
                  <c:v>0.98399999999999999</c:v>
                </c:pt>
                <c:pt idx="247">
                  <c:v>0.98799999999999999</c:v>
                </c:pt>
                <c:pt idx="248">
                  <c:v>0.99199999999999999</c:v>
                </c:pt>
                <c:pt idx="249">
                  <c:v>0.996</c:v>
                </c:pt>
                <c:pt idx="250">
                  <c:v>1</c:v>
                </c:pt>
                <c:pt idx="251">
                  <c:v>1.004</c:v>
                </c:pt>
                <c:pt idx="252">
                  <c:v>1.008</c:v>
                </c:pt>
                <c:pt idx="253">
                  <c:v>1.012</c:v>
                </c:pt>
                <c:pt idx="254">
                  <c:v>1.016</c:v>
                </c:pt>
                <c:pt idx="255">
                  <c:v>1.02</c:v>
                </c:pt>
                <c:pt idx="256">
                  <c:v>1.024</c:v>
                </c:pt>
                <c:pt idx="257">
                  <c:v>1.028</c:v>
                </c:pt>
                <c:pt idx="258">
                  <c:v>1.032</c:v>
                </c:pt>
                <c:pt idx="259">
                  <c:v>1.036</c:v>
                </c:pt>
                <c:pt idx="260">
                  <c:v>1.04</c:v>
                </c:pt>
                <c:pt idx="261">
                  <c:v>1.044</c:v>
                </c:pt>
                <c:pt idx="262">
                  <c:v>1.048</c:v>
                </c:pt>
                <c:pt idx="263">
                  <c:v>1.052</c:v>
                </c:pt>
                <c:pt idx="264">
                  <c:v>1.056</c:v>
                </c:pt>
                <c:pt idx="265">
                  <c:v>1.06</c:v>
                </c:pt>
                <c:pt idx="266">
                  <c:v>1.0640000000000001</c:v>
                </c:pt>
                <c:pt idx="267">
                  <c:v>1.0680000000000001</c:v>
                </c:pt>
                <c:pt idx="268">
                  <c:v>1.0720000000000001</c:v>
                </c:pt>
                <c:pt idx="269">
                  <c:v>1.0760000000000001</c:v>
                </c:pt>
                <c:pt idx="270">
                  <c:v>1.08</c:v>
                </c:pt>
                <c:pt idx="271">
                  <c:v>1.0840000000000001</c:v>
                </c:pt>
                <c:pt idx="272">
                  <c:v>1.0880000000000001</c:v>
                </c:pt>
                <c:pt idx="273">
                  <c:v>1.0920000000000001</c:v>
                </c:pt>
                <c:pt idx="274">
                  <c:v>1.0960000000000001</c:v>
                </c:pt>
                <c:pt idx="275">
                  <c:v>1.1000000000000001</c:v>
                </c:pt>
                <c:pt idx="276">
                  <c:v>1.1040000000000001</c:v>
                </c:pt>
                <c:pt idx="277">
                  <c:v>1.1080000000000001</c:v>
                </c:pt>
                <c:pt idx="278">
                  <c:v>1.1120000000000001</c:v>
                </c:pt>
                <c:pt idx="279">
                  <c:v>1.1160000000000001</c:v>
                </c:pt>
                <c:pt idx="280">
                  <c:v>1.1200000000000001</c:v>
                </c:pt>
                <c:pt idx="281">
                  <c:v>1.1240000000000001</c:v>
                </c:pt>
                <c:pt idx="282">
                  <c:v>1.1280000000000001</c:v>
                </c:pt>
                <c:pt idx="283">
                  <c:v>1.1320000000000001</c:v>
                </c:pt>
                <c:pt idx="284">
                  <c:v>1.1360000000000001</c:v>
                </c:pt>
                <c:pt idx="285">
                  <c:v>1.1400000000000001</c:v>
                </c:pt>
                <c:pt idx="286">
                  <c:v>1.1440000000000001</c:v>
                </c:pt>
                <c:pt idx="287">
                  <c:v>1.1480000000000001</c:v>
                </c:pt>
                <c:pt idx="288">
                  <c:v>1.1520000000000001</c:v>
                </c:pt>
                <c:pt idx="289">
                  <c:v>1.1559999999999999</c:v>
                </c:pt>
                <c:pt idx="290">
                  <c:v>1.1599999999999999</c:v>
                </c:pt>
                <c:pt idx="291">
                  <c:v>1.1639999999999999</c:v>
                </c:pt>
                <c:pt idx="292">
                  <c:v>1.1679999999999999</c:v>
                </c:pt>
                <c:pt idx="293">
                  <c:v>1.1719999999999999</c:v>
                </c:pt>
                <c:pt idx="294">
                  <c:v>1.1759999999999999</c:v>
                </c:pt>
                <c:pt idx="295">
                  <c:v>1.18</c:v>
                </c:pt>
                <c:pt idx="296">
                  <c:v>1.1839999999999999</c:v>
                </c:pt>
                <c:pt idx="297">
                  <c:v>1.1879999999999999</c:v>
                </c:pt>
                <c:pt idx="298">
                  <c:v>1.1919999999999999</c:v>
                </c:pt>
                <c:pt idx="299">
                  <c:v>1.196</c:v>
                </c:pt>
                <c:pt idx="300">
                  <c:v>1.2</c:v>
                </c:pt>
                <c:pt idx="301">
                  <c:v>1.204</c:v>
                </c:pt>
                <c:pt idx="302">
                  <c:v>1.208</c:v>
                </c:pt>
                <c:pt idx="303">
                  <c:v>1.212</c:v>
                </c:pt>
                <c:pt idx="304">
                  <c:v>1.216</c:v>
                </c:pt>
                <c:pt idx="305">
                  <c:v>1.22</c:v>
                </c:pt>
                <c:pt idx="306">
                  <c:v>1.224</c:v>
                </c:pt>
                <c:pt idx="307">
                  <c:v>1.228</c:v>
                </c:pt>
                <c:pt idx="308">
                  <c:v>1.232</c:v>
                </c:pt>
                <c:pt idx="309">
                  <c:v>1.236</c:v>
                </c:pt>
                <c:pt idx="310">
                  <c:v>1.24</c:v>
                </c:pt>
                <c:pt idx="311">
                  <c:v>1.244</c:v>
                </c:pt>
                <c:pt idx="312">
                  <c:v>1.248</c:v>
                </c:pt>
                <c:pt idx="313">
                  <c:v>1.252</c:v>
                </c:pt>
                <c:pt idx="314">
                  <c:v>1.256</c:v>
                </c:pt>
                <c:pt idx="315">
                  <c:v>1.26</c:v>
                </c:pt>
                <c:pt idx="316">
                  <c:v>1.264</c:v>
                </c:pt>
                <c:pt idx="317">
                  <c:v>1.268</c:v>
                </c:pt>
                <c:pt idx="318">
                  <c:v>1.272</c:v>
                </c:pt>
                <c:pt idx="319">
                  <c:v>1.276</c:v>
                </c:pt>
                <c:pt idx="320">
                  <c:v>1.28</c:v>
                </c:pt>
                <c:pt idx="321">
                  <c:v>1.284</c:v>
                </c:pt>
                <c:pt idx="322">
                  <c:v>1.288</c:v>
                </c:pt>
                <c:pt idx="323">
                  <c:v>1.292</c:v>
                </c:pt>
                <c:pt idx="324">
                  <c:v>1.296</c:v>
                </c:pt>
                <c:pt idx="325">
                  <c:v>1.3</c:v>
                </c:pt>
                <c:pt idx="326">
                  <c:v>1.304</c:v>
                </c:pt>
                <c:pt idx="327">
                  <c:v>1.3080000000000001</c:v>
                </c:pt>
                <c:pt idx="328">
                  <c:v>1.3120000000000001</c:v>
                </c:pt>
                <c:pt idx="329">
                  <c:v>1.3160000000000001</c:v>
                </c:pt>
                <c:pt idx="330">
                  <c:v>1.32</c:v>
                </c:pt>
                <c:pt idx="331">
                  <c:v>1.3240000000000001</c:v>
                </c:pt>
                <c:pt idx="332">
                  <c:v>1.3280000000000001</c:v>
                </c:pt>
                <c:pt idx="333">
                  <c:v>1.3320000000000001</c:v>
                </c:pt>
                <c:pt idx="334">
                  <c:v>1.3360000000000001</c:v>
                </c:pt>
                <c:pt idx="335">
                  <c:v>1.34</c:v>
                </c:pt>
                <c:pt idx="336">
                  <c:v>1.3440000000000001</c:v>
                </c:pt>
                <c:pt idx="337">
                  <c:v>1.3480000000000001</c:v>
                </c:pt>
                <c:pt idx="338">
                  <c:v>1.3520000000000001</c:v>
                </c:pt>
                <c:pt idx="339">
                  <c:v>1.3560000000000001</c:v>
                </c:pt>
                <c:pt idx="340">
                  <c:v>1.36</c:v>
                </c:pt>
                <c:pt idx="341">
                  <c:v>1.3640000000000001</c:v>
                </c:pt>
                <c:pt idx="342">
                  <c:v>1.3680000000000001</c:v>
                </c:pt>
                <c:pt idx="343">
                  <c:v>1.3720000000000001</c:v>
                </c:pt>
                <c:pt idx="344">
                  <c:v>1.3760000000000001</c:v>
                </c:pt>
                <c:pt idx="345">
                  <c:v>1.3800000000000001</c:v>
                </c:pt>
                <c:pt idx="346">
                  <c:v>1.3840000000000001</c:v>
                </c:pt>
                <c:pt idx="347">
                  <c:v>1.3880000000000001</c:v>
                </c:pt>
                <c:pt idx="348">
                  <c:v>1.3920000000000001</c:v>
                </c:pt>
                <c:pt idx="349">
                  <c:v>1.3960000000000001</c:v>
                </c:pt>
                <c:pt idx="350">
                  <c:v>1.4000000000000001</c:v>
                </c:pt>
                <c:pt idx="351">
                  <c:v>1.4040000000000001</c:v>
                </c:pt>
                <c:pt idx="352">
                  <c:v>1.4079999999999999</c:v>
                </c:pt>
                <c:pt idx="353">
                  <c:v>1.4119999999999999</c:v>
                </c:pt>
                <c:pt idx="354">
                  <c:v>1.4159999999999999</c:v>
                </c:pt>
                <c:pt idx="355">
                  <c:v>1.42</c:v>
                </c:pt>
                <c:pt idx="356">
                  <c:v>1.4239999999999999</c:v>
                </c:pt>
                <c:pt idx="357">
                  <c:v>1.4279999999999999</c:v>
                </c:pt>
                <c:pt idx="358">
                  <c:v>1.4319999999999999</c:v>
                </c:pt>
                <c:pt idx="359">
                  <c:v>1.4359999999999999</c:v>
                </c:pt>
                <c:pt idx="360">
                  <c:v>1.44</c:v>
                </c:pt>
                <c:pt idx="361">
                  <c:v>1.444</c:v>
                </c:pt>
                <c:pt idx="362">
                  <c:v>1.448</c:v>
                </c:pt>
                <c:pt idx="363">
                  <c:v>1.452</c:v>
                </c:pt>
                <c:pt idx="364">
                  <c:v>1.456</c:v>
                </c:pt>
                <c:pt idx="365">
                  <c:v>1.46</c:v>
                </c:pt>
                <c:pt idx="366">
                  <c:v>1.464</c:v>
                </c:pt>
                <c:pt idx="367">
                  <c:v>1.468</c:v>
                </c:pt>
                <c:pt idx="368">
                  <c:v>1.472</c:v>
                </c:pt>
                <c:pt idx="369">
                  <c:v>1.476</c:v>
                </c:pt>
                <c:pt idx="370">
                  <c:v>1.48</c:v>
                </c:pt>
                <c:pt idx="371">
                  <c:v>1.484</c:v>
                </c:pt>
                <c:pt idx="372">
                  <c:v>1.488</c:v>
                </c:pt>
                <c:pt idx="373">
                  <c:v>1.492</c:v>
                </c:pt>
                <c:pt idx="374">
                  <c:v>1.496</c:v>
                </c:pt>
                <c:pt idx="375">
                  <c:v>1.5</c:v>
                </c:pt>
                <c:pt idx="376">
                  <c:v>1.504</c:v>
                </c:pt>
                <c:pt idx="377">
                  <c:v>1.508</c:v>
                </c:pt>
                <c:pt idx="378">
                  <c:v>1.512</c:v>
                </c:pt>
                <c:pt idx="379">
                  <c:v>1.516</c:v>
                </c:pt>
                <c:pt idx="380">
                  <c:v>1.52</c:v>
                </c:pt>
                <c:pt idx="381">
                  <c:v>1.524</c:v>
                </c:pt>
                <c:pt idx="382">
                  <c:v>1.528</c:v>
                </c:pt>
                <c:pt idx="383">
                  <c:v>1.532</c:v>
                </c:pt>
                <c:pt idx="384">
                  <c:v>1.536</c:v>
                </c:pt>
                <c:pt idx="385">
                  <c:v>1.54</c:v>
                </c:pt>
                <c:pt idx="386">
                  <c:v>1.544</c:v>
                </c:pt>
                <c:pt idx="387">
                  <c:v>1.548</c:v>
                </c:pt>
                <c:pt idx="388">
                  <c:v>1.552</c:v>
                </c:pt>
                <c:pt idx="389">
                  <c:v>1.556</c:v>
                </c:pt>
                <c:pt idx="390">
                  <c:v>1.56</c:v>
                </c:pt>
                <c:pt idx="391">
                  <c:v>1.5640000000000001</c:v>
                </c:pt>
                <c:pt idx="392">
                  <c:v>1.5680000000000001</c:v>
                </c:pt>
                <c:pt idx="393">
                  <c:v>1.5720000000000001</c:v>
                </c:pt>
                <c:pt idx="394">
                  <c:v>1.5760000000000001</c:v>
                </c:pt>
                <c:pt idx="395">
                  <c:v>1.58</c:v>
                </c:pt>
                <c:pt idx="396">
                  <c:v>1.5840000000000001</c:v>
                </c:pt>
                <c:pt idx="397">
                  <c:v>1.5880000000000001</c:v>
                </c:pt>
                <c:pt idx="398">
                  <c:v>1.5920000000000001</c:v>
                </c:pt>
                <c:pt idx="399">
                  <c:v>1.5960000000000001</c:v>
                </c:pt>
                <c:pt idx="400">
                  <c:v>1.6</c:v>
                </c:pt>
                <c:pt idx="401">
                  <c:v>1.6040000000000001</c:v>
                </c:pt>
                <c:pt idx="402">
                  <c:v>1.6080000000000001</c:v>
                </c:pt>
                <c:pt idx="403">
                  <c:v>1.6120000000000001</c:v>
                </c:pt>
                <c:pt idx="404">
                  <c:v>1.6160000000000001</c:v>
                </c:pt>
                <c:pt idx="405">
                  <c:v>1.62</c:v>
                </c:pt>
                <c:pt idx="406">
                  <c:v>1.6240000000000001</c:v>
                </c:pt>
                <c:pt idx="407">
                  <c:v>1.6280000000000001</c:v>
                </c:pt>
                <c:pt idx="408">
                  <c:v>1.6320000000000001</c:v>
                </c:pt>
                <c:pt idx="409">
                  <c:v>1.6360000000000001</c:v>
                </c:pt>
                <c:pt idx="410">
                  <c:v>1.6400000000000001</c:v>
                </c:pt>
                <c:pt idx="411">
                  <c:v>1.6440000000000001</c:v>
                </c:pt>
                <c:pt idx="412">
                  <c:v>1.6480000000000001</c:v>
                </c:pt>
                <c:pt idx="413">
                  <c:v>1.6520000000000001</c:v>
                </c:pt>
                <c:pt idx="414">
                  <c:v>1.6560000000000001</c:v>
                </c:pt>
                <c:pt idx="415">
                  <c:v>1.6600000000000001</c:v>
                </c:pt>
                <c:pt idx="416">
                  <c:v>1.6640000000000001</c:v>
                </c:pt>
                <c:pt idx="417">
                  <c:v>1.6679999999999999</c:v>
                </c:pt>
                <c:pt idx="418">
                  <c:v>1.6719999999999999</c:v>
                </c:pt>
                <c:pt idx="419">
                  <c:v>1.6759999999999999</c:v>
                </c:pt>
                <c:pt idx="420">
                  <c:v>1.68</c:v>
                </c:pt>
                <c:pt idx="421">
                  <c:v>1.6839999999999999</c:v>
                </c:pt>
                <c:pt idx="422">
                  <c:v>1.6879999999999999</c:v>
                </c:pt>
                <c:pt idx="423">
                  <c:v>1.6919999999999999</c:v>
                </c:pt>
                <c:pt idx="424">
                  <c:v>1.696</c:v>
                </c:pt>
                <c:pt idx="425">
                  <c:v>1.7</c:v>
                </c:pt>
                <c:pt idx="426">
                  <c:v>1.704</c:v>
                </c:pt>
                <c:pt idx="427">
                  <c:v>1.708</c:v>
                </c:pt>
                <c:pt idx="428">
                  <c:v>1.712</c:v>
                </c:pt>
                <c:pt idx="429">
                  <c:v>1.716</c:v>
                </c:pt>
                <c:pt idx="430">
                  <c:v>1.72</c:v>
                </c:pt>
                <c:pt idx="431">
                  <c:v>1.724</c:v>
                </c:pt>
                <c:pt idx="432">
                  <c:v>1.728</c:v>
                </c:pt>
                <c:pt idx="433">
                  <c:v>1.732</c:v>
                </c:pt>
                <c:pt idx="434">
                  <c:v>1.736</c:v>
                </c:pt>
                <c:pt idx="435">
                  <c:v>1.74</c:v>
                </c:pt>
                <c:pt idx="436">
                  <c:v>1.744</c:v>
                </c:pt>
                <c:pt idx="437">
                  <c:v>1.748</c:v>
                </c:pt>
                <c:pt idx="438">
                  <c:v>1.752</c:v>
                </c:pt>
                <c:pt idx="439">
                  <c:v>1.756</c:v>
                </c:pt>
                <c:pt idx="440">
                  <c:v>1.76</c:v>
                </c:pt>
                <c:pt idx="441">
                  <c:v>1.764</c:v>
                </c:pt>
                <c:pt idx="442">
                  <c:v>1.768</c:v>
                </c:pt>
                <c:pt idx="443">
                  <c:v>1.772</c:v>
                </c:pt>
                <c:pt idx="444">
                  <c:v>1.776</c:v>
                </c:pt>
                <c:pt idx="445">
                  <c:v>1.78</c:v>
                </c:pt>
                <c:pt idx="446">
                  <c:v>1.784</c:v>
                </c:pt>
                <c:pt idx="447">
                  <c:v>1.788</c:v>
                </c:pt>
                <c:pt idx="448">
                  <c:v>1.792</c:v>
                </c:pt>
                <c:pt idx="449">
                  <c:v>1.796</c:v>
                </c:pt>
                <c:pt idx="450">
                  <c:v>1.8</c:v>
                </c:pt>
                <c:pt idx="451">
                  <c:v>1.804</c:v>
                </c:pt>
                <c:pt idx="452">
                  <c:v>1.8080000000000001</c:v>
                </c:pt>
                <c:pt idx="453">
                  <c:v>1.8120000000000001</c:v>
                </c:pt>
                <c:pt idx="454">
                  <c:v>1.8160000000000001</c:v>
                </c:pt>
                <c:pt idx="455">
                  <c:v>1.82</c:v>
                </c:pt>
                <c:pt idx="456">
                  <c:v>1.8240000000000001</c:v>
                </c:pt>
                <c:pt idx="457">
                  <c:v>1.8280000000000001</c:v>
                </c:pt>
                <c:pt idx="458">
                  <c:v>1.8320000000000001</c:v>
                </c:pt>
                <c:pt idx="459">
                  <c:v>1.8360000000000001</c:v>
                </c:pt>
                <c:pt idx="460">
                  <c:v>1.84</c:v>
                </c:pt>
                <c:pt idx="461">
                  <c:v>1.8440000000000001</c:v>
                </c:pt>
                <c:pt idx="462">
                  <c:v>1.8480000000000001</c:v>
                </c:pt>
                <c:pt idx="463">
                  <c:v>1.8520000000000001</c:v>
                </c:pt>
                <c:pt idx="464">
                  <c:v>1.8560000000000001</c:v>
                </c:pt>
                <c:pt idx="465">
                  <c:v>1.86</c:v>
                </c:pt>
                <c:pt idx="466">
                  <c:v>1.8640000000000001</c:v>
                </c:pt>
                <c:pt idx="467">
                  <c:v>1.8680000000000001</c:v>
                </c:pt>
                <c:pt idx="468">
                  <c:v>1.8720000000000001</c:v>
                </c:pt>
                <c:pt idx="469">
                  <c:v>1.8760000000000001</c:v>
                </c:pt>
                <c:pt idx="470">
                  <c:v>1.8800000000000001</c:v>
                </c:pt>
                <c:pt idx="471">
                  <c:v>1.8840000000000001</c:v>
                </c:pt>
                <c:pt idx="472">
                  <c:v>1.8880000000000001</c:v>
                </c:pt>
                <c:pt idx="473">
                  <c:v>1.8920000000000001</c:v>
                </c:pt>
                <c:pt idx="474">
                  <c:v>1.8960000000000001</c:v>
                </c:pt>
                <c:pt idx="475">
                  <c:v>1.9000000000000001</c:v>
                </c:pt>
                <c:pt idx="476">
                  <c:v>1.9040000000000001</c:v>
                </c:pt>
                <c:pt idx="477">
                  <c:v>1.9080000000000001</c:v>
                </c:pt>
                <c:pt idx="478">
                  <c:v>1.9120000000000001</c:v>
                </c:pt>
                <c:pt idx="479">
                  <c:v>1.9160000000000001</c:v>
                </c:pt>
                <c:pt idx="480">
                  <c:v>1.92</c:v>
                </c:pt>
                <c:pt idx="481">
                  <c:v>1.9239999999999999</c:v>
                </c:pt>
                <c:pt idx="482">
                  <c:v>1.9279999999999999</c:v>
                </c:pt>
                <c:pt idx="483">
                  <c:v>1.9319999999999999</c:v>
                </c:pt>
                <c:pt idx="484">
                  <c:v>1.9359999999999999</c:v>
                </c:pt>
                <c:pt idx="485">
                  <c:v>1.94</c:v>
                </c:pt>
                <c:pt idx="486">
                  <c:v>1.944</c:v>
                </c:pt>
                <c:pt idx="487">
                  <c:v>1.948</c:v>
                </c:pt>
                <c:pt idx="488">
                  <c:v>1.952</c:v>
                </c:pt>
                <c:pt idx="489">
                  <c:v>1.956</c:v>
                </c:pt>
                <c:pt idx="490">
                  <c:v>1.96</c:v>
                </c:pt>
                <c:pt idx="491">
                  <c:v>1.964</c:v>
                </c:pt>
                <c:pt idx="492">
                  <c:v>1.968</c:v>
                </c:pt>
                <c:pt idx="493">
                  <c:v>1.972</c:v>
                </c:pt>
                <c:pt idx="494">
                  <c:v>1.976</c:v>
                </c:pt>
                <c:pt idx="495">
                  <c:v>1.98</c:v>
                </c:pt>
                <c:pt idx="496">
                  <c:v>1.984</c:v>
                </c:pt>
                <c:pt idx="497">
                  <c:v>1.988</c:v>
                </c:pt>
                <c:pt idx="498">
                  <c:v>1.992</c:v>
                </c:pt>
                <c:pt idx="499">
                  <c:v>1.996</c:v>
                </c:pt>
                <c:pt idx="500">
                  <c:v>2</c:v>
                </c:pt>
              </c:numCache>
            </c:numRef>
          </c:xVal>
          <c:yVal>
            <c:numRef>
              <c:f>'Vasicek (Q9)'!$F$86:$F$586</c:f>
              <c:numCache>
                <c:formatCode>0.00000</c:formatCode>
                <c:ptCount val="501"/>
                <c:pt idx="0">
                  <c:v>1</c:v>
                </c:pt>
                <c:pt idx="1">
                  <c:v>0.99997533430629626</c:v>
                </c:pt>
                <c:pt idx="2">
                  <c:v>0.9999513740921907</c:v>
                </c:pt>
                <c:pt idx="3">
                  <c:v>0.99992654582758989</c:v>
                </c:pt>
                <c:pt idx="4">
                  <c:v>0.99990077754612572</c:v>
                </c:pt>
                <c:pt idx="5">
                  <c:v>0.99987455965487526</c:v>
                </c:pt>
                <c:pt idx="6">
                  <c:v>0.99984894224003706</c:v>
                </c:pt>
                <c:pt idx="7">
                  <c:v>0.99982190152379213</c:v>
                </c:pt>
                <c:pt idx="8">
                  <c:v>0.99979220718814188</c:v>
                </c:pt>
                <c:pt idx="9">
                  <c:v>0.99975976517706622</c:v>
                </c:pt>
                <c:pt idx="10">
                  <c:v>0.99972893146313291</c:v>
                </c:pt>
                <c:pt idx="11">
                  <c:v>0.99970089351471192</c:v>
                </c:pt>
                <c:pt idx="12">
                  <c:v>0.99967179328621503</c:v>
                </c:pt>
                <c:pt idx="13">
                  <c:v>0.9996405881615571</c:v>
                </c:pt>
                <c:pt idx="14">
                  <c:v>0.99960690405159958</c:v>
                </c:pt>
                <c:pt idx="15">
                  <c:v>0.99957250199000003</c:v>
                </c:pt>
                <c:pt idx="16">
                  <c:v>0.99953961003355607</c:v>
                </c:pt>
                <c:pt idx="17">
                  <c:v>0.9995046855507872</c:v>
                </c:pt>
                <c:pt idx="18">
                  <c:v>0.99946521744579131</c:v>
                </c:pt>
                <c:pt idx="19">
                  <c:v>0.99942369064381176</c:v>
                </c:pt>
                <c:pt idx="20">
                  <c:v>0.99938030095356556</c:v>
                </c:pt>
                <c:pt idx="21">
                  <c:v>0.999333950379659</c:v>
                </c:pt>
                <c:pt idx="22">
                  <c:v>0.99928581436309127</c:v>
                </c:pt>
                <c:pt idx="23">
                  <c:v>0.99923817504445955</c:v>
                </c:pt>
                <c:pt idx="24">
                  <c:v>0.99919261977348972</c:v>
                </c:pt>
                <c:pt idx="25">
                  <c:v>0.99914909150542452</c:v>
                </c:pt>
                <c:pt idx="26">
                  <c:v>0.99910565970316856</c:v>
                </c:pt>
                <c:pt idx="27">
                  <c:v>0.99906134290526172</c:v>
                </c:pt>
                <c:pt idx="28">
                  <c:v>0.99901404332505983</c:v>
                </c:pt>
                <c:pt idx="29">
                  <c:v>0.99896368246850498</c:v>
                </c:pt>
                <c:pt idx="30">
                  <c:v>0.99891375786122816</c:v>
                </c:pt>
                <c:pt idx="31">
                  <c:v>0.99886648958542179</c:v>
                </c:pt>
                <c:pt idx="32">
                  <c:v>0.99882128197784925</c:v>
                </c:pt>
                <c:pt idx="33">
                  <c:v>0.99877693664769107</c:v>
                </c:pt>
                <c:pt idx="34">
                  <c:v>0.99873405384891112</c:v>
                </c:pt>
                <c:pt idx="35">
                  <c:v>0.99869175041296177</c:v>
                </c:pt>
                <c:pt idx="36">
                  <c:v>0.99864795810569418</c:v>
                </c:pt>
                <c:pt idx="37">
                  <c:v>0.99860202196387016</c:v>
                </c:pt>
                <c:pt idx="38">
                  <c:v>0.99855571729342218</c:v>
                </c:pt>
                <c:pt idx="39">
                  <c:v>0.99851143033022727</c:v>
                </c:pt>
                <c:pt idx="40">
                  <c:v>0.99846703749316723</c:v>
                </c:pt>
                <c:pt idx="41">
                  <c:v>0.99841928370023159</c:v>
                </c:pt>
                <c:pt idx="42">
                  <c:v>0.99836916808436482</c:v>
                </c:pt>
                <c:pt idx="43">
                  <c:v>0.99831678390074796</c:v>
                </c:pt>
                <c:pt idx="44">
                  <c:v>0.99826099445625094</c:v>
                </c:pt>
                <c:pt idx="45">
                  <c:v>0.99820541634115678</c:v>
                </c:pt>
                <c:pt idx="46">
                  <c:v>0.99815202144174431</c:v>
                </c:pt>
                <c:pt idx="47">
                  <c:v>0.99809630519795978</c:v>
                </c:pt>
                <c:pt idx="48">
                  <c:v>0.99803827872163919</c:v>
                </c:pt>
                <c:pt idx="49">
                  <c:v>0.99798205771271387</c:v>
                </c:pt>
                <c:pt idx="50">
                  <c:v>0.99793006617226832</c:v>
                </c:pt>
                <c:pt idx="51">
                  <c:v>0.99788136920434833</c:v>
                </c:pt>
                <c:pt idx="52">
                  <c:v>0.9978330502706686</c:v>
                </c:pt>
                <c:pt idx="53">
                  <c:v>0.99778328616663914</c:v>
                </c:pt>
                <c:pt idx="54">
                  <c:v>0.99773370541754625</c:v>
                </c:pt>
                <c:pt idx="55">
                  <c:v>0.99768458924028791</c:v>
                </c:pt>
                <c:pt idx="56">
                  <c:v>0.99763437107430142</c:v>
                </c:pt>
                <c:pt idx="57">
                  <c:v>0.99758453505018263</c:v>
                </c:pt>
                <c:pt idx="58">
                  <c:v>0.99753709398139701</c:v>
                </c:pt>
                <c:pt idx="59">
                  <c:v>0.99749206883101205</c:v>
                </c:pt>
                <c:pt idx="60">
                  <c:v>0.99744810238701942</c:v>
                </c:pt>
                <c:pt idx="61">
                  <c:v>0.99740560958749125</c:v>
                </c:pt>
                <c:pt idx="62">
                  <c:v>0.99736363989595711</c:v>
                </c:pt>
                <c:pt idx="63">
                  <c:v>0.99732361944943915</c:v>
                </c:pt>
                <c:pt idx="64">
                  <c:v>0.99728727001158579</c:v>
                </c:pt>
                <c:pt idx="65">
                  <c:v>0.99725372573531479</c:v>
                </c:pt>
                <c:pt idx="66">
                  <c:v>0.99722135028818504</c:v>
                </c:pt>
                <c:pt idx="67">
                  <c:v>0.99718855362543357</c:v>
                </c:pt>
                <c:pt idx="68">
                  <c:v>0.99715659272582102</c:v>
                </c:pt>
                <c:pt idx="69">
                  <c:v>0.99712460183217499</c:v>
                </c:pt>
                <c:pt idx="70">
                  <c:v>0.99709104573682594</c:v>
                </c:pt>
                <c:pt idx="71">
                  <c:v>0.99705607398366114</c:v>
                </c:pt>
                <c:pt idx="72">
                  <c:v>0.99702114066048642</c:v>
                </c:pt>
                <c:pt idx="73">
                  <c:v>0.99698883454478182</c:v>
                </c:pt>
                <c:pt idx="74">
                  <c:v>0.99695778532119683</c:v>
                </c:pt>
                <c:pt idx="75">
                  <c:v>0.99692900999849898</c:v>
                </c:pt>
                <c:pt idx="76">
                  <c:v>0.99690382790238385</c:v>
                </c:pt>
                <c:pt idx="77">
                  <c:v>0.99687764061824435</c:v>
                </c:pt>
                <c:pt idx="78">
                  <c:v>0.99685104739737584</c:v>
                </c:pt>
                <c:pt idx="79">
                  <c:v>0.99682549204243864</c:v>
                </c:pt>
                <c:pt idx="80">
                  <c:v>0.99679695141948932</c:v>
                </c:pt>
                <c:pt idx="81">
                  <c:v>0.99676623770143757</c:v>
                </c:pt>
                <c:pt idx="82">
                  <c:v>0.99673588888363851</c:v>
                </c:pt>
                <c:pt idx="83">
                  <c:v>0.99670788342586958</c:v>
                </c:pt>
                <c:pt idx="84">
                  <c:v>0.99668378752309716</c:v>
                </c:pt>
                <c:pt idx="85">
                  <c:v>0.99666263964069624</c:v>
                </c:pt>
                <c:pt idx="86">
                  <c:v>0.99664415768600656</c:v>
                </c:pt>
                <c:pt idx="87">
                  <c:v>0.99662489313701363</c:v>
                </c:pt>
                <c:pt idx="88">
                  <c:v>0.99660479954898096</c:v>
                </c:pt>
                <c:pt idx="89">
                  <c:v>0.99658321339668166</c:v>
                </c:pt>
                <c:pt idx="90">
                  <c:v>0.99655989154407543</c:v>
                </c:pt>
                <c:pt idx="91">
                  <c:v>0.99653789439089191</c:v>
                </c:pt>
                <c:pt idx="92">
                  <c:v>0.99651585444473256</c:v>
                </c:pt>
                <c:pt idx="93">
                  <c:v>0.99649408442154097</c:v>
                </c:pt>
                <c:pt idx="94">
                  <c:v>0.99647309695389052</c:v>
                </c:pt>
                <c:pt idx="95">
                  <c:v>0.99645176737006647</c:v>
                </c:pt>
                <c:pt idx="96">
                  <c:v>0.99643047463780154</c:v>
                </c:pt>
                <c:pt idx="97">
                  <c:v>0.99640988038134104</c:v>
                </c:pt>
                <c:pt idx="98">
                  <c:v>0.99638920107798323</c:v>
                </c:pt>
                <c:pt idx="99">
                  <c:v>0.99636697618781611</c:v>
                </c:pt>
                <c:pt idx="100">
                  <c:v>0.99634304670242435</c:v>
                </c:pt>
                <c:pt idx="101">
                  <c:v>0.99631892109697551</c:v>
                </c:pt>
                <c:pt idx="102">
                  <c:v>0.99629437869597048</c:v>
                </c:pt>
                <c:pt idx="103">
                  <c:v>0.99626799459366622</c:v>
                </c:pt>
                <c:pt idx="104">
                  <c:v>0.99623988219035564</c:v>
                </c:pt>
                <c:pt idx="105">
                  <c:v>0.99621126295345741</c:v>
                </c:pt>
                <c:pt idx="106">
                  <c:v>0.99618266891524698</c:v>
                </c:pt>
                <c:pt idx="107">
                  <c:v>0.99615430490353185</c:v>
                </c:pt>
                <c:pt idx="108">
                  <c:v>0.99612578644920313</c:v>
                </c:pt>
                <c:pt idx="109">
                  <c:v>0.99609396051596688</c:v>
                </c:pt>
                <c:pt idx="110">
                  <c:v>0.99605928767940843</c:v>
                </c:pt>
                <c:pt idx="111">
                  <c:v>0.99602517269211377</c:v>
                </c:pt>
                <c:pt idx="112">
                  <c:v>0.99599034570996958</c:v>
                </c:pt>
                <c:pt idx="113">
                  <c:v>0.99595406926948749</c:v>
                </c:pt>
                <c:pt idx="114">
                  <c:v>0.99591656835527598</c:v>
                </c:pt>
                <c:pt idx="115">
                  <c:v>0.9958776966335835</c:v>
                </c:pt>
                <c:pt idx="116">
                  <c:v>0.99583811926181909</c:v>
                </c:pt>
                <c:pt idx="117">
                  <c:v>0.99579858831900903</c:v>
                </c:pt>
                <c:pt idx="118">
                  <c:v>0.99575913373570279</c:v>
                </c:pt>
                <c:pt idx="119">
                  <c:v>0.99571989286111773</c:v>
                </c:pt>
                <c:pt idx="120">
                  <c:v>0.99568107275240525</c:v>
                </c:pt>
                <c:pt idx="121">
                  <c:v>0.99564289146884177</c:v>
                </c:pt>
                <c:pt idx="122">
                  <c:v>0.9956053100760559</c:v>
                </c:pt>
                <c:pt idx="123">
                  <c:v>0.99556723458913288</c:v>
                </c:pt>
                <c:pt idx="124">
                  <c:v>0.99552893640364049</c:v>
                </c:pt>
                <c:pt idx="125">
                  <c:v>0.99548817528389733</c:v>
                </c:pt>
                <c:pt idx="126">
                  <c:v>0.99544675297782115</c:v>
                </c:pt>
                <c:pt idx="127">
                  <c:v>0.99540739106758014</c:v>
                </c:pt>
                <c:pt idx="128">
                  <c:v>0.99536895043775597</c:v>
                </c:pt>
                <c:pt idx="129">
                  <c:v>0.99533042908622282</c:v>
                </c:pt>
                <c:pt idx="130">
                  <c:v>0.99529106006070922</c:v>
                </c:pt>
                <c:pt idx="131">
                  <c:v>0.99525007419160683</c:v>
                </c:pt>
                <c:pt idx="132">
                  <c:v>0.99520665926828855</c:v>
                </c:pt>
                <c:pt idx="133">
                  <c:v>0.99516069774586335</c:v>
                </c:pt>
                <c:pt idx="134">
                  <c:v>0.99511311572143879</c:v>
                </c:pt>
                <c:pt idx="135">
                  <c:v>0.99506505359620034</c:v>
                </c:pt>
                <c:pt idx="136">
                  <c:v>0.99501608459870128</c:v>
                </c:pt>
                <c:pt idx="137">
                  <c:v>0.99496840118827756</c:v>
                </c:pt>
                <c:pt idx="138">
                  <c:v>0.99492342954852575</c:v>
                </c:pt>
                <c:pt idx="139">
                  <c:v>0.99487941543597924</c:v>
                </c:pt>
                <c:pt idx="140">
                  <c:v>0.99483684474498923</c:v>
                </c:pt>
                <c:pt idx="141">
                  <c:v>0.99479472889148124</c:v>
                </c:pt>
                <c:pt idx="142">
                  <c:v>0.99474929265618661</c:v>
                </c:pt>
                <c:pt idx="143">
                  <c:v>0.99470325681164962</c:v>
                </c:pt>
                <c:pt idx="144">
                  <c:v>0.99465876639821338</c:v>
                </c:pt>
                <c:pt idx="145">
                  <c:v>0.99461555592330564</c:v>
                </c:pt>
                <c:pt idx="146">
                  <c:v>0.99457452525752355</c:v>
                </c:pt>
                <c:pt idx="147">
                  <c:v>0.9945356516148649</c:v>
                </c:pt>
                <c:pt idx="148">
                  <c:v>0.99449776505960052</c:v>
                </c:pt>
                <c:pt idx="149">
                  <c:v>0.9944580853771382</c:v>
                </c:pt>
                <c:pt idx="150">
                  <c:v>0.99441869839124397</c:v>
                </c:pt>
                <c:pt idx="151">
                  <c:v>0.99437958604926224</c:v>
                </c:pt>
                <c:pt idx="152">
                  <c:v>0.99433912071791453</c:v>
                </c:pt>
                <c:pt idx="153">
                  <c:v>0.99429802672788492</c:v>
                </c:pt>
                <c:pt idx="154">
                  <c:v>0.99425667444169141</c:v>
                </c:pt>
                <c:pt idx="155">
                  <c:v>0.99421614085998511</c:v>
                </c:pt>
                <c:pt idx="156">
                  <c:v>0.99417543767132222</c:v>
                </c:pt>
                <c:pt idx="157">
                  <c:v>0.9941343725624503</c:v>
                </c:pt>
                <c:pt idx="158">
                  <c:v>0.99409427694453245</c:v>
                </c:pt>
                <c:pt idx="159">
                  <c:v>0.99405643595946513</c:v>
                </c:pt>
                <c:pt idx="160">
                  <c:v>0.99401744705611605</c:v>
                </c:pt>
                <c:pt idx="161">
                  <c:v>0.99397672297651063</c:v>
                </c:pt>
                <c:pt idx="162">
                  <c:v>0.99393904046552328</c:v>
                </c:pt>
                <c:pt idx="163">
                  <c:v>0.9939034079922846</c:v>
                </c:pt>
                <c:pt idx="164">
                  <c:v>0.99386801752546949</c:v>
                </c:pt>
                <c:pt idx="165">
                  <c:v>0.99383447040961448</c:v>
                </c:pt>
                <c:pt idx="166">
                  <c:v>0.99380249006155563</c:v>
                </c:pt>
                <c:pt idx="167">
                  <c:v>0.99376980289151939</c:v>
                </c:pt>
                <c:pt idx="168">
                  <c:v>0.99373574427707623</c:v>
                </c:pt>
                <c:pt idx="169">
                  <c:v>0.99369958119807988</c:v>
                </c:pt>
                <c:pt idx="170">
                  <c:v>0.99366171925085134</c:v>
                </c:pt>
                <c:pt idx="171">
                  <c:v>0.9936257891176572</c:v>
                </c:pt>
                <c:pt idx="172">
                  <c:v>0.99359087604936414</c:v>
                </c:pt>
                <c:pt idx="173">
                  <c:v>0.99355438320342138</c:v>
                </c:pt>
                <c:pt idx="174">
                  <c:v>0.99351589456589628</c:v>
                </c:pt>
                <c:pt idx="175">
                  <c:v>0.99347623167200183</c:v>
                </c:pt>
                <c:pt idx="176">
                  <c:v>0.9934351109320434</c:v>
                </c:pt>
                <c:pt idx="177">
                  <c:v>0.99339329300774659</c:v>
                </c:pt>
                <c:pt idx="178">
                  <c:v>0.99335164418534794</c:v>
                </c:pt>
                <c:pt idx="179">
                  <c:v>0.99331140428268971</c:v>
                </c:pt>
                <c:pt idx="180">
                  <c:v>0.99327189168359253</c:v>
                </c:pt>
                <c:pt idx="181">
                  <c:v>0.99322991945638173</c:v>
                </c:pt>
                <c:pt idx="182">
                  <c:v>0.99318952361952095</c:v>
                </c:pt>
                <c:pt idx="183">
                  <c:v>0.99315053549511101</c:v>
                </c:pt>
                <c:pt idx="184">
                  <c:v>0.99311064483403544</c:v>
                </c:pt>
                <c:pt idx="185">
                  <c:v>0.99307056894479762</c:v>
                </c:pt>
                <c:pt idx="186">
                  <c:v>0.99302999380425394</c:v>
                </c:pt>
                <c:pt idx="187">
                  <c:v>0.99298610891407491</c:v>
                </c:pt>
                <c:pt idx="188">
                  <c:v>0.99293823233414913</c:v>
                </c:pt>
                <c:pt idx="189">
                  <c:v>0.99288968382727705</c:v>
                </c:pt>
                <c:pt idx="190">
                  <c:v>0.99284135006710694</c:v>
                </c:pt>
                <c:pt idx="191">
                  <c:v>0.99279257508659069</c:v>
                </c:pt>
                <c:pt idx="192">
                  <c:v>0.99274236589496434</c:v>
                </c:pt>
                <c:pt idx="193">
                  <c:v>0.99269048881928634</c:v>
                </c:pt>
                <c:pt idx="194">
                  <c:v>0.99263753390042198</c:v>
                </c:pt>
                <c:pt idx="195">
                  <c:v>0.99258476935051743</c:v>
                </c:pt>
                <c:pt idx="196">
                  <c:v>0.99253079356440232</c:v>
                </c:pt>
                <c:pt idx="197">
                  <c:v>0.99247532700286734</c:v>
                </c:pt>
                <c:pt idx="198">
                  <c:v>0.99241932544609002</c:v>
                </c:pt>
                <c:pt idx="199">
                  <c:v>0.99236271821085098</c:v>
                </c:pt>
                <c:pt idx="200">
                  <c:v>0.99230714646033547</c:v>
                </c:pt>
                <c:pt idx="201">
                  <c:v>0.99225298852538757</c:v>
                </c:pt>
                <c:pt idx="202">
                  <c:v>0.99219878926649929</c:v>
                </c:pt>
                <c:pt idx="203">
                  <c:v>0.99214464566672711</c:v>
                </c:pt>
                <c:pt idx="204">
                  <c:v>0.99208972737362544</c:v>
                </c:pt>
                <c:pt idx="205">
                  <c:v>0.99203629855030517</c:v>
                </c:pt>
                <c:pt idx="206">
                  <c:v>0.99198502732654181</c:v>
                </c:pt>
                <c:pt idx="207">
                  <c:v>0.99193346076229294</c:v>
                </c:pt>
                <c:pt idx="208">
                  <c:v>0.99188180952080107</c:v>
                </c:pt>
                <c:pt idx="209">
                  <c:v>0.99183022708244128</c:v>
                </c:pt>
                <c:pt idx="210">
                  <c:v>0.99177937749143141</c:v>
                </c:pt>
                <c:pt idx="211">
                  <c:v>0.99172885685548007</c:v>
                </c:pt>
                <c:pt idx="212">
                  <c:v>0.99167963427859462</c:v>
                </c:pt>
                <c:pt idx="213">
                  <c:v>0.99163072439016564</c:v>
                </c:pt>
                <c:pt idx="214">
                  <c:v>0.99158129779394255</c:v>
                </c:pt>
                <c:pt idx="215">
                  <c:v>0.99153095353490728</c:v>
                </c:pt>
                <c:pt idx="216">
                  <c:v>0.99147788292046279</c:v>
                </c:pt>
                <c:pt idx="217">
                  <c:v>0.99142120771817788</c:v>
                </c:pt>
                <c:pt idx="218">
                  <c:v>0.99136097859752004</c:v>
                </c:pt>
                <c:pt idx="219">
                  <c:v>0.99129868067446991</c:v>
                </c:pt>
                <c:pt idx="220">
                  <c:v>0.99123566570762645</c:v>
                </c:pt>
                <c:pt idx="221">
                  <c:v>0.99117395285714494</c:v>
                </c:pt>
                <c:pt idx="222">
                  <c:v>0.99111264412986699</c:v>
                </c:pt>
                <c:pt idx="223">
                  <c:v>0.9910492509521952</c:v>
                </c:pt>
                <c:pt idx="224">
                  <c:v>0.99098435431622967</c:v>
                </c:pt>
                <c:pt idx="225">
                  <c:v>0.99091955893687089</c:v>
                </c:pt>
                <c:pt idx="226">
                  <c:v>0.99085580695709352</c:v>
                </c:pt>
                <c:pt idx="227">
                  <c:v>0.99079350075565653</c:v>
                </c:pt>
                <c:pt idx="228">
                  <c:v>0.99073235645095326</c:v>
                </c:pt>
                <c:pt idx="229">
                  <c:v>0.99067041908430564</c:v>
                </c:pt>
                <c:pt idx="230">
                  <c:v>0.99060785705828314</c:v>
                </c:pt>
                <c:pt idx="231">
                  <c:v>0.99054554014838414</c:v>
                </c:pt>
                <c:pt idx="232">
                  <c:v>0.99048102389338999</c:v>
                </c:pt>
                <c:pt idx="233">
                  <c:v>0.99041446540770794</c:v>
                </c:pt>
                <c:pt idx="234">
                  <c:v>0.99034743741251918</c:v>
                </c:pt>
                <c:pt idx="235">
                  <c:v>0.9902795913825102</c:v>
                </c:pt>
                <c:pt idx="236">
                  <c:v>0.99021166500740687</c:v>
                </c:pt>
                <c:pt idx="237">
                  <c:v>0.99014339734339762</c:v>
                </c:pt>
                <c:pt idx="238">
                  <c:v>0.99007622677997309</c:v>
                </c:pt>
                <c:pt idx="239">
                  <c:v>0.99001064224867941</c:v>
                </c:pt>
                <c:pt idx="240">
                  <c:v>0.98994634594995312</c:v>
                </c:pt>
                <c:pt idx="241">
                  <c:v>0.9898842285596432</c:v>
                </c:pt>
                <c:pt idx="242">
                  <c:v>0.98982294558944839</c:v>
                </c:pt>
                <c:pt idx="243">
                  <c:v>0.9897630285986746</c:v>
                </c:pt>
                <c:pt idx="244">
                  <c:v>0.98970602890031878</c:v>
                </c:pt>
                <c:pt idx="245">
                  <c:v>0.98964930378658156</c:v>
                </c:pt>
                <c:pt idx="246">
                  <c:v>0.98958965947265631</c:v>
                </c:pt>
                <c:pt idx="247">
                  <c:v>0.98952602132404333</c:v>
                </c:pt>
                <c:pt idx="248">
                  <c:v>0.98946076525437199</c:v>
                </c:pt>
                <c:pt idx="249">
                  <c:v>0.98939481396053419</c:v>
                </c:pt>
                <c:pt idx="250">
                  <c:v>0.98932818715117665</c:v>
                </c:pt>
                <c:pt idx="251">
                  <c:v>0.98926151335533363</c:v>
                </c:pt>
                <c:pt idx="252">
                  <c:v>0.98919134890995508</c:v>
                </c:pt>
                <c:pt idx="253">
                  <c:v>0.98911847881802761</c:v>
                </c:pt>
                <c:pt idx="254">
                  <c:v>0.98904349826632942</c:v>
                </c:pt>
                <c:pt idx="255">
                  <c:v>0.98896591886538932</c:v>
                </c:pt>
                <c:pt idx="256">
                  <c:v>0.98888932704914501</c:v>
                </c:pt>
                <c:pt idx="257">
                  <c:v>0.98881212667004215</c:v>
                </c:pt>
                <c:pt idx="258">
                  <c:v>0.98873288820947225</c:v>
                </c:pt>
                <c:pt idx="259">
                  <c:v>0.98865629451140125</c:v>
                </c:pt>
                <c:pt idx="260">
                  <c:v>0.98858248103614799</c:v>
                </c:pt>
                <c:pt idx="261">
                  <c:v>0.98851157616046181</c:v>
                </c:pt>
                <c:pt idx="262">
                  <c:v>0.98844209379455361</c:v>
                </c:pt>
                <c:pt idx="263">
                  <c:v>0.98837351891113157</c:v>
                </c:pt>
                <c:pt idx="264">
                  <c:v>0.98830853874068625</c:v>
                </c:pt>
                <c:pt idx="265">
                  <c:v>0.98824359255114136</c:v>
                </c:pt>
                <c:pt idx="266">
                  <c:v>0.98817754533297875</c:v>
                </c:pt>
                <c:pt idx="267">
                  <c:v>0.98810904802453781</c:v>
                </c:pt>
                <c:pt idx="268">
                  <c:v>0.98803955886489037</c:v>
                </c:pt>
                <c:pt idx="269">
                  <c:v>0.98797248070652766</c:v>
                </c:pt>
                <c:pt idx="270">
                  <c:v>0.98790668116385127</c:v>
                </c:pt>
                <c:pt idx="271">
                  <c:v>0.98784150274074078</c:v>
                </c:pt>
                <c:pt idx="272">
                  <c:v>0.98777706876592142</c:v>
                </c:pt>
                <c:pt idx="273">
                  <c:v>0.98771000073013293</c:v>
                </c:pt>
                <c:pt idx="274">
                  <c:v>0.98763964940749915</c:v>
                </c:pt>
                <c:pt idx="275">
                  <c:v>0.9875705024213931</c:v>
                </c:pt>
                <c:pt idx="276">
                  <c:v>0.98750500292556931</c:v>
                </c:pt>
                <c:pt idx="277">
                  <c:v>0.98744085480085797</c:v>
                </c:pt>
                <c:pt idx="278">
                  <c:v>0.98737513653683362</c:v>
                </c:pt>
                <c:pt idx="279">
                  <c:v>0.98730495560903775</c:v>
                </c:pt>
                <c:pt idx="280">
                  <c:v>0.98723192507780344</c:v>
                </c:pt>
                <c:pt idx="281">
                  <c:v>0.98715787482427275</c:v>
                </c:pt>
                <c:pt idx="282">
                  <c:v>0.98708226970482726</c:v>
                </c:pt>
                <c:pt idx="283">
                  <c:v>0.98700820495519126</c:v>
                </c:pt>
                <c:pt idx="284">
                  <c:v>0.98693534821646234</c:v>
                </c:pt>
                <c:pt idx="285">
                  <c:v>0.98686178104974565</c:v>
                </c:pt>
                <c:pt idx="286">
                  <c:v>0.98678816389166435</c:v>
                </c:pt>
                <c:pt idx="287">
                  <c:v>0.98671407354460638</c:v>
                </c:pt>
                <c:pt idx="288">
                  <c:v>0.98663973354054602</c:v>
                </c:pt>
                <c:pt idx="289">
                  <c:v>0.9865664176480532</c:v>
                </c:pt>
                <c:pt idx="290">
                  <c:v>0.98649374602909312</c:v>
                </c:pt>
                <c:pt idx="291">
                  <c:v>0.98642146248555906</c:v>
                </c:pt>
                <c:pt idx="292">
                  <c:v>0.9863493143930796</c:v>
                </c:pt>
                <c:pt idx="293">
                  <c:v>0.98628041056855231</c:v>
                </c:pt>
                <c:pt idx="294">
                  <c:v>0.98621336967379758</c:v>
                </c:pt>
                <c:pt idx="295">
                  <c:v>0.98614498228570979</c:v>
                </c:pt>
                <c:pt idx="296">
                  <c:v>0.98607586625619426</c:v>
                </c:pt>
                <c:pt idx="297">
                  <c:v>0.98600722667842189</c:v>
                </c:pt>
                <c:pt idx="298">
                  <c:v>0.98593940393300761</c:v>
                </c:pt>
                <c:pt idx="299">
                  <c:v>0.98587219305881013</c:v>
                </c:pt>
                <c:pt idx="300">
                  <c:v>0.98580363466806009</c:v>
                </c:pt>
                <c:pt idx="301">
                  <c:v>0.98573269933566987</c:v>
                </c:pt>
                <c:pt idx="302">
                  <c:v>0.98565999609681587</c:v>
                </c:pt>
                <c:pt idx="303">
                  <c:v>0.98558624639005432</c:v>
                </c:pt>
                <c:pt idx="304">
                  <c:v>0.98551350952009475</c:v>
                </c:pt>
                <c:pt idx="305">
                  <c:v>0.98544098189007179</c:v>
                </c:pt>
                <c:pt idx="306">
                  <c:v>0.98536604561528729</c:v>
                </c:pt>
                <c:pt idx="307">
                  <c:v>0.98528951045530855</c:v>
                </c:pt>
                <c:pt idx="308">
                  <c:v>0.98521386219681728</c:v>
                </c:pt>
                <c:pt idx="309">
                  <c:v>0.98514077716852477</c:v>
                </c:pt>
                <c:pt idx="310">
                  <c:v>0.98506954871444208</c:v>
                </c:pt>
                <c:pt idx="311">
                  <c:v>0.98499852264290155</c:v>
                </c:pt>
                <c:pt idx="312">
                  <c:v>0.98492801394360097</c:v>
                </c:pt>
                <c:pt idx="313">
                  <c:v>0.98485657280596384</c:v>
                </c:pt>
                <c:pt idx="314">
                  <c:v>0.98478449230930598</c:v>
                </c:pt>
                <c:pt idx="315">
                  <c:v>0.98471270978224557</c:v>
                </c:pt>
                <c:pt idx="316">
                  <c:v>0.98464193802868694</c:v>
                </c:pt>
                <c:pt idx="317">
                  <c:v>0.98457343947057796</c:v>
                </c:pt>
                <c:pt idx="318">
                  <c:v>0.98450553895487014</c:v>
                </c:pt>
                <c:pt idx="319">
                  <c:v>0.9844385040725866</c:v>
                </c:pt>
                <c:pt idx="320">
                  <c:v>0.98436986027113094</c:v>
                </c:pt>
                <c:pt idx="321">
                  <c:v>0.98429979623498909</c:v>
                </c:pt>
                <c:pt idx="322">
                  <c:v>0.98422994925922735</c:v>
                </c:pt>
                <c:pt idx="323">
                  <c:v>0.98415769847018986</c:v>
                </c:pt>
                <c:pt idx="324">
                  <c:v>0.98408417697180928</c:v>
                </c:pt>
                <c:pt idx="325">
                  <c:v>0.98401063835339275</c:v>
                </c:pt>
                <c:pt idx="326">
                  <c:v>0.98393868422285258</c:v>
                </c:pt>
                <c:pt idx="327">
                  <c:v>0.98387019416276844</c:v>
                </c:pt>
                <c:pt idx="328">
                  <c:v>0.98380403033587283</c:v>
                </c:pt>
                <c:pt idx="329">
                  <c:v>0.98373677038788554</c:v>
                </c:pt>
                <c:pt idx="330">
                  <c:v>0.98367077417338655</c:v>
                </c:pt>
                <c:pt idx="331">
                  <c:v>0.98360805707755294</c:v>
                </c:pt>
                <c:pt idx="332">
                  <c:v>0.98354386150281947</c:v>
                </c:pt>
                <c:pt idx="333">
                  <c:v>0.98347669809984106</c:v>
                </c:pt>
                <c:pt idx="334">
                  <c:v>0.9834081270720596</c:v>
                </c:pt>
                <c:pt idx="335">
                  <c:v>0.98334089162739702</c:v>
                </c:pt>
                <c:pt idx="336">
                  <c:v>0.98327514084430256</c:v>
                </c:pt>
                <c:pt idx="337">
                  <c:v>0.98320839904126012</c:v>
                </c:pt>
                <c:pt idx="338">
                  <c:v>0.98314089795528792</c:v>
                </c:pt>
                <c:pt idx="339">
                  <c:v>0.98307317173810393</c:v>
                </c:pt>
                <c:pt idx="340">
                  <c:v>0.98300464671075194</c:v>
                </c:pt>
                <c:pt idx="341">
                  <c:v>0.98293463119911317</c:v>
                </c:pt>
                <c:pt idx="342">
                  <c:v>0.98286224384799425</c:v>
                </c:pt>
                <c:pt idx="343">
                  <c:v>0.98278877649560814</c:v>
                </c:pt>
                <c:pt idx="344">
                  <c:v>0.9827158429660493</c:v>
                </c:pt>
                <c:pt idx="345">
                  <c:v>0.98264307387140637</c:v>
                </c:pt>
                <c:pt idx="346">
                  <c:v>0.98257132346270526</c:v>
                </c:pt>
                <c:pt idx="347">
                  <c:v>0.98250095554468897</c:v>
                </c:pt>
                <c:pt idx="348">
                  <c:v>0.98243139481069275</c:v>
                </c:pt>
                <c:pt idx="349">
                  <c:v>0.98236055508173281</c:v>
                </c:pt>
                <c:pt idx="350">
                  <c:v>0.98228641846698417</c:v>
                </c:pt>
                <c:pt idx="351">
                  <c:v>0.98220892347446731</c:v>
                </c:pt>
                <c:pt idx="352">
                  <c:v>0.98213054143041201</c:v>
                </c:pt>
                <c:pt idx="353">
                  <c:v>0.98205157162935508</c:v>
                </c:pt>
                <c:pt idx="354">
                  <c:v>0.9819706956467793</c:v>
                </c:pt>
                <c:pt idx="355">
                  <c:v>0.98188822206319104</c:v>
                </c:pt>
                <c:pt idx="356">
                  <c:v>0.98180680810684473</c:v>
                </c:pt>
                <c:pt idx="357">
                  <c:v>0.98172863471635519</c:v>
                </c:pt>
                <c:pt idx="358">
                  <c:v>0.98165228085975498</c:v>
                </c:pt>
                <c:pt idx="359">
                  <c:v>0.98157474686989188</c:v>
                </c:pt>
                <c:pt idx="360">
                  <c:v>0.98149380832482414</c:v>
                </c:pt>
                <c:pt idx="361">
                  <c:v>0.98141227761487282</c:v>
                </c:pt>
                <c:pt idx="362">
                  <c:v>0.98133082043034436</c:v>
                </c:pt>
                <c:pt idx="363">
                  <c:v>0.98124682157688681</c:v>
                </c:pt>
                <c:pt idx="364">
                  <c:v>0.98116178365494466</c:v>
                </c:pt>
                <c:pt idx="365">
                  <c:v>0.98107663006430879</c:v>
                </c:pt>
                <c:pt idx="366">
                  <c:v>0.9809911586606227</c:v>
                </c:pt>
                <c:pt idx="367">
                  <c:v>0.98090478804441728</c:v>
                </c:pt>
                <c:pt idx="368">
                  <c:v>0.98081462671662867</c:v>
                </c:pt>
                <c:pt idx="369">
                  <c:v>0.98072314528198579</c:v>
                </c:pt>
                <c:pt idx="370">
                  <c:v>0.98063320853352709</c:v>
                </c:pt>
                <c:pt idx="371">
                  <c:v>0.98054301970171365</c:v>
                </c:pt>
                <c:pt idx="372">
                  <c:v>0.9804513482353131</c:v>
                </c:pt>
                <c:pt idx="373">
                  <c:v>0.98035682079827069</c:v>
                </c:pt>
                <c:pt idx="374">
                  <c:v>0.98026225767952802</c:v>
                </c:pt>
                <c:pt idx="375">
                  <c:v>0.98016953694392606</c:v>
                </c:pt>
                <c:pt idx="376">
                  <c:v>0.98007512483536052</c:v>
                </c:pt>
                <c:pt idx="377">
                  <c:v>0.97998139681054608</c:v>
                </c:pt>
                <c:pt idx="378">
                  <c:v>0.97988982740882291</c:v>
                </c:pt>
                <c:pt idx="379">
                  <c:v>0.9797967308838883</c:v>
                </c:pt>
                <c:pt idx="380">
                  <c:v>0.97970322448194569</c:v>
                </c:pt>
                <c:pt idx="381">
                  <c:v>0.97961142223322883</c:v>
                </c:pt>
                <c:pt idx="382">
                  <c:v>0.9795213573002739</c:v>
                </c:pt>
                <c:pt idx="383">
                  <c:v>0.97943047055670007</c:v>
                </c:pt>
                <c:pt idx="384">
                  <c:v>0.9793404766279783</c:v>
                </c:pt>
                <c:pt idx="385">
                  <c:v>0.97925112588983265</c:v>
                </c:pt>
                <c:pt idx="386">
                  <c:v>0.97916121554802749</c:v>
                </c:pt>
                <c:pt idx="387">
                  <c:v>0.97907308183376196</c:v>
                </c:pt>
                <c:pt idx="388">
                  <c:v>0.97898521978888764</c:v>
                </c:pt>
                <c:pt idx="389">
                  <c:v>0.97889480815316454</c:v>
                </c:pt>
                <c:pt idx="390">
                  <c:v>0.97880146112426825</c:v>
                </c:pt>
                <c:pt idx="391">
                  <c:v>0.97870796971337826</c:v>
                </c:pt>
                <c:pt idx="392">
                  <c:v>0.9786151804935993</c:v>
                </c:pt>
                <c:pt idx="393">
                  <c:v>0.97852127394523647</c:v>
                </c:pt>
                <c:pt idx="394">
                  <c:v>0.97842781579402416</c:v>
                </c:pt>
                <c:pt idx="395">
                  <c:v>0.97833581935335423</c:v>
                </c:pt>
                <c:pt idx="396">
                  <c:v>0.97824381732845767</c:v>
                </c:pt>
                <c:pt idx="397">
                  <c:v>0.97815338524447804</c:v>
                </c:pt>
                <c:pt idx="398">
                  <c:v>0.9780641417741015</c:v>
                </c:pt>
                <c:pt idx="399">
                  <c:v>0.97797657061084697</c:v>
                </c:pt>
                <c:pt idx="400">
                  <c:v>0.97789075051376595</c:v>
                </c:pt>
                <c:pt idx="401">
                  <c:v>0.97780470549641763</c:v>
                </c:pt>
                <c:pt idx="402">
                  <c:v>0.97771974034628373</c:v>
                </c:pt>
                <c:pt idx="403">
                  <c:v>0.97763650930315771</c:v>
                </c:pt>
                <c:pt idx="404">
                  <c:v>0.97755371893028598</c:v>
                </c:pt>
                <c:pt idx="405">
                  <c:v>0.9774715774140651</c:v>
                </c:pt>
                <c:pt idx="406">
                  <c:v>0.97738955995673227</c:v>
                </c:pt>
                <c:pt idx="407">
                  <c:v>0.97730852706182003</c:v>
                </c:pt>
                <c:pt idx="408">
                  <c:v>0.97722737082188038</c:v>
                </c:pt>
                <c:pt idx="409">
                  <c:v>0.97714395877986493</c:v>
                </c:pt>
                <c:pt idx="410">
                  <c:v>0.97705970314091417</c:v>
                </c:pt>
                <c:pt idx="411">
                  <c:v>0.97697386068318226</c:v>
                </c:pt>
                <c:pt idx="412">
                  <c:v>0.97688796346037521</c:v>
                </c:pt>
                <c:pt idx="413">
                  <c:v>0.97680589546956054</c:v>
                </c:pt>
                <c:pt idx="414">
                  <c:v>0.9767276724685896</c:v>
                </c:pt>
                <c:pt idx="415">
                  <c:v>0.97665062099200994</c:v>
                </c:pt>
                <c:pt idx="416">
                  <c:v>0.97657353511575917</c:v>
                </c:pt>
                <c:pt idx="417">
                  <c:v>0.97649817940826689</c:v>
                </c:pt>
                <c:pt idx="418">
                  <c:v>0.97642367149213183</c:v>
                </c:pt>
                <c:pt idx="419">
                  <c:v>0.97634927315646991</c:v>
                </c:pt>
                <c:pt idx="420">
                  <c:v>0.97627400706658785</c:v>
                </c:pt>
                <c:pt idx="421">
                  <c:v>0.9761962392489254</c:v>
                </c:pt>
                <c:pt idx="422">
                  <c:v>0.97611789095511625</c:v>
                </c:pt>
                <c:pt idx="423">
                  <c:v>0.97604107258341077</c:v>
                </c:pt>
                <c:pt idx="424">
                  <c:v>0.97596504502810211</c:v>
                </c:pt>
                <c:pt idx="425">
                  <c:v>0.97588978827451056</c:v>
                </c:pt>
                <c:pt idx="426">
                  <c:v>0.97581771294154085</c:v>
                </c:pt>
                <c:pt idx="427">
                  <c:v>0.97574911022905997</c:v>
                </c:pt>
                <c:pt idx="428">
                  <c:v>0.97568298057472302</c:v>
                </c:pt>
                <c:pt idx="429">
                  <c:v>0.97561748356051625</c:v>
                </c:pt>
                <c:pt idx="430">
                  <c:v>0.97555135019428862</c:v>
                </c:pt>
                <c:pt idx="431">
                  <c:v>0.97548570038678917</c:v>
                </c:pt>
                <c:pt idx="432">
                  <c:v>0.97541994317449965</c:v>
                </c:pt>
                <c:pt idx="433">
                  <c:v>0.97535475536726979</c:v>
                </c:pt>
                <c:pt idx="434">
                  <c:v>0.97529108809032194</c:v>
                </c:pt>
                <c:pt idx="435">
                  <c:v>0.97522697811899028</c:v>
                </c:pt>
                <c:pt idx="436">
                  <c:v>0.97516292840145113</c:v>
                </c:pt>
                <c:pt idx="437">
                  <c:v>0.97509991487878134</c:v>
                </c:pt>
                <c:pt idx="438">
                  <c:v>0.97503606371062901</c:v>
                </c:pt>
                <c:pt idx="439">
                  <c:v>0.97497069932525415</c:v>
                </c:pt>
                <c:pt idx="440">
                  <c:v>0.97490592526167685</c:v>
                </c:pt>
                <c:pt idx="441">
                  <c:v>0.97484125660357968</c:v>
                </c:pt>
                <c:pt idx="442">
                  <c:v>0.9747761483982309</c:v>
                </c:pt>
                <c:pt idx="443">
                  <c:v>0.97471226259637878</c:v>
                </c:pt>
                <c:pt idx="444">
                  <c:v>0.97465180084990732</c:v>
                </c:pt>
                <c:pt idx="445">
                  <c:v>0.97459469088384099</c:v>
                </c:pt>
                <c:pt idx="446">
                  <c:v>0.97453871404170167</c:v>
                </c:pt>
                <c:pt idx="447">
                  <c:v>0.97448297890932623</c:v>
                </c:pt>
                <c:pt idx="448">
                  <c:v>0.97442742425514117</c:v>
                </c:pt>
                <c:pt idx="449">
                  <c:v>0.97437151834049629</c:v>
                </c:pt>
                <c:pt idx="450">
                  <c:v>0.97431539553881041</c:v>
                </c:pt>
                <c:pt idx="451">
                  <c:v>0.97426078742750111</c:v>
                </c:pt>
                <c:pt idx="452">
                  <c:v>0.97420562156503754</c:v>
                </c:pt>
                <c:pt idx="453">
                  <c:v>0.97415275967661752</c:v>
                </c:pt>
                <c:pt idx="454">
                  <c:v>0.97410509065850559</c:v>
                </c:pt>
                <c:pt idx="455">
                  <c:v>0.97405948842638113</c:v>
                </c:pt>
                <c:pt idx="456">
                  <c:v>0.97401650642110871</c:v>
                </c:pt>
                <c:pt idx="457">
                  <c:v>0.97397374933329728</c:v>
                </c:pt>
                <c:pt idx="458">
                  <c:v>0.97392716927521528</c:v>
                </c:pt>
                <c:pt idx="459">
                  <c:v>0.97387809962500882</c:v>
                </c:pt>
                <c:pt idx="460">
                  <c:v>0.97382823437287458</c:v>
                </c:pt>
                <c:pt idx="461">
                  <c:v>0.97377644224731985</c:v>
                </c:pt>
                <c:pt idx="462">
                  <c:v>0.97372339695252474</c:v>
                </c:pt>
                <c:pt idx="463">
                  <c:v>0.97367035869903085</c:v>
                </c:pt>
                <c:pt idx="464">
                  <c:v>0.9736171369012796</c:v>
                </c:pt>
                <c:pt idx="465">
                  <c:v>0.97356702728802991</c:v>
                </c:pt>
                <c:pt idx="466">
                  <c:v>0.97351930577836188</c:v>
                </c:pt>
                <c:pt idx="467">
                  <c:v>0.97347087548919708</c:v>
                </c:pt>
                <c:pt idx="468">
                  <c:v>0.97342193289483947</c:v>
                </c:pt>
                <c:pt idx="469">
                  <c:v>0.973373907849583</c:v>
                </c:pt>
                <c:pt idx="470">
                  <c:v>0.97332738202865143</c:v>
                </c:pt>
                <c:pt idx="471">
                  <c:v>0.973280864450626</c:v>
                </c:pt>
                <c:pt idx="472">
                  <c:v>0.9732340978768681</c:v>
                </c:pt>
                <c:pt idx="473">
                  <c:v>0.97318707910055624</c:v>
                </c:pt>
                <c:pt idx="474">
                  <c:v>0.97313914873514407</c:v>
                </c:pt>
                <c:pt idx="475">
                  <c:v>0.97309024988443937</c:v>
                </c:pt>
                <c:pt idx="476">
                  <c:v>0.97304454354510816</c:v>
                </c:pt>
                <c:pt idx="477">
                  <c:v>0.97300076067588936</c:v>
                </c:pt>
                <c:pt idx="478">
                  <c:v>0.97295409599523985</c:v>
                </c:pt>
                <c:pt idx="479">
                  <c:v>0.97290772257464686</c:v>
                </c:pt>
                <c:pt idx="480">
                  <c:v>0.97286258079480981</c:v>
                </c:pt>
                <c:pt idx="481">
                  <c:v>0.97281646377583064</c:v>
                </c:pt>
                <c:pt idx="482">
                  <c:v>0.97276893910677176</c:v>
                </c:pt>
                <c:pt idx="483">
                  <c:v>0.97272117217148113</c:v>
                </c:pt>
                <c:pt idx="484">
                  <c:v>0.97267104405373739</c:v>
                </c:pt>
                <c:pt idx="485">
                  <c:v>0.97261885544896343</c:v>
                </c:pt>
                <c:pt idx="486">
                  <c:v>0.97256563027708165</c:v>
                </c:pt>
                <c:pt idx="487">
                  <c:v>0.97250876929803665</c:v>
                </c:pt>
                <c:pt idx="488">
                  <c:v>0.9724500729842569</c:v>
                </c:pt>
                <c:pt idx="489">
                  <c:v>0.97239007784014364</c:v>
                </c:pt>
                <c:pt idx="490">
                  <c:v>0.97232835652756189</c:v>
                </c:pt>
                <c:pt idx="491">
                  <c:v>0.97226575569419227</c:v>
                </c:pt>
                <c:pt idx="492">
                  <c:v>0.9722033986591706</c:v>
                </c:pt>
                <c:pt idx="493">
                  <c:v>0.97214302446229495</c:v>
                </c:pt>
                <c:pt idx="494">
                  <c:v>0.97208388468406959</c:v>
                </c:pt>
                <c:pt idx="495">
                  <c:v>0.97202193931797587</c:v>
                </c:pt>
                <c:pt idx="496">
                  <c:v>0.97195819879136702</c:v>
                </c:pt>
                <c:pt idx="497">
                  <c:v>0.97189603245346357</c:v>
                </c:pt>
                <c:pt idx="498">
                  <c:v>0.97183617439930925</c:v>
                </c:pt>
                <c:pt idx="499">
                  <c:v>0.97177705621654697</c:v>
                </c:pt>
                <c:pt idx="500">
                  <c:v>0.97171847836885372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EF-41EB-9484-3E9F69A59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4970976"/>
        <c:axId val="758355152"/>
      </c:scatterChart>
      <c:valAx>
        <c:axId val="12949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355152"/>
        <c:crosses val="autoZero"/>
        <c:crossBetween val="midCat"/>
      </c:valAx>
      <c:valAx>
        <c:axId val="75835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497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plotArea>
      <cx:plotAreaRegion>
        <cx:series layoutId="clusteredColumn" uniqueId="{4C65CBBD-1275-48F3-A5AA-8553EFDADA02}"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0.0%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image" Target="../media/image9.png"/></Relationships>
</file>

<file path=xl/drawings/_rels/drawing1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187102</xdr:colOff>
      <xdr:row>0</xdr:row>
      <xdr:rowOff>12700</xdr:rowOff>
    </xdr:from>
    <xdr:to>
      <xdr:col>28</xdr:col>
      <xdr:colOff>214727</xdr:colOff>
      <xdr:row>17</xdr:row>
      <xdr:rowOff>62623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62102" y="12700"/>
          <a:ext cx="4294824" cy="3205873"/>
        </a:xfrm>
        <a:prstGeom prst="rect">
          <a:avLst/>
        </a:prstGeom>
      </xdr:spPr>
    </xdr:pic>
    <xdr:clientData/>
  </xdr:twoCellAnchor>
  <xdr:twoCellAnchor editAs="oneCell">
    <xdr:from>
      <xdr:col>29</xdr:col>
      <xdr:colOff>127000</xdr:colOff>
      <xdr:row>0</xdr:row>
      <xdr:rowOff>0</xdr:rowOff>
    </xdr:from>
    <xdr:to>
      <xdr:col>36</xdr:col>
      <xdr:colOff>138533</xdr:colOff>
      <xdr:row>17</xdr:row>
      <xdr:rowOff>66197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976600" y="0"/>
          <a:ext cx="4278732" cy="3222147"/>
        </a:xfrm>
        <a:prstGeom prst="rect">
          <a:avLst/>
        </a:prstGeom>
      </xdr:spPr>
    </xdr:pic>
    <xdr:clientData/>
  </xdr:twoCellAnchor>
  <xdr:twoCellAnchor editAs="oneCell">
    <xdr:from>
      <xdr:col>36</xdr:col>
      <xdr:colOff>211302</xdr:colOff>
      <xdr:row>0</xdr:row>
      <xdr:rowOff>0</xdr:rowOff>
    </xdr:from>
    <xdr:to>
      <xdr:col>43</xdr:col>
      <xdr:colOff>195663</xdr:colOff>
      <xdr:row>17</xdr:row>
      <xdr:rowOff>62602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328102" y="0"/>
          <a:ext cx="4251562" cy="3218552"/>
        </a:xfrm>
        <a:prstGeom prst="rect">
          <a:avLst/>
        </a:prstGeom>
      </xdr:spPr>
    </xdr:pic>
    <xdr:clientData/>
  </xdr:twoCellAnchor>
  <xdr:twoCellAnchor>
    <xdr:from>
      <xdr:col>17</xdr:col>
      <xdr:colOff>40679</xdr:colOff>
      <xdr:row>45</xdr:row>
      <xdr:rowOff>52189</xdr:rowOff>
    </xdr:from>
    <xdr:to>
      <xdr:col>24</xdr:col>
      <xdr:colOff>376039</xdr:colOff>
      <xdr:row>59</xdr:row>
      <xdr:rowOff>156170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248794</xdr:colOff>
      <xdr:row>9</xdr:row>
      <xdr:rowOff>111801</xdr:rowOff>
    </xdr:from>
    <xdr:to>
      <xdr:col>16</xdr:col>
      <xdr:colOff>593359</xdr:colOff>
      <xdr:row>27</xdr:row>
      <xdr:rowOff>20820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260246</xdr:colOff>
      <xdr:row>27</xdr:row>
      <xdr:rowOff>93688</xdr:rowOff>
    </xdr:from>
    <xdr:to>
      <xdr:col>16</xdr:col>
      <xdr:colOff>604811</xdr:colOff>
      <xdr:row>45</xdr:row>
      <xdr:rowOff>2707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187102</xdr:colOff>
      <xdr:row>0</xdr:row>
      <xdr:rowOff>12700</xdr:rowOff>
    </xdr:from>
    <xdr:to>
      <xdr:col>28</xdr:col>
      <xdr:colOff>214726</xdr:colOff>
      <xdr:row>17</xdr:row>
      <xdr:rowOff>62623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62102" y="12700"/>
          <a:ext cx="4294824" cy="3205873"/>
        </a:xfrm>
        <a:prstGeom prst="rect">
          <a:avLst/>
        </a:prstGeom>
      </xdr:spPr>
    </xdr:pic>
    <xdr:clientData/>
  </xdr:twoCellAnchor>
  <xdr:twoCellAnchor editAs="oneCell">
    <xdr:from>
      <xdr:col>29</xdr:col>
      <xdr:colOff>127000</xdr:colOff>
      <xdr:row>0</xdr:row>
      <xdr:rowOff>0</xdr:rowOff>
    </xdr:from>
    <xdr:to>
      <xdr:col>36</xdr:col>
      <xdr:colOff>138532</xdr:colOff>
      <xdr:row>17</xdr:row>
      <xdr:rowOff>66197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878800" y="0"/>
          <a:ext cx="4278732" cy="3222147"/>
        </a:xfrm>
        <a:prstGeom prst="rect">
          <a:avLst/>
        </a:prstGeom>
      </xdr:spPr>
    </xdr:pic>
    <xdr:clientData/>
  </xdr:twoCellAnchor>
  <xdr:twoCellAnchor editAs="oneCell">
    <xdr:from>
      <xdr:col>36</xdr:col>
      <xdr:colOff>211302</xdr:colOff>
      <xdr:row>0</xdr:row>
      <xdr:rowOff>0</xdr:rowOff>
    </xdr:from>
    <xdr:to>
      <xdr:col>43</xdr:col>
      <xdr:colOff>195664</xdr:colOff>
      <xdr:row>17</xdr:row>
      <xdr:rowOff>62602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230302" y="0"/>
          <a:ext cx="4251562" cy="3218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558800</xdr:colOff>
      <xdr:row>10</xdr:row>
      <xdr:rowOff>120650</xdr:rowOff>
    </xdr:from>
    <xdr:to>
      <xdr:col>25</xdr:col>
      <xdr:colOff>254000</xdr:colOff>
      <xdr:row>25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76200</xdr:colOff>
      <xdr:row>10</xdr:row>
      <xdr:rowOff>146050</xdr:rowOff>
    </xdr:from>
    <xdr:to>
      <xdr:col>17</xdr:col>
      <xdr:colOff>222250</xdr:colOff>
      <xdr:row>25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544286</xdr:colOff>
      <xdr:row>1</xdr:row>
      <xdr:rowOff>17267</xdr:rowOff>
    </xdr:from>
    <xdr:to>
      <xdr:col>25</xdr:col>
      <xdr:colOff>480968</xdr:colOff>
      <xdr:row>23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571500</xdr:colOff>
      <xdr:row>23</xdr:row>
      <xdr:rowOff>159202</xdr:rowOff>
    </xdr:from>
    <xdr:to>
      <xdr:col>25</xdr:col>
      <xdr:colOff>566963</xdr:colOff>
      <xdr:row>43</xdr:row>
      <xdr:rowOff>34017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222250</xdr:colOff>
      <xdr:row>0</xdr:row>
      <xdr:rowOff>69850</xdr:rowOff>
    </xdr:from>
    <xdr:to>
      <xdr:col>21</xdr:col>
      <xdr:colOff>549910</xdr:colOff>
      <xdr:row>27</xdr:row>
      <xdr:rowOff>80010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8050" y="69850"/>
          <a:ext cx="7642860" cy="5039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406365</xdr:colOff>
      <xdr:row>0</xdr:row>
      <xdr:rowOff>0</xdr:rowOff>
    </xdr:from>
    <xdr:to>
      <xdr:col>16</xdr:col>
      <xdr:colOff>171620</xdr:colOff>
      <xdr:row>19</xdr:row>
      <xdr:rowOff>119580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4261" r="12631" b="5916"/>
        <a:stretch/>
      </xdr:blipFill>
      <xdr:spPr>
        <a:xfrm>
          <a:off x="4168569" y="0"/>
          <a:ext cx="7091653" cy="364963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347738</xdr:colOff>
      <xdr:row>47</xdr:row>
      <xdr:rowOff>120952</xdr:rowOff>
    </xdr:from>
    <xdr:to>
      <xdr:col>55</xdr:col>
      <xdr:colOff>408336</xdr:colOff>
      <xdr:row>86</xdr:row>
      <xdr:rowOff>174893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757824" y="8901469"/>
          <a:ext cx="9870253" cy="734549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471714</xdr:colOff>
      <xdr:row>38</xdr:row>
      <xdr:rowOff>90714</xdr:rowOff>
    </xdr:from>
    <xdr:to>
      <xdr:col>21</xdr:col>
      <xdr:colOff>103515</xdr:colOff>
      <xdr:row>54</xdr:row>
      <xdr:rowOff>32839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2143" y="7112000"/>
          <a:ext cx="3905741" cy="2844983"/>
        </a:xfrm>
        <a:prstGeom prst="rect">
          <a:avLst/>
        </a:prstGeom>
      </xdr:spPr>
    </xdr:pic>
    <xdr:clientData/>
  </xdr:twoCellAnchor>
  <xdr:twoCellAnchor>
    <xdr:from>
      <xdr:col>5</xdr:col>
      <xdr:colOff>519451</xdr:colOff>
      <xdr:row>187</xdr:row>
      <xdr:rowOff>111802</xdr:rowOff>
    </xdr:from>
    <xdr:to>
      <xdr:col>9</xdr:col>
      <xdr:colOff>84320</xdr:colOff>
      <xdr:row>202</xdr:row>
      <xdr:rowOff>44346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347738</xdr:colOff>
      <xdr:row>37</xdr:row>
      <xdr:rowOff>0</xdr:rowOff>
    </xdr:from>
    <xdr:to>
      <xdr:col>55</xdr:col>
      <xdr:colOff>408336</xdr:colOff>
      <xdr:row>76</xdr:row>
      <xdr:rowOff>46838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5638" y="6902450"/>
          <a:ext cx="9814198" cy="7330289"/>
        </a:xfrm>
        <a:prstGeom prst="rect">
          <a:avLst/>
        </a:prstGeom>
      </xdr:spPr>
    </xdr:pic>
    <xdr:clientData/>
  </xdr:twoCellAnchor>
  <xdr:twoCellAnchor>
    <xdr:from>
      <xdr:col>6</xdr:col>
      <xdr:colOff>557771</xdr:colOff>
      <xdr:row>33</xdr:row>
      <xdr:rowOff>60067</xdr:rowOff>
    </xdr:from>
    <xdr:to>
      <xdr:col>11</xdr:col>
      <xdr:colOff>523446</xdr:colOff>
      <xdr:row>36</xdr:row>
      <xdr:rowOff>205946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7580871" y="6219567"/>
          <a:ext cx="5375875" cy="685629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575150</xdr:colOff>
      <xdr:row>1</xdr:row>
      <xdr:rowOff>121016</xdr:rowOff>
    </xdr:from>
    <xdr:to>
      <xdr:col>23</xdr:col>
      <xdr:colOff>602712</xdr:colOff>
      <xdr:row>30</xdr:row>
      <xdr:rowOff>107627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513147</xdr:colOff>
      <xdr:row>0</xdr:row>
      <xdr:rowOff>89936</xdr:rowOff>
    </xdr:from>
    <xdr:to>
      <xdr:col>33</xdr:col>
      <xdr:colOff>179947</xdr:colOff>
      <xdr:row>15</xdr:row>
      <xdr:rowOff>59944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51092</xdr:colOff>
      <xdr:row>75</xdr:row>
      <xdr:rowOff>21897</xdr:rowOff>
    </xdr:from>
    <xdr:to>
      <xdr:col>5</xdr:col>
      <xdr:colOff>66141</xdr:colOff>
      <xdr:row>77</xdr:row>
      <xdr:rowOff>109312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72069" y="5715000"/>
          <a:ext cx="901674" cy="452355"/>
        </a:xfrm>
        <a:prstGeom prst="rect">
          <a:avLst/>
        </a:prstGeom>
      </xdr:spPr>
    </xdr:pic>
    <xdr:clientData/>
  </xdr:twoCellAnchor>
  <xdr:twoCellAnchor editAs="oneCell">
    <xdr:from>
      <xdr:col>4</xdr:col>
      <xdr:colOff>51092</xdr:colOff>
      <xdr:row>77</xdr:row>
      <xdr:rowOff>102184</xdr:rowOff>
    </xdr:from>
    <xdr:to>
      <xdr:col>5</xdr:col>
      <xdr:colOff>910318</xdr:colOff>
      <xdr:row>79</xdr:row>
      <xdr:rowOff>36495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72069" y="6160230"/>
          <a:ext cx="1745851" cy="306552"/>
        </a:xfrm>
        <a:prstGeom prst="rect">
          <a:avLst/>
        </a:prstGeom>
      </xdr:spPr>
    </xdr:pic>
    <xdr:clientData/>
  </xdr:twoCellAnchor>
  <xdr:twoCellAnchor>
    <xdr:from>
      <xdr:col>25</xdr:col>
      <xdr:colOff>581187</xdr:colOff>
      <xdr:row>16</xdr:row>
      <xdr:rowOff>0</xdr:rowOff>
    </xdr:from>
    <xdr:to>
      <xdr:col>33</xdr:col>
      <xdr:colOff>247989</xdr:colOff>
      <xdr:row>31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131330</xdr:colOff>
      <xdr:row>87</xdr:row>
      <xdr:rowOff>67974</xdr:rowOff>
    </xdr:from>
    <xdr:to>
      <xdr:col>13</xdr:col>
      <xdr:colOff>186170</xdr:colOff>
      <xdr:row>101</xdr:row>
      <xdr:rowOff>184583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127000</xdr:colOff>
          <xdr:row>15</xdr:row>
          <xdr:rowOff>6350</xdr:rowOff>
        </xdr:from>
        <xdr:to>
          <xdr:col>6</xdr:col>
          <xdr:colOff>127000</xdr:colOff>
          <xdr:row>18</xdr:row>
          <xdr:rowOff>19050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F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MCS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-1</xdr:colOff>
      <xdr:row>14</xdr:row>
      <xdr:rowOff>125075</xdr:rowOff>
    </xdr:from>
    <xdr:to>
      <xdr:col>18</xdr:col>
      <xdr:colOff>307878</xdr:colOff>
      <xdr:row>31</xdr:row>
      <xdr:rowOff>1154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F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88299" y="2741275"/>
              <a:ext cx="5159279" cy="30193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EF7D0-C46A-41C1-92D9-93490117D0C8}">
  <sheetPr codeName="Sheet1"/>
  <dimension ref="A1:B10"/>
  <sheetViews>
    <sheetView workbookViewId="0">
      <selection activeCell="A11" sqref="A11"/>
    </sheetView>
  </sheetViews>
  <sheetFormatPr defaultRowHeight="14.5"/>
  <sheetData>
    <row r="1" spans="1:2">
      <c r="A1">
        <v>1</v>
      </c>
      <c r="B1" t="s">
        <v>13</v>
      </c>
    </row>
    <row r="2" spans="1:2">
      <c r="A2">
        <v>2</v>
      </c>
      <c r="B2" t="s">
        <v>14</v>
      </c>
    </row>
    <row r="3" spans="1:2">
      <c r="A3">
        <v>3</v>
      </c>
      <c r="B3" t="s">
        <v>15</v>
      </c>
    </row>
    <row r="4" spans="1:2">
      <c r="A4">
        <v>4</v>
      </c>
      <c r="B4" t="s">
        <v>16</v>
      </c>
    </row>
    <row r="5" spans="1:2">
      <c r="A5">
        <v>5</v>
      </c>
      <c r="B5" t="s">
        <v>17</v>
      </c>
    </row>
    <row r="6" spans="1:2">
      <c r="A6">
        <v>6</v>
      </c>
      <c r="B6" t="s">
        <v>18</v>
      </c>
    </row>
    <row r="7" spans="1:2">
      <c r="A7">
        <v>7</v>
      </c>
      <c r="B7" t="s">
        <v>19</v>
      </c>
    </row>
    <row r="9" spans="1:2">
      <c r="A9" t="s">
        <v>457</v>
      </c>
    </row>
    <row r="10" spans="1:2">
      <c r="A10" t="s">
        <v>480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D5A9B-5B9F-4B6E-8EC9-3A4DD3C8BE3B}">
  <sheetPr codeName="Sheet2"/>
  <dimension ref="A1:Q33"/>
  <sheetViews>
    <sheetView workbookViewId="0">
      <selection activeCell="F34" sqref="F34"/>
    </sheetView>
  </sheetViews>
  <sheetFormatPr defaultRowHeight="14.5"/>
  <cols>
    <col min="1" max="1" width="10.1796875" bestFit="1" customWidth="1"/>
    <col min="2" max="2" width="13" bestFit="1" customWidth="1"/>
    <col min="3" max="3" width="13" customWidth="1"/>
    <col min="4" max="4" width="10.1796875" bestFit="1" customWidth="1"/>
    <col min="5" max="5" width="10.1796875" customWidth="1"/>
    <col min="6" max="6" width="13" bestFit="1" customWidth="1"/>
    <col min="7" max="7" width="13" customWidth="1"/>
    <col min="15" max="16" width="9.453125" bestFit="1" customWidth="1"/>
    <col min="17" max="17" width="12.81640625" customWidth="1"/>
  </cols>
  <sheetData>
    <row r="1" spans="1:17">
      <c r="B1" s="303" t="s">
        <v>6</v>
      </c>
      <c r="C1" s="303"/>
      <c r="D1" s="303" t="s">
        <v>9</v>
      </c>
      <c r="E1" s="303"/>
      <c r="F1" s="303" t="s">
        <v>10</v>
      </c>
      <c r="G1" s="303"/>
      <c r="H1" s="303" t="s">
        <v>5</v>
      </c>
      <c r="I1" s="303"/>
      <c r="J1" s="303" t="s">
        <v>7</v>
      </c>
      <c r="K1" s="303"/>
      <c r="L1" s="303" t="s">
        <v>8</v>
      </c>
      <c r="M1" s="303"/>
    </row>
    <row r="2" spans="1:17">
      <c r="B2" t="s">
        <v>11</v>
      </c>
      <c r="C2" t="s">
        <v>12</v>
      </c>
      <c r="D2" t="s">
        <v>11</v>
      </c>
      <c r="E2" t="s">
        <v>12</v>
      </c>
      <c r="F2" t="s">
        <v>11</v>
      </c>
      <c r="G2" t="s">
        <v>12</v>
      </c>
      <c r="H2" t="s">
        <v>11</v>
      </c>
      <c r="I2" t="s">
        <v>12</v>
      </c>
      <c r="J2" t="s">
        <v>11</v>
      </c>
      <c r="K2" t="s">
        <v>12</v>
      </c>
      <c r="L2" t="s">
        <v>11</v>
      </c>
      <c r="M2" t="s">
        <v>12</v>
      </c>
    </row>
    <row r="3" spans="1:17">
      <c r="B3">
        <v>1</v>
      </c>
      <c r="C3">
        <v>1</v>
      </c>
      <c r="D3">
        <v>21</v>
      </c>
      <c r="E3">
        <v>4</v>
      </c>
      <c r="F3">
        <v>23</v>
      </c>
      <c r="G3">
        <v>4</v>
      </c>
      <c r="H3">
        <v>1</v>
      </c>
      <c r="I3">
        <v>5</v>
      </c>
      <c r="J3">
        <v>25</v>
      </c>
      <c r="K3">
        <v>12</v>
      </c>
      <c r="L3">
        <v>26</v>
      </c>
      <c r="M3">
        <v>12</v>
      </c>
    </row>
    <row r="4" spans="1:17">
      <c r="A4">
        <v>2001</v>
      </c>
      <c r="B4">
        <v>1</v>
      </c>
      <c r="C4">
        <v>1</v>
      </c>
      <c r="D4">
        <v>13</v>
      </c>
      <c r="E4">
        <v>4</v>
      </c>
      <c r="F4">
        <v>16</v>
      </c>
      <c r="G4">
        <v>4</v>
      </c>
      <c r="H4">
        <v>1</v>
      </c>
      <c r="I4">
        <v>5</v>
      </c>
      <c r="J4">
        <v>25</v>
      </c>
      <c r="K4">
        <v>12</v>
      </c>
      <c r="L4">
        <v>26</v>
      </c>
      <c r="M4">
        <v>12</v>
      </c>
      <c r="O4" s="3"/>
      <c r="P4" s="1"/>
      <c r="Q4" s="2"/>
    </row>
    <row r="5" spans="1:17">
      <c r="A5">
        <v>2002</v>
      </c>
      <c r="B5">
        <v>1</v>
      </c>
      <c r="C5">
        <v>1</v>
      </c>
      <c r="D5">
        <v>29</v>
      </c>
      <c r="E5">
        <v>3</v>
      </c>
      <c r="F5">
        <v>1</v>
      </c>
      <c r="G5">
        <v>4</v>
      </c>
      <c r="H5">
        <v>1</v>
      </c>
      <c r="I5">
        <v>5</v>
      </c>
      <c r="J5">
        <v>25</v>
      </c>
      <c r="K5">
        <v>12</v>
      </c>
      <c r="L5">
        <v>26</v>
      </c>
      <c r="M5">
        <v>12</v>
      </c>
      <c r="O5" s="3"/>
      <c r="P5" s="1"/>
    </row>
    <row r="6" spans="1:17">
      <c r="A6">
        <v>2003</v>
      </c>
      <c r="B6">
        <v>1</v>
      </c>
      <c r="C6">
        <v>1</v>
      </c>
      <c r="D6">
        <v>18</v>
      </c>
      <c r="E6">
        <v>4</v>
      </c>
      <c r="F6">
        <v>21</v>
      </c>
      <c r="G6">
        <v>4</v>
      </c>
      <c r="H6">
        <v>1</v>
      </c>
      <c r="I6">
        <v>5</v>
      </c>
      <c r="J6">
        <v>25</v>
      </c>
      <c r="K6">
        <v>12</v>
      </c>
      <c r="L6">
        <v>26</v>
      </c>
      <c r="M6">
        <v>12</v>
      </c>
      <c r="O6" s="3"/>
      <c r="P6" s="1"/>
    </row>
    <row r="7" spans="1:17">
      <c r="A7">
        <v>2004</v>
      </c>
      <c r="B7">
        <v>1</v>
      </c>
      <c r="C7">
        <v>1</v>
      </c>
      <c r="D7">
        <v>9</v>
      </c>
      <c r="E7">
        <v>4</v>
      </c>
      <c r="F7">
        <v>12</v>
      </c>
      <c r="G7">
        <v>4</v>
      </c>
      <c r="H7">
        <v>1</v>
      </c>
      <c r="I7">
        <v>5</v>
      </c>
      <c r="J7">
        <v>25</v>
      </c>
      <c r="K7">
        <v>12</v>
      </c>
      <c r="L7">
        <v>26</v>
      </c>
      <c r="M7">
        <v>12</v>
      </c>
      <c r="O7" s="3"/>
      <c r="P7" s="1"/>
    </row>
    <row r="8" spans="1:17">
      <c r="A8">
        <v>2005</v>
      </c>
      <c r="B8">
        <v>1</v>
      </c>
      <c r="C8">
        <v>1</v>
      </c>
      <c r="D8">
        <v>25</v>
      </c>
      <c r="E8">
        <v>3</v>
      </c>
      <c r="F8">
        <v>28</v>
      </c>
      <c r="G8">
        <v>3</v>
      </c>
      <c r="H8">
        <v>1</v>
      </c>
      <c r="I8">
        <v>5</v>
      </c>
      <c r="J8">
        <v>25</v>
      </c>
      <c r="K8">
        <v>12</v>
      </c>
      <c r="L8">
        <v>26</v>
      </c>
      <c r="M8">
        <v>12</v>
      </c>
      <c r="O8" s="3"/>
      <c r="P8" s="1"/>
    </row>
    <row r="9" spans="1:17">
      <c r="A9">
        <v>2006</v>
      </c>
      <c r="B9">
        <v>1</v>
      </c>
      <c r="C9">
        <v>1</v>
      </c>
      <c r="D9">
        <v>14</v>
      </c>
      <c r="E9">
        <v>4</v>
      </c>
      <c r="F9">
        <v>17</v>
      </c>
      <c r="G9">
        <v>4</v>
      </c>
      <c r="H9">
        <v>1</v>
      </c>
      <c r="I9">
        <v>5</v>
      </c>
      <c r="J9">
        <v>25</v>
      </c>
      <c r="K9">
        <v>12</v>
      </c>
      <c r="L9">
        <v>26</v>
      </c>
      <c r="M9">
        <v>12</v>
      </c>
      <c r="O9" s="3"/>
      <c r="P9" s="1"/>
    </row>
    <row r="10" spans="1:17">
      <c r="A10">
        <v>2007</v>
      </c>
      <c r="B10">
        <v>1</v>
      </c>
      <c r="C10">
        <v>1</v>
      </c>
      <c r="D10">
        <v>6</v>
      </c>
      <c r="E10">
        <v>4</v>
      </c>
      <c r="F10">
        <v>9</v>
      </c>
      <c r="G10">
        <v>4</v>
      </c>
      <c r="H10">
        <v>1</v>
      </c>
      <c r="I10">
        <v>5</v>
      </c>
      <c r="J10">
        <v>25</v>
      </c>
      <c r="K10">
        <v>12</v>
      </c>
      <c r="L10">
        <v>26</v>
      </c>
      <c r="M10">
        <v>12</v>
      </c>
      <c r="O10" s="3"/>
      <c r="P10" s="1"/>
    </row>
    <row r="11" spans="1:17">
      <c r="A11">
        <v>2008</v>
      </c>
      <c r="B11">
        <v>1</v>
      </c>
      <c r="C11">
        <v>1</v>
      </c>
      <c r="D11">
        <v>21</v>
      </c>
      <c r="E11">
        <v>3</v>
      </c>
      <c r="F11">
        <v>24</v>
      </c>
      <c r="G11">
        <v>3</v>
      </c>
      <c r="H11">
        <v>1</v>
      </c>
      <c r="I11">
        <v>5</v>
      </c>
      <c r="J11">
        <v>25</v>
      </c>
      <c r="K11">
        <v>12</v>
      </c>
      <c r="L11">
        <v>26</v>
      </c>
      <c r="M11">
        <v>12</v>
      </c>
      <c r="O11" s="3"/>
      <c r="P11" s="1"/>
    </row>
    <row r="12" spans="1:17">
      <c r="A12">
        <v>2009</v>
      </c>
      <c r="B12">
        <v>1</v>
      </c>
      <c r="C12">
        <v>1</v>
      </c>
      <c r="D12">
        <v>10</v>
      </c>
      <c r="E12">
        <v>4</v>
      </c>
      <c r="F12">
        <v>13</v>
      </c>
      <c r="G12">
        <v>4</v>
      </c>
      <c r="H12">
        <v>1</v>
      </c>
      <c r="I12">
        <v>5</v>
      </c>
      <c r="J12">
        <v>25</v>
      </c>
      <c r="K12">
        <v>12</v>
      </c>
      <c r="L12">
        <v>26</v>
      </c>
      <c r="M12">
        <v>12</v>
      </c>
      <c r="O12" s="3"/>
      <c r="P12" s="1"/>
    </row>
    <row r="13" spans="1:17">
      <c r="A13">
        <v>2010</v>
      </c>
      <c r="B13">
        <v>1</v>
      </c>
      <c r="C13">
        <v>1</v>
      </c>
      <c r="D13">
        <v>2</v>
      </c>
      <c r="E13">
        <v>4</v>
      </c>
      <c r="F13">
        <v>5</v>
      </c>
      <c r="G13">
        <v>4</v>
      </c>
      <c r="H13">
        <v>1</v>
      </c>
      <c r="I13">
        <v>5</v>
      </c>
      <c r="J13">
        <v>25</v>
      </c>
      <c r="K13">
        <v>12</v>
      </c>
      <c r="L13">
        <v>26</v>
      </c>
      <c r="M13">
        <v>12</v>
      </c>
      <c r="O13" s="3"/>
      <c r="P13" s="1"/>
    </row>
    <row r="14" spans="1:17">
      <c r="A14">
        <v>2011</v>
      </c>
      <c r="B14">
        <v>1</v>
      </c>
      <c r="C14">
        <v>1</v>
      </c>
      <c r="D14">
        <v>22</v>
      </c>
      <c r="E14">
        <v>4</v>
      </c>
      <c r="F14">
        <v>25</v>
      </c>
      <c r="G14">
        <v>4</v>
      </c>
      <c r="H14">
        <v>1</v>
      </c>
      <c r="I14">
        <v>5</v>
      </c>
      <c r="J14">
        <v>25</v>
      </c>
      <c r="K14">
        <v>12</v>
      </c>
      <c r="L14">
        <v>26</v>
      </c>
      <c r="M14">
        <v>12</v>
      </c>
      <c r="O14" s="3"/>
      <c r="P14" s="1"/>
    </row>
    <row r="15" spans="1:17">
      <c r="A15">
        <v>2012</v>
      </c>
      <c r="B15">
        <v>1</v>
      </c>
      <c r="C15">
        <v>1</v>
      </c>
      <c r="D15">
        <v>6</v>
      </c>
      <c r="E15">
        <v>4</v>
      </c>
      <c r="F15">
        <v>9</v>
      </c>
      <c r="G15">
        <v>4</v>
      </c>
      <c r="H15">
        <v>1</v>
      </c>
      <c r="I15">
        <v>5</v>
      </c>
      <c r="J15">
        <v>25</v>
      </c>
      <c r="K15">
        <v>12</v>
      </c>
      <c r="L15">
        <v>26</v>
      </c>
      <c r="M15">
        <v>12</v>
      </c>
      <c r="O15" s="3"/>
      <c r="P15" s="1"/>
    </row>
    <row r="16" spans="1:17">
      <c r="A16">
        <v>2013</v>
      </c>
      <c r="B16">
        <v>1</v>
      </c>
      <c r="C16">
        <v>1</v>
      </c>
      <c r="D16">
        <v>28</v>
      </c>
      <c r="E16">
        <v>3</v>
      </c>
      <c r="F16">
        <v>1</v>
      </c>
      <c r="G16">
        <v>4</v>
      </c>
      <c r="H16">
        <v>1</v>
      </c>
      <c r="I16">
        <v>5</v>
      </c>
      <c r="J16">
        <v>25</v>
      </c>
      <c r="K16">
        <v>12</v>
      </c>
      <c r="L16">
        <v>26</v>
      </c>
      <c r="M16">
        <v>12</v>
      </c>
      <c r="O16" s="3"/>
      <c r="P16" s="1"/>
    </row>
    <row r="17" spans="1:16">
      <c r="A17">
        <v>2014</v>
      </c>
      <c r="B17">
        <v>1</v>
      </c>
      <c r="C17">
        <v>1</v>
      </c>
      <c r="D17">
        <v>18</v>
      </c>
      <c r="E17">
        <v>4</v>
      </c>
      <c r="F17">
        <v>21</v>
      </c>
      <c r="G17">
        <v>4</v>
      </c>
      <c r="H17">
        <v>1</v>
      </c>
      <c r="I17">
        <v>5</v>
      </c>
      <c r="J17">
        <v>25</v>
      </c>
      <c r="K17">
        <v>12</v>
      </c>
      <c r="L17">
        <v>26</v>
      </c>
      <c r="M17">
        <v>12</v>
      </c>
      <c r="O17" s="3"/>
      <c r="P17" s="1"/>
    </row>
    <row r="18" spans="1:16">
      <c r="A18">
        <v>2015</v>
      </c>
      <c r="B18">
        <v>1</v>
      </c>
      <c r="C18">
        <v>1</v>
      </c>
      <c r="D18">
        <v>3</v>
      </c>
      <c r="E18">
        <v>4</v>
      </c>
      <c r="F18">
        <v>6</v>
      </c>
      <c r="G18">
        <v>4</v>
      </c>
      <c r="H18">
        <v>1</v>
      </c>
      <c r="I18">
        <v>5</v>
      </c>
      <c r="J18">
        <v>25</v>
      </c>
      <c r="K18">
        <v>12</v>
      </c>
      <c r="L18">
        <v>26</v>
      </c>
      <c r="M18">
        <v>12</v>
      </c>
      <c r="O18" s="3"/>
      <c r="P18" s="1"/>
    </row>
    <row r="19" spans="1:16">
      <c r="A19">
        <v>2016</v>
      </c>
      <c r="B19">
        <v>1</v>
      </c>
      <c r="C19">
        <v>1</v>
      </c>
      <c r="D19">
        <v>25</v>
      </c>
      <c r="E19">
        <v>3</v>
      </c>
      <c r="F19">
        <v>28</v>
      </c>
      <c r="G19">
        <v>3</v>
      </c>
      <c r="H19">
        <v>1</v>
      </c>
      <c r="I19">
        <v>5</v>
      </c>
      <c r="J19">
        <v>25</v>
      </c>
      <c r="K19">
        <v>12</v>
      </c>
      <c r="L19">
        <v>26</v>
      </c>
      <c r="M19">
        <v>12</v>
      </c>
      <c r="O19" s="3"/>
      <c r="P19" s="1"/>
    </row>
    <row r="20" spans="1:16">
      <c r="A20">
        <v>2017</v>
      </c>
      <c r="B20">
        <v>1</v>
      </c>
      <c r="C20">
        <v>1</v>
      </c>
      <c r="D20">
        <v>14</v>
      </c>
      <c r="E20">
        <v>4</v>
      </c>
      <c r="F20">
        <v>17</v>
      </c>
      <c r="G20">
        <v>4</v>
      </c>
      <c r="H20">
        <v>1</v>
      </c>
      <c r="I20">
        <v>5</v>
      </c>
      <c r="J20">
        <v>25</v>
      </c>
      <c r="K20">
        <v>12</v>
      </c>
      <c r="L20">
        <v>26</v>
      </c>
      <c r="M20">
        <v>12</v>
      </c>
      <c r="O20" s="3"/>
      <c r="P20" s="1"/>
    </row>
    <row r="21" spans="1:16">
      <c r="A21">
        <v>2018</v>
      </c>
      <c r="B21">
        <v>1</v>
      </c>
      <c r="C21">
        <v>1</v>
      </c>
      <c r="D21">
        <v>30</v>
      </c>
      <c r="E21">
        <v>3</v>
      </c>
      <c r="F21">
        <v>2</v>
      </c>
      <c r="G21">
        <v>4</v>
      </c>
      <c r="H21">
        <v>1</v>
      </c>
      <c r="I21">
        <v>5</v>
      </c>
      <c r="J21">
        <v>25</v>
      </c>
      <c r="K21">
        <v>12</v>
      </c>
      <c r="L21">
        <v>26</v>
      </c>
      <c r="M21">
        <v>12</v>
      </c>
      <c r="O21" s="3"/>
      <c r="P21" s="1"/>
    </row>
    <row r="22" spans="1:16">
      <c r="A22">
        <v>2019</v>
      </c>
      <c r="B22">
        <v>1</v>
      </c>
      <c r="C22">
        <v>1</v>
      </c>
      <c r="D22">
        <v>19</v>
      </c>
      <c r="E22">
        <v>4</v>
      </c>
      <c r="F22">
        <v>22</v>
      </c>
      <c r="G22">
        <v>4</v>
      </c>
      <c r="H22">
        <v>1</v>
      </c>
      <c r="I22">
        <v>5</v>
      </c>
      <c r="J22">
        <v>25</v>
      </c>
      <c r="K22">
        <v>12</v>
      </c>
      <c r="L22">
        <v>26</v>
      </c>
      <c r="M22">
        <v>12</v>
      </c>
      <c r="O22" s="3"/>
      <c r="P22" s="1"/>
    </row>
    <row r="23" spans="1:16">
      <c r="A23">
        <v>2020</v>
      </c>
      <c r="B23">
        <v>1</v>
      </c>
      <c r="C23">
        <v>1</v>
      </c>
      <c r="D23">
        <v>10</v>
      </c>
      <c r="E23">
        <v>4</v>
      </c>
      <c r="F23">
        <v>14</v>
      </c>
      <c r="G23">
        <v>4</v>
      </c>
      <c r="H23">
        <v>1</v>
      </c>
      <c r="I23">
        <v>5</v>
      </c>
      <c r="J23">
        <v>25</v>
      </c>
      <c r="K23">
        <v>12</v>
      </c>
      <c r="L23">
        <v>26</v>
      </c>
      <c r="M23">
        <v>12</v>
      </c>
      <c r="O23" s="3"/>
      <c r="P23" s="1"/>
    </row>
    <row r="24" spans="1:16">
      <c r="A24">
        <v>2021</v>
      </c>
      <c r="B24">
        <v>1</v>
      </c>
      <c r="C24">
        <v>1</v>
      </c>
      <c r="D24">
        <v>2</v>
      </c>
      <c r="E24">
        <v>4</v>
      </c>
      <c r="F24">
        <v>5</v>
      </c>
      <c r="G24">
        <v>4</v>
      </c>
      <c r="H24">
        <v>1</v>
      </c>
      <c r="I24">
        <v>5</v>
      </c>
      <c r="J24">
        <v>25</v>
      </c>
      <c r="K24">
        <v>12</v>
      </c>
      <c r="L24">
        <v>26</v>
      </c>
      <c r="M24">
        <v>12</v>
      </c>
      <c r="O24" s="3"/>
      <c r="P24" s="1"/>
    </row>
    <row r="25" spans="1:16">
      <c r="A25">
        <v>2022</v>
      </c>
      <c r="B25">
        <v>1</v>
      </c>
      <c r="C25">
        <v>1</v>
      </c>
      <c r="D25">
        <v>15</v>
      </c>
      <c r="E25">
        <v>4</v>
      </c>
      <c r="F25">
        <v>18</v>
      </c>
      <c r="G25">
        <v>4</v>
      </c>
      <c r="H25">
        <v>1</v>
      </c>
      <c r="I25">
        <v>5</v>
      </c>
      <c r="J25">
        <v>25</v>
      </c>
      <c r="K25">
        <v>12</v>
      </c>
      <c r="L25">
        <v>26</v>
      </c>
      <c r="M25">
        <v>12</v>
      </c>
      <c r="O25" s="3"/>
      <c r="P25" s="1"/>
    </row>
    <row r="26" spans="1:16">
      <c r="A26">
        <v>2023</v>
      </c>
      <c r="B26">
        <v>1</v>
      </c>
      <c r="C26">
        <v>1</v>
      </c>
      <c r="D26">
        <v>7</v>
      </c>
      <c r="E26">
        <v>4</v>
      </c>
      <c r="F26">
        <v>10</v>
      </c>
      <c r="G26">
        <v>4</v>
      </c>
      <c r="H26">
        <v>1</v>
      </c>
      <c r="I26">
        <v>5</v>
      </c>
      <c r="J26">
        <v>25</v>
      </c>
      <c r="K26">
        <v>12</v>
      </c>
      <c r="L26">
        <v>26</v>
      </c>
      <c r="M26">
        <v>12</v>
      </c>
      <c r="O26" s="3"/>
      <c r="P26" s="1"/>
    </row>
    <row r="27" spans="1:16">
      <c r="A27">
        <v>2024</v>
      </c>
      <c r="B27">
        <v>1</v>
      </c>
      <c r="C27">
        <v>1</v>
      </c>
      <c r="D27">
        <v>29</v>
      </c>
      <c r="E27">
        <v>3</v>
      </c>
      <c r="F27">
        <v>1</v>
      </c>
      <c r="G27">
        <v>4</v>
      </c>
      <c r="H27">
        <v>1</v>
      </c>
      <c r="I27">
        <v>5</v>
      </c>
      <c r="J27">
        <v>25</v>
      </c>
      <c r="K27">
        <v>12</v>
      </c>
      <c r="L27">
        <v>26</v>
      </c>
      <c r="M27">
        <v>12</v>
      </c>
      <c r="O27" s="3"/>
      <c r="P27" s="1"/>
    </row>
    <row r="28" spans="1:16">
      <c r="A28">
        <v>2025</v>
      </c>
      <c r="B28">
        <v>1</v>
      </c>
      <c r="C28">
        <v>1</v>
      </c>
      <c r="D28">
        <v>18</v>
      </c>
      <c r="E28">
        <v>4</v>
      </c>
      <c r="F28">
        <v>21</v>
      </c>
      <c r="G28">
        <v>4</v>
      </c>
      <c r="H28">
        <v>1</v>
      </c>
      <c r="I28">
        <v>5</v>
      </c>
      <c r="J28">
        <v>25</v>
      </c>
      <c r="K28">
        <v>12</v>
      </c>
      <c r="L28">
        <v>26</v>
      </c>
      <c r="M28">
        <v>12</v>
      </c>
      <c r="O28" s="3"/>
      <c r="P28" s="1"/>
    </row>
    <row r="29" spans="1:16">
      <c r="A29">
        <v>2026</v>
      </c>
      <c r="B29">
        <v>1</v>
      </c>
      <c r="C29">
        <v>1</v>
      </c>
      <c r="D29">
        <v>3</v>
      </c>
      <c r="E29">
        <v>4</v>
      </c>
      <c r="F29">
        <v>6</v>
      </c>
      <c r="G29">
        <v>4</v>
      </c>
      <c r="H29">
        <v>1</v>
      </c>
      <c r="I29">
        <v>5</v>
      </c>
      <c r="J29">
        <v>25</v>
      </c>
      <c r="K29">
        <v>12</v>
      </c>
      <c r="L29">
        <v>26</v>
      </c>
      <c r="M29">
        <v>12</v>
      </c>
      <c r="O29" s="3"/>
      <c r="P29" s="1"/>
    </row>
    <row r="30" spans="1:16">
      <c r="A30">
        <v>2027</v>
      </c>
      <c r="B30">
        <v>1</v>
      </c>
      <c r="C30">
        <v>1</v>
      </c>
      <c r="D30">
        <v>26</v>
      </c>
      <c r="E30">
        <v>3</v>
      </c>
      <c r="F30">
        <v>29</v>
      </c>
      <c r="G30">
        <v>3</v>
      </c>
      <c r="H30">
        <v>1</v>
      </c>
      <c r="I30">
        <v>5</v>
      </c>
      <c r="J30">
        <v>25</v>
      </c>
      <c r="K30">
        <v>12</v>
      </c>
      <c r="L30">
        <v>26</v>
      </c>
      <c r="M30">
        <v>12</v>
      </c>
      <c r="O30" s="3"/>
      <c r="P30" s="1"/>
    </row>
    <row r="31" spans="1:16">
      <c r="A31">
        <v>2028</v>
      </c>
      <c r="B31">
        <v>1</v>
      </c>
      <c r="C31">
        <v>1</v>
      </c>
      <c r="D31">
        <v>14</v>
      </c>
      <c r="E31">
        <v>4</v>
      </c>
      <c r="F31">
        <v>17</v>
      </c>
      <c r="G31">
        <v>4</v>
      </c>
      <c r="H31">
        <v>1</v>
      </c>
      <c r="I31">
        <v>5</v>
      </c>
      <c r="J31">
        <v>25</v>
      </c>
      <c r="K31">
        <v>12</v>
      </c>
      <c r="L31">
        <v>26</v>
      </c>
      <c r="M31">
        <v>12</v>
      </c>
      <c r="O31" s="3"/>
      <c r="P31" s="1"/>
    </row>
    <row r="32" spans="1:16">
      <c r="A32">
        <v>2029</v>
      </c>
      <c r="B32">
        <v>1</v>
      </c>
      <c r="C32">
        <v>1</v>
      </c>
      <c r="D32">
        <v>30</v>
      </c>
      <c r="E32">
        <v>3</v>
      </c>
      <c r="F32">
        <v>2</v>
      </c>
      <c r="G32">
        <v>4</v>
      </c>
      <c r="H32">
        <v>1</v>
      </c>
      <c r="I32">
        <v>5</v>
      </c>
      <c r="J32">
        <v>25</v>
      </c>
      <c r="K32">
        <v>12</v>
      </c>
      <c r="L32">
        <v>26</v>
      </c>
      <c r="M32">
        <v>12</v>
      </c>
      <c r="O32" s="3"/>
      <c r="P32" s="1"/>
    </row>
    <row r="33" spans="1:16">
      <c r="A33">
        <v>2030</v>
      </c>
      <c r="B33">
        <v>1</v>
      </c>
      <c r="C33">
        <v>1</v>
      </c>
      <c r="D33">
        <v>19</v>
      </c>
      <c r="E33">
        <v>4</v>
      </c>
      <c r="F33">
        <v>22</v>
      </c>
      <c r="G33">
        <v>4</v>
      </c>
      <c r="H33">
        <v>1</v>
      </c>
      <c r="I33">
        <v>5</v>
      </c>
      <c r="J33">
        <v>25</v>
      </c>
      <c r="K33">
        <v>12</v>
      </c>
      <c r="L33">
        <v>26</v>
      </c>
      <c r="M33">
        <v>12</v>
      </c>
      <c r="O33" s="3"/>
      <c r="P33" s="1"/>
    </row>
  </sheetData>
  <mergeCells count="6">
    <mergeCell ref="L1:M1"/>
    <mergeCell ref="B1:C1"/>
    <mergeCell ref="D1:E1"/>
    <mergeCell ref="F1:G1"/>
    <mergeCell ref="H1:I1"/>
    <mergeCell ref="J1:K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388AC-FD30-48AF-A4EB-3605963D65A2}">
  <sheetPr codeName="Sheet3"/>
  <dimension ref="A1:IX75"/>
  <sheetViews>
    <sheetView topLeftCell="X61" zoomScale="119" workbookViewId="0">
      <selection activeCell="AE75" sqref="AE75"/>
    </sheetView>
  </sheetViews>
  <sheetFormatPr defaultRowHeight="14.5"/>
  <cols>
    <col min="1" max="1" width="13.7265625" customWidth="1"/>
    <col min="2" max="258" width="10.453125" bestFit="1" customWidth="1"/>
  </cols>
  <sheetData>
    <row r="1" spans="1:257">
      <c r="A1" s="8">
        <v>2014</v>
      </c>
      <c r="B1" s="9" t="s">
        <v>43</v>
      </c>
      <c r="C1" s="9" t="s">
        <v>44</v>
      </c>
      <c r="D1" s="9" t="s">
        <v>45</v>
      </c>
      <c r="E1" s="9" t="s">
        <v>46</v>
      </c>
      <c r="F1" s="9" t="s">
        <v>47</v>
      </c>
      <c r="G1" s="9" t="s">
        <v>48</v>
      </c>
      <c r="H1" s="9" t="s">
        <v>49</v>
      </c>
      <c r="I1" s="9" t="s">
        <v>50</v>
      </c>
      <c r="J1" s="9" t="s">
        <v>51</v>
      </c>
      <c r="K1" s="9" t="s">
        <v>52</v>
      </c>
      <c r="L1" s="9" t="s">
        <v>53</v>
      </c>
      <c r="M1" s="9" t="s">
        <v>54</v>
      </c>
      <c r="N1" s="9" t="s">
        <v>55</v>
      </c>
      <c r="O1" s="9" t="s">
        <v>56</v>
      </c>
      <c r="P1" s="9" t="s">
        <v>57</v>
      </c>
      <c r="Q1" s="9" t="s">
        <v>58</v>
      </c>
      <c r="R1" s="9" t="s">
        <v>59</v>
      </c>
      <c r="S1" s="9" t="s">
        <v>60</v>
      </c>
      <c r="T1" s="9" t="s">
        <v>61</v>
      </c>
      <c r="U1" s="9" t="s">
        <v>62</v>
      </c>
      <c r="V1" s="9" t="s">
        <v>63</v>
      </c>
      <c r="W1" s="9" t="s">
        <v>64</v>
      </c>
      <c r="X1" s="9" t="s">
        <v>65</v>
      </c>
      <c r="Y1" s="9" t="s">
        <v>66</v>
      </c>
      <c r="Z1" s="9" t="s">
        <v>67</v>
      </c>
      <c r="AA1" s="9" t="s">
        <v>68</v>
      </c>
      <c r="AB1" s="9" t="s">
        <v>69</v>
      </c>
      <c r="AC1" s="9" t="s">
        <v>70</v>
      </c>
      <c r="AD1" s="9" t="s">
        <v>71</v>
      </c>
      <c r="AE1" s="9" t="s">
        <v>72</v>
      </c>
      <c r="AF1" s="9" t="s">
        <v>73</v>
      </c>
      <c r="AG1" s="9" t="s">
        <v>74</v>
      </c>
      <c r="AH1" s="9" t="s">
        <v>75</v>
      </c>
      <c r="AI1" s="9" t="s">
        <v>76</v>
      </c>
      <c r="AJ1" s="9" t="s">
        <v>77</v>
      </c>
      <c r="AK1" s="9" t="s">
        <v>78</v>
      </c>
      <c r="AL1" s="9" t="s">
        <v>79</v>
      </c>
      <c r="AM1" s="9" t="s">
        <v>80</v>
      </c>
      <c r="AN1" s="9" t="s">
        <v>81</v>
      </c>
      <c r="AO1" s="9" t="s">
        <v>82</v>
      </c>
      <c r="AP1" s="9" t="s">
        <v>83</v>
      </c>
      <c r="AQ1" s="9" t="s">
        <v>84</v>
      </c>
      <c r="AR1" s="9" t="s">
        <v>85</v>
      </c>
      <c r="AS1" s="9" t="s">
        <v>86</v>
      </c>
      <c r="AT1" s="9" t="s">
        <v>87</v>
      </c>
      <c r="AU1" s="9" t="s">
        <v>88</v>
      </c>
      <c r="AV1" s="9" t="s">
        <v>89</v>
      </c>
      <c r="AW1" s="9" t="s">
        <v>90</v>
      </c>
      <c r="AX1" s="9" t="s">
        <v>91</v>
      </c>
      <c r="AY1" s="9" t="s">
        <v>92</v>
      </c>
      <c r="AZ1" s="9" t="s">
        <v>93</v>
      </c>
      <c r="BA1" s="9" t="s">
        <v>94</v>
      </c>
      <c r="BB1" s="9" t="s">
        <v>95</v>
      </c>
      <c r="BC1" s="9" t="s">
        <v>96</v>
      </c>
      <c r="BD1" s="9" t="s">
        <v>97</v>
      </c>
      <c r="BE1" s="9" t="s">
        <v>98</v>
      </c>
      <c r="BF1" s="9" t="s">
        <v>99</v>
      </c>
      <c r="BG1" s="9" t="s">
        <v>100</v>
      </c>
      <c r="BH1" s="9" t="s">
        <v>101</v>
      </c>
      <c r="BI1" s="9" t="s">
        <v>102</v>
      </c>
      <c r="BJ1" s="9" t="s">
        <v>103</v>
      </c>
      <c r="BK1" s="9" t="s">
        <v>104</v>
      </c>
      <c r="BL1" s="9" t="s">
        <v>105</v>
      </c>
      <c r="BM1" s="9" t="s">
        <v>106</v>
      </c>
      <c r="BN1" s="9" t="s">
        <v>107</v>
      </c>
      <c r="BO1" s="9" t="s">
        <v>108</v>
      </c>
      <c r="BP1" s="9" t="s">
        <v>109</v>
      </c>
      <c r="BQ1" s="9" t="s">
        <v>110</v>
      </c>
      <c r="BR1" s="9" t="s">
        <v>111</v>
      </c>
      <c r="BS1" s="9" t="s">
        <v>112</v>
      </c>
      <c r="BT1" s="9" t="s">
        <v>113</v>
      </c>
      <c r="BU1" s="9" t="s">
        <v>114</v>
      </c>
      <c r="BV1" s="9" t="s">
        <v>115</v>
      </c>
      <c r="BW1" s="9" t="s">
        <v>116</v>
      </c>
      <c r="BX1" s="9" t="s">
        <v>117</v>
      </c>
      <c r="BY1" s="9" t="s">
        <v>118</v>
      </c>
      <c r="BZ1" s="9" t="s">
        <v>119</v>
      </c>
      <c r="CA1" s="9" t="s">
        <v>120</v>
      </c>
      <c r="CB1" s="9" t="s">
        <v>121</v>
      </c>
      <c r="CC1" s="9" t="s">
        <v>122</v>
      </c>
      <c r="CD1" s="9" t="s">
        <v>123</v>
      </c>
      <c r="CE1" s="9" t="s">
        <v>124</v>
      </c>
      <c r="CF1" s="9" t="s">
        <v>125</v>
      </c>
      <c r="CG1" s="9" t="s">
        <v>126</v>
      </c>
      <c r="CH1" s="9" t="s">
        <v>127</v>
      </c>
      <c r="CI1" s="9" t="s">
        <v>128</v>
      </c>
      <c r="CJ1" s="9" t="s">
        <v>129</v>
      </c>
      <c r="CK1" s="9" t="s">
        <v>130</v>
      </c>
      <c r="CL1" s="9" t="s">
        <v>131</v>
      </c>
      <c r="CM1" s="9" t="s">
        <v>132</v>
      </c>
      <c r="CN1" s="9" t="s">
        <v>133</v>
      </c>
      <c r="CO1" s="9" t="s">
        <v>134</v>
      </c>
      <c r="CP1" s="9" t="s">
        <v>135</v>
      </c>
      <c r="CQ1" s="9" t="s">
        <v>136</v>
      </c>
      <c r="CR1" s="9" t="s">
        <v>137</v>
      </c>
      <c r="CS1" s="9" t="s">
        <v>138</v>
      </c>
      <c r="CT1" s="9" t="s">
        <v>139</v>
      </c>
      <c r="CU1" s="9" t="s">
        <v>140</v>
      </c>
      <c r="CV1" s="9" t="s">
        <v>141</v>
      </c>
      <c r="CW1" s="9" t="s">
        <v>142</v>
      </c>
      <c r="CX1" s="9" t="s">
        <v>143</v>
      </c>
      <c r="CY1" s="9" t="s">
        <v>144</v>
      </c>
      <c r="CZ1" s="9" t="s">
        <v>145</v>
      </c>
      <c r="DA1" s="9" t="s">
        <v>146</v>
      </c>
      <c r="DB1" s="9" t="s">
        <v>147</v>
      </c>
      <c r="DC1" s="9" t="s">
        <v>148</v>
      </c>
      <c r="DD1" s="9" t="s">
        <v>149</v>
      </c>
      <c r="DE1" s="9" t="s">
        <v>150</v>
      </c>
      <c r="DF1" s="9" t="s">
        <v>151</v>
      </c>
      <c r="DG1" s="9" t="s">
        <v>152</v>
      </c>
      <c r="DH1" s="9" t="s">
        <v>153</v>
      </c>
      <c r="DI1" s="9" t="s">
        <v>154</v>
      </c>
      <c r="DJ1" s="9" t="s">
        <v>155</v>
      </c>
      <c r="DK1" s="9" t="s">
        <v>156</v>
      </c>
      <c r="DL1" s="9" t="s">
        <v>157</v>
      </c>
      <c r="DM1" s="9" t="s">
        <v>158</v>
      </c>
      <c r="DN1" s="9" t="s">
        <v>159</v>
      </c>
      <c r="DO1" s="9" t="s">
        <v>160</v>
      </c>
      <c r="DP1" s="9" t="s">
        <v>161</v>
      </c>
      <c r="DQ1" s="9" t="s">
        <v>162</v>
      </c>
      <c r="DR1" s="9" t="s">
        <v>163</v>
      </c>
      <c r="DS1" s="9" t="s">
        <v>164</v>
      </c>
      <c r="DT1" s="9" t="s">
        <v>165</v>
      </c>
      <c r="DU1" s="9" t="s">
        <v>166</v>
      </c>
      <c r="DV1" s="9" t="s">
        <v>167</v>
      </c>
      <c r="DW1" s="9" t="s">
        <v>168</v>
      </c>
      <c r="DX1" s="9" t="s">
        <v>169</v>
      </c>
      <c r="DY1" s="9" t="s">
        <v>170</v>
      </c>
      <c r="DZ1" s="9" t="s">
        <v>171</v>
      </c>
      <c r="EA1" s="9" t="s">
        <v>172</v>
      </c>
      <c r="EB1" s="9" t="s">
        <v>173</v>
      </c>
      <c r="EC1" s="9" t="s">
        <v>174</v>
      </c>
      <c r="ED1" s="9" t="s">
        <v>175</v>
      </c>
      <c r="EE1" s="9" t="s">
        <v>176</v>
      </c>
      <c r="EF1" s="9" t="s">
        <v>177</v>
      </c>
      <c r="EG1" s="9" t="s">
        <v>178</v>
      </c>
      <c r="EH1" s="9" t="s">
        <v>179</v>
      </c>
      <c r="EI1" s="9" t="s">
        <v>180</v>
      </c>
      <c r="EJ1" s="9" t="s">
        <v>181</v>
      </c>
      <c r="EK1" s="9" t="s">
        <v>182</v>
      </c>
      <c r="EL1" s="9" t="s">
        <v>183</v>
      </c>
      <c r="EM1" s="9" t="s">
        <v>184</v>
      </c>
      <c r="EN1" s="9" t="s">
        <v>185</v>
      </c>
      <c r="EO1" s="9" t="s">
        <v>186</v>
      </c>
      <c r="EP1" s="9" t="s">
        <v>187</v>
      </c>
      <c r="EQ1" s="9" t="s">
        <v>188</v>
      </c>
      <c r="ER1" s="9" t="s">
        <v>189</v>
      </c>
      <c r="ES1" s="9" t="s">
        <v>190</v>
      </c>
      <c r="ET1" s="9" t="s">
        <v>191</v>
      </c>
      <c r="EU1" s="9" t="s">
        <v>192</v>
      </c>
      <c r="EV1" s="9" t="s">
        <v>193</v>
      </c>
      <c r="EW1" s="9" t="s">
        <v>194</v>
      </c>
      <c r="EX1" s="9" t="s">
        <v>195</v>
      </c>
      <c r="EY1" s="9" t="s">
        <v>196</v>
      </c>
      <c r="EZ1" s="9" t="s">
        <v>197</v>
      </c>
      <c r="FA1" s="9" t="s">
        <v>198</v>
      </c>
      <c r="FB1" s="9" t="s">
        <v>199</v>
      </c>
      <c r="FC1" s="9" t="s">
        <v>200</v>
      </c>
      <c r="FD1" s="9" t="s">
        <v>201</v>
      </c>
      <c r="FE1" s="9" t="s">
        <v>202</v>
      </c>
      <c r="FF1" s="9" t="s">
        <v>203</v>
      </c>
      <c r="FG1" s="9" t="s">
        <v>204</v>
      </c>
      <c r="FH1" s="9" t="s">
        <v>205</v>
      </c>
      <c r="FI1" s="9" t="s">
        <v>206</v>
      </c>
      <c r="FJ1" s="9" t="s">
        <v>207</v>
      </c>
      <c r="FK1" s="9" t="s">
        <v>208</v>
      </c>
      <c r="FL1" s="9" t="s">
        <v>209</v>
      </c>
      <c r="FM1" s="9" t="s">
        <v>210</v>
      </c>
      <c r="FN1" s="9" t="s">
        <v>211</v>
      </c>
      <c r="FO1" s="9" t="s">
        <v>212</v>
      </c>
      <c r="FP1" s="9" t="s">
        <v>213</v>
      </c>
      <c r="FQ1" s="9" t="s">
        <v>214</v>
      </c>
      <c r="FR1" s="9" t="s">
        <v>215</v>
      </c>
      <c r="FS1" s="9" t="s">
        <v>216</v>
      </c>
      <c r="FT1" s="9" t="s">
        <v>217</v>
      </c>
      <c r="FU1" s="9" t="s">
        <v>218</v>
      </c>
      <c r="FV1" s="9" t="s">
        <v>219</v>
      </c>
      <c r="FW1" s="9" t="s">
        <v>220</v>
      </c>
      <c r="FX1" s="9" t="s">
        <v>221</v>
      </c>
      <c r="FY1" s="9" t="s">
        <v>222</v>
      </c>
      <c r="FZ1" s="9" t="s">
        <v>223</v>
      </c>
      <c r="GA1" s="9" t="s">
        <v>224</v>
      </c>
      <c r="GB1" s="9" t="s">
        <v>225</v>
      </c>
      <c r="GC1" s="9" t="s">
        <v>226</v>
      </c>
      <c r="GD1" s="9" t="s">
        <v>227</v>
      </c>
      <c r="GE1" s="9" t="s">
        <v>228</v>
      </c>
      <c r="GF1" s="9" t="s">
        <v>229</v>
      </c>
      <c r="GG1" s="9" t="s">
        <v>230</v>
      </c>
      <c r="GH1" s="9" t="s">
        <v>231</v>
      </c>
      <c r="GI1" s="9" t="s">
        <v>232</v>
      </c>
      <c r="GJ1" s="9" t="s">
        <v>233</v>
      </c>
      <c r="GK1" s="9" t="s">
        <v>234</v>
      </c>
      <c r="GL1" s="9" t="s">
        <v>235</v>
      </c>
      <c r="GM1" s="9" t="s">
        <v>236</v>
      </c>
      <c r="GN1" s="9" t="s">
        <v>237</v>
      </c>
      <c r="GO1" s="9" t="s">
        <v>238</v>
      </c>
      <c r="GP1" s="9" t="s">
        <v>239</v>
      </c>
      <c r="GQ1" s="9" t="s">
        <v>240</v>
      </c>
      <c r="GR1" s="9" t="s">
        <v>241</v>
      </c>
      <c r="GS1" s="9" t="s">
        <v>242</v>
      </c>
      <c r="GT1" s="9" t="s">
        <v>243</v>
      </c>
      <c r="GU1" s="9" t="s">
        <v>244</v>
      </c>
      <c r="GV1" s="9" t="s">
        <v>245</v>
      </c>
      <c r="GW1" s="9" t="s">
        <v>246</v>
      </c>
      <c r="GX1" s="9" t="s">
        <v>247</v>
      </c>
      <c r="GY1" s="9" t="s">
        <v>248</v>
      </c>
      <c r="GZ1" s="9" t="s">
        <v>249</v>
      </c>
      <c r="HA1" s="9" t="s">
        <v>250</v>
      </c>
      <c r="HB1" s="9" t="s">
        <v>251</v>
      </c>
      <c r="HC1" s="9" t="s">
        <v>252</v>
      </c>
      <c r="HD1" s="9" t="s">
        <v>253</v>
      </c>
      <c r="HE1" s="9" t="s">
        <v>254</v>
      </c>
      <c r="HF1" s="9" t="s">
        <v>255</v>
      </c>
      <c r="HG1" s="9" t="s">
        <v>256</v>
      </c>
      <c r="HH1" s="9" t="s">
        <v>257</v>
      </c>
      <c r="HI1" s="9" t="s">
        <v>258</v>
      </c>
      <c r="HJ1" s="9" t="s">
        <v>259</v>
      </c>
      <c r="HK1" s="9" t="s">
        <v>260</v>
      </c>
      <c r="HL1" s="9" t="s">
        <v>261</v>
      </c>
      <c r="HM1" s="9" t="s">
        <v>262</v>
      </c>
      <c r="HN1" s="9" t="s">
        <v>263</v>
      </c>
      <c r="HO1" s="9" t="s">
        <v>264</v>
      </c>
      <c r="HP1" s="9" t="s">
        <v>265</v>
      </c>
      <c r="HQ1" s="9" t="s">
        <v>266</v>
      </c>
      <c r="HR1" s="9" t="s">
        <v>267</v>
      </c>
      <c r="HS1" s="9" t="s">
        <v>268</v>
      </c>
      <c r="HT1" s="9" t="s">
        <v>269</v>
      </c>
      <c r="HU1" s="9" t="s">
        <v>270</v>
      </c>
      <c r="HV1" s="9" t="s">
        <v>271</v>
      </c>
      <c r="HW1" s="9" t="s">
        <v>272</v>
      </c>
      <c r="HX1" s="9" t="s">
        <v>273</v>
      </c>
      <c r="HY1" s="9" t="s">
        <v>274</v>
      </c>
      <c r="HZ1" s="9" t="s">
        <v>275</v>
      </c>
      <c r="IA1" s="9" t="s">
        <v>276</v>
      </c>
      <c r="IB1" s="9" t="s">
        <v>277</v>
      </c>
      <c r="IC1" s="9" t="s">
        <v>278</v>
      </c>
      <c r="ID1" s="9" t="s">
        <v>279</v>
      </c>
      <c r="IE1" s="9" t="s">
        <v>280</v>
      </c>
      <c r="IF1" s="9" t="s">
        <v>281</v>
      </c>
      <c r="IG1" s="9" t="s">
        <v>282</v>
      </c>
      <c r="IH1" s="9" t="s">
        <v>283</v>
      </c>
      <c r="II1" s="9" t="s">
        <v>284</v>
      </c>
      <c r="IJ1" s="9" t="s">
        <v>285</v>
      </c>
      <c r="IK1" s="9" t="s">
        <v>286</v>
      </c>
      <c r="IL1" s="9" t="s">
        <v>287</v>
      </c>
      <c r="IM1" s="9" t="s">
        <v>288</v>
      </c>
      <c r="IN1" s="9" t="s">
        <v>289</v>
      </c>
      <c r="IO1" s="9" t="s">
        <v>290</v>
      </c>
      <c r="IP1" s="9" t="s">
        <v>291</v>
      </c>
      <c r="IQ1" s="9" t="s">
        <v>292</v>
      </c>
      <c r="IR1" s="9" t="s">
        <v>293</v>
      </c>
      <c r="IS1" s="9" t="s">
        <v>294</v>
      </c>
      <c r="IT1" s="9" t="s">
        <v>295</v>
      </c>
      <c r="IU1" s="9" t="s">
        <v>296</v>
      </c>
      <c r="IV1" s="10">
        <v>42004</v>
      </c>
    </row>
    <row r="2" spans="1:257">
      <c r="A2" s="11" t="s">
        <v>35</v>
      </c>
      <c r="B2" s="12">
        <v>0.183</v>
      </c>
      <c r="C2" s="12">
        <v>0.17699999999999999</v>
      </c>
      <c r="D2" s="12">
        <v>0.16900000000000001</v>
      </c>
      <c r="E2" s="12">
        <v>0.16500000000000001</v>
      </c>
      <c r="F2" s="12">
        <v>0.17100000000000001</v>
      </c>
      <c r="G2" s="12">
        <v>0.17299999999999999</v>
      </c>
      <c r="H2" s="12">
        <v>0.17499999999999999</v>
      </c>
      <c r="I2" s="12">
        <v>0.17499999999999999</v>
      </c>
      <c r="J2" s="12">
        <v>0.17399999999999999</v>
      </c>
      <c r="K2" s="12">
        <v>0.184</v>
      </c>
      <c r="L2" s="12">
        <v>0.21</v>
      </c>
      <c r="M2" s="12">
        <v>0.22700000000000001</v>
      </c>
      <c r="N2" s="12">
        <v>0.221</v>
      </c>
      <c r="O2" s="12">
        <v>0.222</v>
      </c>
      <c r="P2" s="12">
        <v>0.216</v>
      </c>
      <c r="Q2" s="12">
        <v>0.21299999999999999</v>
      </c>
      <c r="R2" s="12">
        <v>0.21099999999999999</v>
      </c>
      <c r="S2" s="12">
        <v>0.21</v>
      </c>
      <c r="T2" s="12">
        <v>0.21299999999999999</v>
      </c>
      <c r="U2" s="12">
        <v>0.20699999999999999</v>
      </c>
      <c r="V2" s="12">
        <v>0.191</v>
      </c>
      <c r="W2" s="12">
        <v>0.188</v>
      </c>
      <c r="X2" s="12">
        <v>0.184</v>
      </c>
      <c r="Y2" s="12">
        <v>0.182</v>
      </c>
      <c r="Z2" s="12">
        <v>0.189</v>
      </c>
      <c r="AA2" s="12">
        <v>0.186</v>
      </c>
      <c r="AB2" s="12">
        <v>0.19</v>
      </c>
      <c r="AC2" s="12">
        <v>0.192</v>
      </c>
      <c r="AD2" s="12">
        <v>0.193</v>
      </c>
      <c r="AE2" s="12">
        <v>0.19800000000000001</v>
      </c>
      <c r="AF2" s="12">
        <v>0.189</v>
      </c>
      <c r="AG2" s="12">
        <v>0.19</v>
      </c>
      <c r="AH2" s="12">
        <v>0.188</v>
      </c>
      <c r="AI2" s="12">
        <v>0.19</v>
      </c>
      <c r="AJ2" s="12">
        <v>0.191</v>
      </c>
      <c r="AK2" s="12">
        <v>0.192</v>
      </c>
      <c r="AL2" s="12">
        <v>0.192</v>
      </c>
      <c r="AM2" s="12">
        <v>0.191</v>
      </c>
      <c r="AN2" s="12">
        <v>0.192</v>
      </c>
      <c r="AO2" s="12">
        <v>0.19400000000000001</v>
      </c>
      <c r="AP2" s="12">
        <v>0.187</v>
      </c>
      <c r="AQ2" s="12">
        <v>0.184</v>
      </c>
      <c r="AR2" s="12">
        <v>0.184</v>
      </c>
      <c r="AS2" s="12">
        <v>0.183</v>
      </c>
      <c r="AT2" s="12">
        <v>0.182</v>
      </c>
      <c r="AU2" s="12">
        <v>0.18099999999999999</v>
      </c>
      <c r="AV2" s="12">
        <v>0.191</v>
      </c>
      <c r="AW2" s="12">
        <v>0.2</v>
      </c>
      <c r="AX2" s="12">
        <v>0.19400000000000001</v>
      </c>
      <c r="AY2" s="12">
        <v>0.19500000000000001</v>
      </c>
      <c r="AZ2" s="12">
        <v>0.192</v>
      </c>
      <c r="BA2" s="12">
        <v>0.191</v>
      </c>
      <c r="BB2" s="12">
        <v>0.191</v>
      </c>
      <c r="BC2" s="12">
        <v>0.19400000000000001</v>
      </c>
      <c r="BD2" s="12">
        <v>0.19500000000000001</v>
      </c>
      <c r="BE2" s="12">
        <v>0.19600000000000001</v>
      </c>
      <c r="BF2" s="12">
        <v>0.20399999999999999</v>
      </c>
      <c r="BG2" s="12">
        <v>0.20899999999999999</v>
      </c>
      <c r="BH2" s="12">
        <v>0.21</v>
      </c>
      <c r="BI2" s="12">
        <v>0.20599999999999999</v>
      </c>
      <c r="BJ2" s="12">
        <v>0.20799999999999999</v>
      </c>
      <c r="BK2" s="12">
        <v>0.19900000000000001</v>
      </c>
      <c r="BL2" s="12">
        <v>0.19900000000000001</v>
      </c>
      <c r="BM2" s="12">
        <v>0.19600000000000001</v>
      </c>
      <c r="BN2" s="12">
        <v>0.20499999999999999</v>
      </c>
      <c r="BO2" s="12">
        <v>0.20399999999999999</v>
      </c>
      <c r="BP2" s="12">
        <v>0.21199999999999999</v>
      </c>
      <c r="BQ2" s="12">
        <v>0.215</v>
      </c>
      <c r="BR2" s="12">
        <v>0.214</v>
      </c>
      <c r="BS2" s="12">
        <v>0.215</v>
      </c>
      <c r="BT2" s="12">
        <v>0.218</v>
      </c>
      <c r="BU2" s="12">
        <v>0.223</v>
      </c>
      <c r="BV2" s="12">
        <v>0.224</v>
      </c>
      <c r="BW2" s="12">
        <v>0.22500000000000001</v>
      </c>
      <c r="BX2" s="12">
        <v>0.218</v>
      </c>
      <c r="BY2" s="12">
        <v>0.21299999999999999</v>
      </c>
      <c r="BZ2" s="12">
        <v>0.219</v>
      </c>
      <c r="CA2" s="12">
        <v>0.22700000000000001</v>
      </c>
      <c r="CB2" s="12">
        <v>0.23899999999999999</v>
      </c>
      <c r="CC2" s="12">
        <v>0.252</v>
      </c>
      <c r="CD2" s="12">
        <v>0.25900000000000001</v>
      </c>
      <c r="CE2" s="12">
        <v>0.253</v>
      </c>
      <c r="CF2" s="12">
        <v>0.23400000000000001</v>
      </c>
      <c r="CG2" s="12">
        <v>0.22500000000000001</v>
      </c>
      <c r="CH2" s="12">
        <v>0.22</v>
      </c>
      <c r="CI2" s="12">
        <v>0.219</v>
      </c>
      <c r="CJ2" s="12">
        <v>0.23699999999999999</v>
      </c>
      <c r="CK2" s="12">
        <v>0.23599999999999999</v>
      </c>
      <c r="CL2" s="12">
        <v>0.24199999999999999</v>
      </c>
      <c r="CM2" s="12">
        <v>0.24099999999999999</v>
      </c>
      <c r="CN2" s="12">
        <v>0.24099999999999999</v>
      </c>
      <c r="CO2" s="12">
        <v>0.23200000000000001</v>
      </c>
      <c r="CP2" s="12">
        <v>0.23</v>
      </c>
      <c r="CQ2" s="12">
        <v>0.23</v>
      </c>
      <c r="CR2" s="12">
        <v>0.23200000000000001</v>
      </c>
      <c r="CS2" s="12">
        <v>0.23100000000000001</v>
      </c>
      <c r="CT2" s="12">
        <v>0.24199999999999999</v>
      </c>
      <c r="CU2" s="12">
        <v>0.26600000000000001</v>
      </c>
      <c r="CV2" s="12">
        <v>0.27800000000000002</v>
      </c>
      <c r="CW2" s="12">
        <v>0.27600000000000002</v>
      </c>
      <c r="CX2" s="12">
        <v>0.27200000000000002</v>
      </c>
      <c r="CY2" s="12">
        <v>0.26300000000000001</v>
      </c>
      <c r="CZ2" s="12">
        <v>0.248</v>
      </c>
      <c r="DA2" s="12">
        <v>0.24199999999999999</v>
      </c>
      <c r="DB2" s="12">
        <v>0.24399999999999999</v>
      </c>
      <c r="DC2" s="12">
        <v>0.24199999999999999</v>
      </c>
      <c r="DD2" s="12">
        <v>0.224</v>
      </c>
      <c r="DE2" s="12">
        <v>0.19700000000000001</v>
      </c>
      <c r="DF2" s="12">
        <v>0.161</v>
      </c>
      <c r="DG2" s="12">
        <v>0.155</v>
      </c>
      <c r="DH2" s="12">
        <v>0.15</v>
      </c>
      <c r="DI2" s="12">
        <v>0.13500000000000001</v>
      </c>
      <c r="DJ2" s="12">
        <v>9.9000000000000005E-2</v>
      </c>
      <c r="DK2" s="12">
        <v>7.9000000000000001E-2</v>
      </c>
      <c r="DL2" s="12">
        <v>6.0999999999999999E-2</v>
      </c>
      <c r="DM2" s="12">
        <v>5.3999999999999999E-2</v>
      </c>
      <c r="DN2" s="12">
        <v>5.0999999999999997E-2</v>
      </c>
      <c r="DO2" s="12">
        <v>4.5999999999999999E-2</v>
      </c>
      <c r="DP2" s="12">
        <v>5.5E-2</v>
      </c>
      <c r="DQ2" s="12">
        <v>6.0999999999999999E-2</v>
      </c>
      <c r="DR2" s="12">
        <v>6.5000000000000002E-2</v>
      </c>
      <c r="DS2" s="12">
        <v>6.6000000000000003E-2</v>
      </c>
      <c r="DT2" s="12">
        <v>6.7000000000000004E-2</v>
      </c>
      <c r="DU2" s="12">
        <v>5.6000000000000001E-2</v>
      </c>
      <c r="DV2" s="12">
        <v>5.1999999999999998E-2</v>
      </c>
      <c r="DW2" s="12">
        <v>5.0999999999999997E-2</v>
      </c>
      <c r="DX2" s="12">
        <v>4.8000000000000001E-2</v>
      </c>
      <c r="DY2" s="12">
        <v>0.05</v>
      </c>
      <c r="DZ2" s="12">
        <v>4.9000000000000002E-2</v>
      </c>
      <c r="EA2" s="12">
        <v>4.9000000000000002E-2</v>
      </c>
      <c r="EB2" s="12">
        <v>4.8000000000000001E-2</v>
      </c>
      <c r="EC2" s="12">
        <v>4.8000000000000001E-2</v>
      </c>
      <c r="ED2" s="12">
        <v>4.8000000000000001E-2</v>
      </c>
      <c r="EE2" s="12">
        <v>4.8000000000000001E-2</v>
      </c>
      <c r="EF2" s="12">
        <v>4.8000000000000001E-2</v>
      </c>
      <c r="EG2" s="12">
        <v>4.8000000000000001E-2</v>
      </c>
      <c r="EH2" s="12">
        <v>4.7E-2</v>
      </c>
      <c r="EI2" s="12">
        <v>4.5999999999999999E-2</v>
      </c>
      <c r="EJ2" s="12">
        <v>4.7E-2</v>
      </c>
      <c r="EK2" s="12">
        <v>4.9000000000000002E-2</v>
      </c>
      <c r="EL2" s="12">
        <v>0.05</v>
      </c>
      <c r="EM2" s="12">
        <v>5.8999999999999997E-2</v>
      </c>
      <c r="EN2" s="12">
        <v>6.4000000000000001E-2</v>
      </c>
      <c r="EO2" s="12">
        <v>6.4000000000000001E-2</v>
      </c>
      <c r="EP2" s="12">
        <v>6.2E-2</v>
      </c>
      <c r="EQ2" s="12">
        <v>6.0999999999999999E-2</v>
      </c>
      <c r="ER2" s="12">
        <v>0.05</v>
      </c>
      <c r="ES2" s="12">
        <v>4.9000000000000002E-2</v>
      </c>
      <c r="ET2" s="12">
        <v>4.9000000000000002E-2</v>
      </c>
      <c r="EU2" s="12">
        <v>4.3999999999999997E-2</v>
      </c>
      <c r="EV2" s="12">
        <v>4.3999999999999997E-2</v>
      </c>
      <c r="EW2" s="12">
        <v>4.3999999999999997E-2</v>
      </c>
      <c r="EX2" s="12">
        <v>4.2000000000000003E-2</v>
      </c>
      <c r="EY2" s="12">
        <v>0.04</v>
      </c>
      <c r="EZ2" s="12">
        <v>3.7999999999999999E-2</v>
      </c>
      <c r="FA2" s="12">
        <v>3.6999999999999998E-2</v>
      </c>
      <c r="FB2" s="12">
        <v>3.7999999999999999E-2</v>
      </c>
      <c r="FC2" s="12">
        <v>3.6999999999999998E-2</v>
      </c>
      <c r="FD2" s="12">
        <v>3.6999999999999998E-2</v>
      </c>
      <c r="FE2" s="12">
        <v>3.5999999999999997E-2</v>
      </c>
      <c r="FF2" s="12">
        <v>3.5999999999999997E-2</v>
      </c>
      <c r="FG2" s="12">
        <v>3.5000000000000003E-2</v>
      </c>
      <c r="FH2" s="12">
        <v>4.4999999999999998E-2</v>
      </c>
      <c r="FI2" s="12">
        <v>4.7E-2</v>
      </c>
      <c r="FJ2" s="12">
        <v>4.5999999999999999E-2</v>
      </c>
      <c r="FK2" s="12">
        <v>4.7E-2</v>
      </c>
      <c r="FL2" s="12">
        <v>4.5999999999999999E-2</v>
      </c>
      <c r="FM2" s="12">
        <v>3.5999999999999997E-2</v>
      </c>
      <c r="FN2" s="12">
        <v>3.1E-2</v>
      </c>
      <c r="FO2" s="12">
        <v>3.1E-2</v>
      </c>
      <c r="FP2" s="12">
        <v>2.5999999999999999E-2</v>
      </c>
      <c r="FQ2" s="12">
        <v>2.5999999999999999E-2</v>
      </c>
      <c r="FR2" s="12">
        <v>2.5000000000000001E-2</v>
      </c>
      <c r="FS2" s="12">
        <v>-8.9999999999999993E-3</v>
      </c>
      <c r="FT2" s="12">
        <v>-1.6E-2</v>
      </c>
      <c r="FU2" s="12">
        <v>-1.7999999999999999E-2</v>
      </c>
      <c r="FV2" s="12">
        <v>-1.7999999999999999E-2</v>
      </c>
      <c r="FW2" s="12">
        <v>-2.1000000000000001E-2</v>
      </c>
      <c r="FX2" s="12">
        <v>-2.1000000000000001E-2</v>
      </c>
      <c r="FY2" s="12">
        <v>-1.7999999999999999E-2</v>
      </c>
      <c r="FZ2" s="12">
        <v>-2.1999999999999999E-2</v>
      </c>
      <c r="GA2" s="12">
        <v>-2.3E-2</v>
      </c>
      <c r="GB2" s="12">
        <v>-2.1999999999999999E-2</v>
      </c>
      <c r="GC2" s="12">
        <v>-2.3E-2</v>
      </c>
      <c r="GD2" s="12">
        <v>-1.6E-2</v>
      </c>
      <c r="GE2" s="12">
        <v>-1.4E-2</v>
      </c>
      <c r="GF2" s="12">
        <v>-6.0000000000000001E-3</v>
      </c>
      <c r="GG2" s="12">
        <v>-7.0000000000000001E-3</v>
      </c>
      <c r="GH2" s="12">
        <v>1E-3</v>
      </c>
      <c r="GI2" s="12">
        <v>-8.9999999999999993E-3</v>
      </c>
      <c r="GJ2" s="12">
        <v>-1.2999999999999999E-2</v>
      </c>
      <c r="GK2" s="12">
        <v>-1.4E-2</v>
      </c>
      <c r="GL2" s="12">
        <v>-1.6E-2</v>
      </c>
      <c r="GM2" s="12">
        <v>-1.7000000000000001E-2</v>
      </c>
      <c r="GN2" s="12">
        <v>-1.9E-2</v>
      </c>
      <c r="GO2" s="12">
        <v>-1.7999999999999999E-2</v>
      </c>
      <c r="GP2" s="12">
        <v>-0.02</v>
      </c>
      <c r="GQ2" s="12">
        <v>-0.02</v>
      </c>
      <c r="GR2" s="12">
        <v>-0.02</v>
      </c>
      <c r="GS2" s="12">
        <v>-2.1999999999999999E-2</v>
      </c>
      <c r="GT2" s="12">
        <v>-2.1000000000000001E-2</v>
      </c>
      <c r="GU2" s="12">
        <v>-2.1000000000000001E-2</v>
      </c>
      <c r="GV2" s="12">
        <v>-2.1000000000000001E-2</v>
      </c>
      <c r="GW2" s="12">
        <v>-2.1000000000000001E-2</v>
      </c>
      <c r="GX2" s="12">
        <v>-2.1999999999999999E-2</v>
      </c>
      <c r="GY2" s="12">
        <v>-1.7999999999999999E-2</v>
      </c>
      <c r="GZ2" s="12">
        <v>-1.0999999999999999E-2</v>
      </c>
      <c r="HA2" s="12">
        <v>2E-3</v>
      </c>
      <c r="HB2" s="12">
        <v>8.9999999999999993E-3</v>
      </c>
      <c r="HC2" s="12">
        <v>1.4E-2</v>
      </c>
      <c r="HD2" s="12">
        <v>1.2999999999999999E-2</v>
      </c>
      <c r="HE2" s="12">
        <v>1.2E-2</v>
      </c>
      <c r="HF2" s="12">
        <v>-5.0000000000000001E-3</v>
      </c>
      <c r="HG2" s="12">
        <v>-1.0999999999999999E-2</v>
      </c>
      <c r="HH2" s="12">
        <v>-1.2E-2</v>
      </c>
      <c r="HI2" s="12">
        <v>-1.4E-2</v>
      </c>
      <c r="HJ2" s="12">
        <v>-1.7999999999999999E-2</v>
      </c>
      <c r="HK2" s="12">
        <v>-1.6E-2</v>
      </c>
      <c r="HL2" s="12">
        <v>-1.7999999999999999E-2</v>
      </c>
      <c r="HM2" s="12">
        <v>-1.6E-2</v>
      </c>
      <c r="HN2" s="12">
        <v>-1.6E-2</v>
      </c>
      <c r="HO2" s="12">
        <v>-1.7999999999999999E-2</v>
      </c>
      <c r="HP2" s="12">
        <v>-1.9E-2</v>
      </c>
      <c r="HQ2" s="12">
        <v>-1.9E-2</v>
      </c>
      <c r="HR2" s="12">
        <v>-2.1000000000000001E-2</v>
      </c>
      <c r="HS2" s="12">
        <v>-1.9E-2</v>
      </c>
      <c r="HT2" s="12">
        <v>-1.7999999999999999E-2</v>
      </c>
      <c r="HU2" s="12">
        <v>-4.0000000000000001E-3</v>
      </c>
      <c r="HV2" s="12">
        <v>1E-3</v>
      </c>
      <c r="HW2" s="12">
        <v>5.0000000000000001E-3</v>
      </c>
      <c r="HX2" s="12">
        <v>8.9999999999999993E-3</v>
      </c>
      <c r="HY2" s="12">
        <v>1.4999999999999999E-2</v>
      </c>
      <c r="HZ2" s="12">
        <v>5.0000000000000001E-3</v>
      </c>
      <c r="IA2" s="12">
        <v>1E-3</v>
      </c>
      <c r="IB2" s="12">
        <v>-4.0000000000000001E-3</v>
      </c>
      <c r="IC2" s="12">
        <v>-8.0000000000000002E-3</v>
      </c>
      <c r="ID2" s="12">
        <v>-1.2999999999999999E-2</v>
      </c>
      <c r="IE2" s="12">
        <v>-1.2E-2</v>
      </c>
      <c r="IF2" s="12">
        <v>-1.0999999999999999E-2</v>
      </c>
      <c r="IG2" s="12">
        <v>-0.01</v>
      </c>
      <c r="IH2" s="12">
        <v>-0.01</v>
      </c>
      <c r="II2" s="12">
        <v>-1.2E-2</v>
      </c>
      <c r="IJ2" s="12">
        <v>-1.2999999999999999E-2</v>
      </c>
      <c r="IK2" s="12">
        <v>-1.6E-2</v>
      </c>
      <c r="IL2" s="12">
        <v>-0.02</v>
      </c>
      <c r="IM2" s="12">
        <v>-1.7999999999999999E-2</v>
      </c>
      <c r="IN2" s="12">
        <v>-1.7999999999999999E-2</v>
      </c>
      <c r="IO2" s="12">
        <v>-0.02</v>
      </c>
      <c r="IP2" s="12">
        <v>-2.1000000000000001E-2</v>
      </c>
      <c r="IQ2" s="12">
        <v>-1.9E-2</v>
      </c>
      <c r="IR2" s="12">
        <v>3.3000000000000002E-2</v>
      </c>
      <c r="IS2" s="12">
        <v>3.4000000000000002E-2</v>
      </c>
      <c r="IT2" s="12">
        <v>3.4000000000000002E-2</v>
      </c>
      <c r="IU2" s="12">
        <v>-5.0000000000000001E-3</v>
      </c>
      <c r="IV2" s="13">
        <v>-1.4999999999999999E-2</v>
      </c>
    </row>
    <row r="3" spans="1:257">
      <c r="A3" s="11" t="s">
        <v>36</v>
      </c>
      <c r="B3" s="12">
        <v>0.19400000000000001</v>
      </c>
      <c r="C3" s="12">
        <v>0.188</v>
      </c>
      <c r="D3" s="12">
        <v>0.182</v>
      </c>
      <c r="E3" s="12">
        <v>0.18</v>
      </c>
      <c r="F3" s="12">
        <v>0.184</v>
      </c>
      <c r="G3" s="12">
        <v>0.185</v>
      </c>
      <c r="H3" s="12">
        <v>0.186</v>
      </c>
      <c r="I3" s="12">
        <v>0.186</v>
      </c>
      <c r="J3" s="12">
        <v>0.185</v>
      </c>
      <c r="K3" s="12">
        <v>0.193</v>
      </c>
      <c r="L3" s="12">
        <v>0.218</v>
      </c>
      <c r="M3" s="12">
        <v>0.23300000000000001</v>
      </c>
      <c r="N3" s="12">
        <v>0.23</v>
      </c>
      <c r="O3" s="12">
        <v>0.23100000000000001</v>
      </c>
      <c r="P3" s="12">
        <v>0.22800000000000001</v>
      </c>
      <c r="Q3" s="12">
        <v>0.22600000000000001</v>
      </c>
      <c r="R3" s="12">
        <v>0.222</v>
      </c>
      <c r="S3" s="12">
        <v>0.222</v>
      </c>
      <c r="T3" s="12">
        <v>0.223</v>
      </c>
      <c r="U3" s="12">
        <v>0.218</v>
      </c>
      <c r="V3" s="12">
        <v>0.20599999999999999</v>
      </c>
      <c r="W3" s="12">
        <v>0.20200000000000001</v>
      </c>
      <c r="X3" s="12">
        <v>0.19700000000000001</v>
      </c>
      <c r="Y3" s="12">
        <v>0.19600000000000001</v>
      </c>
      <c r="Z3" s="12">
        <v>0.20100000000000001</v>
      </c>
      <c r="AA3" s="12">
        <v>0.19600000000000001</v>
      </c>
      <c r="AB3" s="12">
        <v>0.20200000000000001</v>
      </c>
      <c r="AC3" s="12">
        <v>0.20300000000000001</v>
      </c>
      <c r="AD3" s="12">
        <v>0.20300000000000001</v>
      </c>
      <c r="AE3" s="12">
        <v>0.20599999999999999</v>
      </c>
      <c r="AF3" s="12">
        <v>0.2</v>
      </c>
      <c r="AG3" s="12">
        <v>0.20100000000000001</v>
      </c>
      <c r="AH3" s="12">
        <v>0.19900000000000001</v>
      </c>
      <c r="AI3" s="12">
        <v>0.20100000000000001</v>
      </c>
      <c r="AJ3" s="12">
        <v>0.20100000000000001</v>
      </c>
      <c r="AK3" s="12">
        <v>0.19700000000000001</v>
      </c>
      <c r="AL3" s="12">
        <v>0.2</v>
      </c>
      <c r="AM3" s="12">
        <v>0.19900000000000001</v>
      </c>
      <c r="AN3" s="12">
        <v>0.2</v>
      </c>
      <c r="AO3" s="12">
        <v>0.2</v>
      </c>
      <c r="AP3" s="12">
        <v>0.19600000000000001</v>
      </c>
      <c r="AQ3" s="12">
        <v>0.19400000000000001</v>
      </c>
      <c r="AR3" s="12">
        <v>0.19400000000000001</v>
      </c>
      <c r="AS3" s="12">
        <v>0.19400000000000001</v>
      </c>
      <c r="AT3" s="12">
        <v>0.19400000000000001</v>
      </c>
      <c r="AU3" s="12">
        <v>0.193</v>
      </c>
      <c r="AV3" s="12">
        <v>0.20300000000000001</v>
      </c>
      <c r="AW3" s="12">
        <v>0.21</v>
      </c>
      <c r="AX3" s="12">
        <v>0.20599999999999999</v>
      </c>
      <c r="AY3" s="12">
        <v>0.20799999999999999</v>
      </c>
      <c r="AZ3" s="12">
        <v>0.20399999999999999</v>
      </c>
      <c r="BA3" s="12">
        <v>0.20300000000000001</v>
      </c>
      <c r="BB3" s="12">
        <v>0.20499999999999999</v>
      </c>
      <c r="BC3" s="12">
        <v>0.20799999999999999</v>
      </c>
      <c r="BD3" s="12">
        <v>0.21</v>
      </c>
      <c r="BE3" s="12">
        <v>0.21</v>
      </c>
      <c r="BF3" s="12">
        <v>0.21</v>
      </c>
      <c r="BG3" s="12">
        <v>0.21299999999999999</v>
      </c>
      <c r="BH3" s="12">
        <v>0.215</v>
      </c>
      <c r="BI3" s="12">
        <v>0.21099999999999999</v>
      </c>
      <c r="BJ3" s="12">
        <v>0.21099999999999999</v>
      </c>
      <c r="BK3" s="12">
        <v>0.20599999999999999</v>
      </c>
      <c r="BL3" s="12">
        <v>0.20899999999999999</v>
      </c>
      <c r="BM3" s="12">
        <v>0.20499999999999999</v>
      </c>
      <c r="BN3" s="12">
        <v>0.214</v>
      </c>
      <c r="BO3" s="12">
        <v>0.215</v>
      </c>
      <c r="BP3" s="12">
        <v>0.223</v>
      </c>
      <c r="BQ3" s="12">
        <v>0.22700000000000001</v>
      </c>
      <c r="BR3" s="12">
        <v>0.22600000000000001</v>
      </c>
      <c r="BS3" s="12">
        <v>0.22600000000000001</v>
      </c>
      <c r="BT3" s="12">
        <v>0.22700000000000001</v>
      </c>
      <c r="BU3" s="12">
        <v>0.23100000000000001</v>
      </c>
      <c r="BV3" s="12">
        <v>0.23</v>
      </c>
      <c r="BW3" s="12">
        <v>0.23200000000000001</v>
      </c>
      <c r="BX3" s="12">
        <v>0.22800000000000001</v>
      </c>
      <c r="BY3" s="12">
        <v>0.224</v>
      </c>
      <c r="BZ3" s="12">
        <v>0.22500000000000001</v>
      </c>
      <c r="CA3" s="12">
        <v>0.23100000000000001</v>
      </c>
      <c r="CB3" s="12">
        <v>0.24299999999999999</v>
      </c>
      <c r="CC3" s="12">
        <v>0.253</v>
      </c>
      <c r="CD3" s="12">
        <v>0.25700000000000001</v>
      </c>
      <c r="CE3" s="12">
        <v>0.255</v>
      </c>
      <c r="CF3" s="12">
        <v>0.23899999999999999</v>
      </c>
      <c r="CG3" s="12">
        <v>0.23400000000000001</v>
      </c>
      <c r="CH3" s="12">
        <v>0.23100000000000001</v>
      </c>
      <c r="CI3" s="12">
        <v>0.23100000000000001</v>
      </c>
      <c r="CJ3" s="12">
        <v>0.24299999999999999</v>
      </c>
      <c r="CK3" s="12">
        <v>0.24099999999999999</v>
      </c>
      <c r="CL3" s="12">
        <v>0.248</v>
      </c>
      <c r="CM3" s="12">
        <v>0.247</v>
      </c>
      <c r="CN3" s="12">
        <v>0.249</v>
      </c>
      <c r="CO3" s="12">
        <v>0.24099999999999999</v>
      </c>
      <c r="CP3" s="12">
        <v>0.24199999999999999</v>
      </c>
      <c r="CQ3" s="12">
        <v>0.24199999999999999</v>
      </c>
      <c r="CR3" s="12">
        <v>0.24199999999999999</v>
      </c>
      <c r="CS3" s="12">
        <v>0.24199999999999999</v>
      </c>
      <c r="CT3" s="12">
        <v>0.251</v>
      </c>
      <c r="CU3" s="12">
        <v>0.26200000000000001</v>
      </c>
      <c r="CV3" s="12">
        <v>0.26800000000000002</v>
      </c>
      <c r="CW3" s="12">
        <v>0.26500000000000001</v>
      </c>
      <c r="CX3" s="12">
        <v>0.26100000000000001</v>
      </c>
      <c r="CY3" s="12">
        <v>0.25700000000000001</v>
      </c>
      <c r="CZ3" s="12">
        <v>0.24299999999999999</v>
      </c>
      <c r="DA3" s="12">
        <v>0.24199999999999999</v>
      </c>
      <c r="DB3" s="12">
        <v>0.24099999999999999</v>
      </c>
      <c r="DC3" s="12">
        <v>0.23899999999999999</v>
      </c>
      <c r="DD3" s="12">
        <v>0.22700000000000001</v>
      </c>
      <c r="DE3" s="12">
        <v>0.20599999999999999</v>
      </c>
      <c r="DF3" s="12">
        <v>0.16800000000000001</v>
      </c>
      <c r="DG3" s="12">
        <v>0.16200000000000001</v>
      </c>
      <c r="DH3" s="12">
        <v>0.157</v>
      </c>
      <c r="DI3" s="12">
        <v>0.14599999999999999</v>
      </c>
      <c r="DJ3" s="12">
        <v>0.114</v>
      </c>
      <c r="DK3" s="12">
        <v>9.9000000000000005E-2</v>
      </c>
      <c r="DL3" s="12">
        <v>8.3000000000000004E-2</v>
      </c>
      <c r="DM3" s="12">
        <v>7.5999999999999998E-2</v>
      </c>
      <c r="DN3" s="12">
        <v>7.2999999999999995E-2</v>
      </c>
      <c r="DO3" s="12">
        <v>6.9000000000000006E-2</v>
      </c>
      <c r="DP3" s="12">
        <v>6.8000000000000005E-2</v>
      </c>
      <c r="DQ3" s="12">
        <v>6.9000000000000006E-2</v>
      </c>
      <c r="DR3" s="12">
        <v>7.0999999999999994E-2</v>
      </c>
      <c r="DS3" s="12">
        <v>7.0999999999999994E-2</v>
      </c>
      <c r="DT3" s="12">
        <v>7.1999999999999995E-2</v>
      </c>
      <c r="DU3" s="12">
        <v>6.6000000000000003E-2</v>
      </c>
      <c r="DV3" s="12">
        <v>6.3E-2</v>
      </c>
      <c r="DW3" s="12">
        <v>6.0999999999999999E-2</v>
      </c>
      <c r="DX3" s="12">
        <v>5.8000000000000003E-2</v>
      </c>
      <c r="DY3" s="12">
        <v>0.06</v>
      </c>
      <c r="DZ3" s="12">
        <v>5.8999999999999997E-2</v>
      </c>
      <c r="EA3" s="12">
        <v>5.8999999999999997E-2</v>
      </c>
      <c r="EB3" s="12">
        <v>5.8999999999999997E-2</v>
      </c>
      <c r="EC3" s="12">
        <v>5.8000000000000003E-2</v>
      </c>
      <c r="ED3" s="12">
        <v>5.8000000000000003E-2</v>
      </c>
      <c r="EE3" s="12">
        <v>5.8000000000000003E-2</v>
      </c>
      <c r="EF3" s="12">
        <v>5.8000000000000003E-2</v>
      </c>
      <c r="EG3" s="12">
        <v>5.8000000000000003E-2</v>
      </c>
      <c r="EH3" s="12">
        <v>5.8000000000000003E-2</v>
      </c>
      <c r="EI3" s="12">
        <v>5.7000000000000002E-2</v>
      </c>
      <c r="EJ3" s="12">
        <v>5.8999999999999997E-2</v>
      </c>
      <c r="EK3" s="12">
        <v>6.0999999999999999E-2</v>
      </c>
      <c r="EL3" s="12">
        <v>6.3E-2</v>
      </c>
      <c r="EM3" s="12">
        <v>6.6000000000000003E-2</v>
      </c>
      <c r="EN3" s="12">
        <v>6.8000000000000005E-2</v>
      </c>
      <c r="EO3" s="12">
        <v>6.8000000000000005E-2</v>
      </c>
      <c r="EP3" s="12">
        <v>6.7000000000000004E-2</v>
      </c>
      <c r="EQ3" s="12">
        <v>6.8000000000000005E-2</v>
      </c>
      <c r="ER3" s="12">
        <v>6.0999999999999999E-2</v>
      </c>
      <c r="ES3" s="12">
        <v>5.8999999999999997E-2</v>
      </c>
      <c r="ET3" s="12">
        <v>5.8000000000000003E-2</v>
      </c>
      <c r="EU3" s="12">
        <v>5.6000000000000001E-2</v>
      </c>
      <c r="EV3" s="12">
        <v>5.7000000000000002E-2</v>
      </c>
      <c r="EW3" s="12">
        <v>5.3999999999999999E-2</v>
      </c>
      <c r="EX3" s="12">
        <v>5.1999999999999998E-2</v>
      </c>
      <c r="EY3" s="12">
        <v>4.9000000000000002E-2</v>
      </c>
      <c r="EZ3" s="12">
        <v>4.8000000000000001E-2</v>
      </c>
      <c r="FA3" s="12">
        <v>4.7E-2</v>
      </c>
      <c r="FB3" s="12">
        <v>4.8000000000000001E-2</v>
      </c>
      <c r="FC3" s="12">
        <v>5.0999999999999997E-2</v>
      </c>
      <c r="FD3" s="12">
        <v>0.05</v>
      </c>
      <c r="FE3" s="12">
        <v>4.9000000000000002E-2</v>
      </c>
      <c r="FF3" s="12">
        <v>4.8000000000000001E-2</v>
      </c>
      <c r="FG3" s="12">
        <v>4.7E-2</v>
      </c>
      <c r="FH3" s="12">
        <v>4.7E-2</v>
      </c>
      <c r="FI3" s="12">
        <v>4.8000000000000001E-2</v>
      </c>
      <c r="FJ3" s="12">
        <v>4.5999999999999999E-2</v>
      </c>
      <c r="FK3" s="12">
        <v>4.7E-2</v>
      </c>
      <c r="FL3" s="12">
        <v>4.5999999999999999E-2</v>
      </c>
      <c r="FM3" s="12">
        <v>4.1000000000000002E-2</v>
      </c>
      <c r="FN3" s="12">
        <v>3.7999999999999999E-2</v>
      </c>
      <c r="FO3" s="12">
        <v>3.7999999999999999E-2</v>
      </c>
      <c r="FP3" s="12">
        <v>3.2000000000000001E-2</v>
      </c>
      <c r="FQ3" s="12">
        <v>3.2000000000000001E-2</v>
      </c>
      <c r="FR3" s="12">
        <v>3.1E-2</v>
      </c>
      <c r="FS3" s="12">
        <v>-6.0000000000000001E-3</v>
      </c>
      <c r="FT3" s="12">
        <v>-1.2999999999999999E-2</v>
      </c>
      <c r="FU3" s="12">
        <v>-1.4E-2</v>
      </c>
      <c r="FV3" s="12">
        <v>-1.7000000000000001E-2</v>
      </c>
      <c r="FW3" s="12">
        <v>-1.9E-2</v>
      </c>
      <c r="FX3" s="12">
        <v>-0.02</v>
      </c>
      <c r="FY3" s="12">
        <v>-1.4E-2</v>
      </c>
      <c r="FZ3" s="12">
        <v>-1.4E-2</v>
      </c>
      <c r="GA3" s="12">
        <v>-1.2999999999999999E-2</v>
      </c>
      <c r="GB3" s="12">
        <v>-1.2E-2</v>
      </c>
      <c r="GC3" s="12">
        <v>-1.2E-2</v>
      </c>
      <c r="GD3" s="12">
        <v>-1.2E-2</v>
      </c>
      <c r="GE3" s="12">
        <v>-1.2E-2</v>
      </c>
      <c r="GF3" s="12">
        <v>-5.0000000000000001E-3</v>
      </c>
      <c r="GG3" s="12">
        <v>-6.0000000000000001E-3</v>
      </c>
      <c r="GH3" s="12">
        <v>-4.0000000000000001E-3</v>
      </c>
      <c r="GI3" s="12">
        <v>-8.9999999999999993E-3</v>
      </c>
      <c r="GJ3" s="12">
        <v>-1.2999999999999999E-2</v>
      </c>
      <c r="GK3" s="12">
        <v>-1.2E-2</v>
      </c>
      <c r="GL3" s="12">
        <v>-1.4E-2</v>
      </c>
      <c r="GM3" s="12">
        <v>-1.4E-2</v>
      </c>
      <c r="GN3" s="12">
        <v>-1.2999999999999999E-2</v>
      </c>
      <c r="GO3" s="12">
        <v>-1.2E-2</v>
      </c>
      <c r="GP3" s="12">
        <v>-1.4E-2</v>
      </c>
      <c r="GQ3" s="12">
        <v>-1.4E-2</v>
      </c>
      <c r="GR3" s="12">
        <v>-1.2999999999999999E-2</v>
      </c>
      <c r="GS3" s="12">
        <v>-1.2999999999999999E-2</v>
      </c>
      <c r="GT3" s="12">
        <v>-1.2999999999999999E-2</v>
      </c>
      <c r="GU3" s="12">
        <v>-1.2999999999999999E-2</v>
      </c>
      <c r="GV3" s="12">
        <v>-1.0999999999999999E-2</v>
      </c>
      <c r="GW3" s="12">
        <v>-1.0999999999999999E-2</v>
      </c>
      <c r="GX3" s="12">
        <v>-1.0999999999999999E-2</v>
      </c>
      <c r="GY3" s="12">
        <v>-8.0000000000000002E-3</v>
      </c>
      <c r="GZ3" s="12">
        <v>-2E-3</v>
      </c>
      <c r="HA3" s="12">
        <v>4.0000000000000001E-3</v>
      </c>
      <c r="HB3" s="12">
        <v>6.0000000000000001E-3</v>
      </c>
      <c r="HC3" s="12">
        <v>8.9999999999999993E-3</v>
      </c>
      <c r="HD3" s="12">
        <v>8.9999999999999993E-3</v>
      </c>
      <c r="HE3" s="12">
        <v>8.0000000000000002E-3</v>
      </c>
      <c r="HF3" s="12">
        <v>-2E-3</v>
      </c>
      <c r="HG3" s="12">
        <v>-5.0000000000000001E-3</v>
      </c>
      <c r="HH3" s="12">
        <v>-5.0000000000000001E-3</v>
      </c>
      <c r="HI3" s="12">
        <v>-6.0000000000000001E-3</v>
      </c>
      <c r="HJ3" s="12">
        <v>-8.9999999999999993E-3</v>
      </c>
      <c r="HK3" s="12">
        <v>-8.0000000000000002E-3</v>
      </c>
      <c r="HL3" s="12">
        <v>-8.0000000000000002E-3</v>
      </c>
      <c r="HM3" s="12">
        <v>-8.9999999999999993E-3</v>
      </c>
      <c r="HN3" s="12">
        <v>-8.0000000000000002E-3</v>
      </c>
      <c r="HO3" s="12">
        <v>-8.0000000000000002E-3</v>
      </c>
      <c r="HP3" s="12">
        <v>-6.0000000000000001E-3</v>
      </c>
      <c r="HQ3" s="12">
        <v>-6.0000000000000001E-3</v>
      </c>
      <c r="HR3" s="12">
        <v>-5.0000000000000001E-3</v>
      </c>
      <c r="HS3" s="12">
        <v>-5.0000000000000001E-3</v>
      </c>
      <c r="HT3" s="12">
        <v>-5.0000000000000001E-3</v>
      </c>
      <c r="HU3" s="12">
        <v>-2E-3</v>
      </c>
      <c r="HV3" s="12">
        <v>-2E-3</v>
      </c>
      <c r="HW3" s="12">
        <v>0</v>
      </c>
      <c r="HX3" s="12">
        <v>1E-3</v>
      </c>
      <c r="HY3" s="12">
        <v>8.0000000000000002E-3</v>
      </c>
      <c r="HZ3" s="12">
        <v>3.0000000000000001E-3</v>
      </c>
      <c r="IA3" s="12">
        <v>1E-3</v>
      </c>
      <c r="IB3" s="12">
        <v>-2E-3</v>
      </c>
      <c r="IC3" s="12">
        <v>-4.0000000000000001E-3</v>
      </c>
      <c r="ID3" s="12">
        <v>-7.0000000000000001E-3</v>
      </c>
      <c r="IE3" s="12">
        <v>-8.0000000000000002E-3</v>
      </c>
      <c r="IF3" s="12">
        <v>-8.0000000000000002E-3</v>
      </c>
      <c r="IG3" s="12">
        <v>-6.0000000000000001E-3</v>
      </c>
      <c r="IH3" s="12">
        <v>-8.0000000000000002E-3</v>
      </c>
      <c r="II3" s="12">
        <v>-8.0000000000000002E-3</v>
      </c>
      <c r="IJ3" s="12">
        <v>-8.0000000000000002E-3</v>
      </c>
      <c r="IK3" s="12">
        <v>-1.2E-2</v>
      </c>
      <c r="IL3" s="12">
        <v>-1.2E-2</v>
      </c>
      <c r="IM3" s="12">
        <v>2.1000000000000001E-2</v>
      </c>
      <c r="IN3" s="12">
        <v>2.5999999999999999E-2</v>
      </c>
      <c r="IO3" s="12">
        <v>2.9000000000000001E-2</v>
      </c>
      <c r="IP3" s="12">
        <v>0.03</v>
      </c>
      <c r="IQ3" s="12">
        <v>3.1E-2</v>
      </c>
      <c r="IR3" s="12">
        <v>2.9000000000000001E-2</v>
      </c>
      <c r="IS3" s="12">
        <v>2.7E-2</v>
      </c>
      <c r="IT3" s="12">
        <v>2.5999999999999999E-2</v>
      </c>
      <c r="IU3" s="12">
        <v>5.0000000000000001E-3</v>
      </c>
      <c r="IV3" s="13">
        <v>-6.0000000000000001E-3</v>
      </c>
    </row>
    <row r="4" spans="1:257">
      <c r="A4" s="11" t="s">
        <v>37</v>
      </c>
      <c r="B4" s="12">
        <v>0.214</v>
      </c>
      <c r="C4" s="12">
        <v>0.20799999999999999</v>
      </c>
      <c r="D4" s="12">
        <v>0.20399999999999999</v>
      </c>
      <c r="E4" s="12">
        <v>0.20200000000000001</v>
      </c>
      <c r="F4" s="12">
        <v>0.20300000000000001</v>
      </c>
      <c r="G4" s="12">
        <v>0.20499999999999999</v>
      </c>
      <c r="H4" s="12">
        <v>0.20799999999999999</v>
      </c>
      <c r="I4" s="12">
        <v>0.20699999999999999</v>
      </c>
      <c r="J4" s="12">
        <v>0.20799999999999999</v>
      </c>
      <c r="K4" s="12">
        <v>0.216</v>
      </c>
      <c r="L4" s="12">
        <v>0.23400000000000001</v>
      </c>
      <c r="M4" s="12">
        <v>0.24299999999999999</v>
      </c>
      <c r="N4" s="12">
        <v>0.24</v>
      </c>
      <c r="O4" s="12">
        <v>0.24199999999999999</v>
      </c>
      <c r="P4" s="12">
        <v>0.24099999999999999</v>
      </c>
      <c r="Q4" s="12">
        <v>0.24</v>
      </c>
      <c r="R4" s="12">
        <v>0.23799999999999999</v>
      </c>
      <c r="S4" s="12">
        <v>0.23899999999999999</v>
      </c>
      <c r="T4" s="12">
        <v>0.24099999999999999</v>
      </c>
      <c r="U4" s="12">
        <v>0.23699999999999999</v>
      </c>
      <c r="V4" s="12">
        <v>0.23200000000000001</v>
      </c>
      <c r="W4" s="12">
        <v>0.23</v>
      </c>
      <c r="X4" s="12">
        <v>0.22500000000000001</v>
      </c>
      <c r="Y4" s="12">
        <v>0.222</v>
      </c>
      <c r="Z4" s="12">
        <v>0.223</v>
      </c>
      <c r="AA4" s="12">
        <v>0.221</v>
      </c>
      <c r="AB4" s="12">
        <v>0.22900000000000001</v>
      </c>
      <c r="AC4" s="12">
        <v>0.23</v>
      </c>
      <c r="AD4" s="12">
        <v>0.23</v>
      </c>
      <c r="AE4" s="12">
        <v>0.23</v>
      </c>
      <c r="AF4" s="12">
        <v>0.22500000000000001</v>
      </c>
      <c r="AG4" s="12">
        <v>0.22600000000000001</v>
      </c>
      <c r="AH4" s="12">
        <v>0.224</v>
      </c>
      <c r="AI4" s="12">
        <v>0.224</v>
      </c>
      <c r="AJ4" s="12">
        <v>0.224</v>
      </c>
      <c r="AK4" s="12">
        <v>0.221</v>
      </c>
      <c r="AL4" s="12">
        <v>0.222</v>
      </c>
      <c r="AM4" s="12">
        <v>0.221</v>
      </c>
      <c r="AN4" s="12">
        <v>0.222</v>
      </c>
      <c r="AO4" s="12">
        <v>0.222</v>
      </c>
      <c r="AP4" s="12">
        <v>0.219</v>
      </c>
      <c r="AQ4" s="12">
        <v>0.218</v>
      </c>
      <c r="AR4" s="12">
        <v>0.22</v>
      </c>
      <c r="AS4" s="12">
        <v>0.218</v>
      </c>
      <c r="AT4" s="12">
        <v>0.216</v>
      </c>
      <c r="AU4" s="12">
        <v>0.216</v>
      </c>
      <c r="AV4" s="12">
        <v>0.22900000000000001</v>
      </c>
      <c r="AW4" s="12">
        <v>0.23599999999999999</v>
      </c>
      <c r="AX4" s="12">
        <v>0.23300000000000001</v>
      </c>
      <c r="AY4" s="12">
        <v>0.23300000000000001</v>
      </c>
      <c r="AZ4" s="12">
        <v>0.23</v>
      </c>
      <c r="BA4" s="12">
        <v>0.23</v>
      </c>
      <c r="BB4" s="12">
        <v>0.23200000000000001</v>
      </c>
      <c r="BC4" s="12">
        <v>0.23400000000000001</v>
      </c>
      <c r="BD4" s="12">
        <v>0.23699999999999999</v>
      </c>
      <c r="BE4" s="12">
        <v>0.23799999999999999</v>
      </c>
      <c r="BF4" s="12">
        <v>0.23899999999999999</v>
      </c>
      <c r="BG4" s="12">
        <v>0.24199999999999999</v>
      </c>
      <c r="BH4" s="12">
        <v>0.24099999999999999</v>
      </c>
      <c r="BI4" s="12">
        <v>0.23699999999999999</v>
      </c>
      <c r="BJ4" s="12">
        <v>0.23699999999999999</v>
      </c>
      <c r="BK4" s="12">
        <v>0.23300000000000001</v>
      </c>
      <c r="BL4" s="12">
        <v>0.23699999999999999</v>
      </c>
      <c r="BM4" s="12">
        <v>0.23499999999999999</v>
      </c>
      <c r="BN4" s="12">
        <v>0.24199999999999999</v>
      </c>
      <c r="BO4" s="12">
        <v>0.24</v>
      </c>
      <c r="BP4" s="12">
        <v>0.249</v>
      </c>
      <c r="BQ4" s="12">
        <v>0.252</v>
      </c>
      <c r="BR4" s="12">
        <v>0.251</v>
      </c>
      <c r="BS4" s="12">
        <v>0.251</v>
      </c>
      <c r="BT4" s="12">
        <v>0.251</v>
      </c>
      <c r="BU4" s="12">
        <v>0.253</v>
      </c>
      <c r="BV4" s="12">
        <v>0.252</v>
      </c>
      <c r="BW4" s="12">
        <v>0.251</v>
      </c>
      <c r="BX4" s="12">
        <v>0.248</v>
      </c>
      <c r="BY4" s="12">
        <v>0.246</v>
      </c>
      <c r="BZ4" s="12">
        <v>0.248</v>
      </c>
      <c r="CA4" s="12">
        <v>0.253</v>
      </c>
      <c r="CB4" s="12">
        <v>0.26100000000000001</v>
      </c>
      <c r="CC4" s="12">
        <v>0.26900000000000002</v>
      </c>
      <c r="CD4" s="12">
        <v>0.26900000000000002</v>
      </c>
      <c r="CE4" s="12">
        <v>0.26900000000000002</v>
      </c>
      <c r="CF4" s="12">
        <v>0.26100000000000001</v>
      </c>
      <c r="CG4" s="12">
        <v>0.25800000000000001</v>
      </c>
      <c r="CH4" s="12">
        <v>0.25800000000000001</v>
      </c>
      <c r="CI4" s="12">
        <v>0.25700000000000001</v>
      </c>
      <c r="CJ4" s="12">
        <v>0.26200000000000001</v>
      </c>
      <c r="CK4" s="12">
        <v>0.26200000000000001</v>
      </c>
      <c r="CL4" s="12">
        <v>0.26600000000000001</v>
      </c>
      <c r="CM4" s="12">
        <v>0.26700000000000002</v>
      </c>
      <c r="CN4" s="12">
        <v>0.26800000000000002</v>
      </c>
      <c r="CO4" s="12">
        <v>0.26300000000000001</v>
      </c>
      <c r="CP4" s="12">
        <v>0.25900000000000001</v>
      </c>
      <c r="CQ4" s="12">
        <v>0.25700000000000001</v>
      </c>
      <c r="CR4" s="12">
        <v>0.25700000000000001</v>
      </c>
      <c r="CS4" s="12">
        <v>0.25600000000000001</v>
      </c>
      <c r="CT4" s="12">
        <v>0.25900000000000001</v>
      </c>
      <c r="CU4" s="12">
        <v>0.26200000000000001</v>
      </c>
      <c r="CV4" s="12">
        <v>0.26100000000000001</v>
      </c>
      <c r="CW4" s="12">
        <v>0.25800000000000001</v>
      </c>
      <c r="CX4" s="12">
        <v>0.25700000000000001</v>
      </c>
      <c r="CY4" s="12">
        <v>0.255</v>
      </c>
      <c r="CZ4" s="12">
        <v>0.251</v>
      </c>
      <c r="DA4" s="12">
        <v>0.251</v>
      </c>
      <c r="DB4" s="12">
        <v>0.25</v>
      </c>
      <c r="DC4" s="12">
        <v>0.248</v>
      </c>
      <c r="DD4" s="12">
        <v>0.24099999999999999</v>
      </c>
      <c r="DE4" s="12">
        <v>0.23</v>
      </c>
      <c r="DF4" s="12">
        <v>0.19700000000000001</v>
      </c>
      <c r="DG4" s="12">
        <v>0.192</v>
      </c>
      <c r="DH4" s="12">
        <v>0.188</v>
      </c>
      <c r="DI4" s="12">
        <v>0.17899999999999999</v>
      </c>
      <c r="DJ4" s="12">
        <v>0.156</v>
      </c>
      <c r="DK4" s="12">
        <v>0.14000000000000001</v>
      </c>
      <c r="DL4" s="12">
        <v>0.126</v>
      </c>
      <c r="DM4" s="12">
        <v>0.11899999999999999</v>
      </c>
      <c r="DN4" s="12">
        <v>0.113</v>
      </c>
      <c r="DO4" s="12">
        <v>0.109</v>
      </c>
      <c r="DP4" s="12">
        <v>0.108</v>
      </c>
      <c r="DQ4" s="12">
        <v>0.105</v>
      </c>
      <c r="DR4" s="12">
        <v>0.104</v>
      </c>
      <c r="DS4" s="12">
        <v>0.10299999999999999</v>
      </c>
      <c r="DT4" s="12">
        <v>0.10299999999999999</v>
      </c>
      <c r="DU4" s="12">
        <v>0.10100000000000001</v>
      </c>
      <c r="DV4" s="12">
        <v>9.9000000000000005E-2</v>
      </c>
      <c r="DW4" s="12">
        <v>9.8000000000000004E-2</v>
      </c>
      <c r="DX4" s="12">
        <v>9.6000000000000002E-2</v>
      </c>
      <c r="DY4" s="12">
        <v>9.7000000000000003E-2</v>
      </c>
      <c r="DZ4" s="12">
        <v>9.7000000000000003E-2</v>
      </c>
      <c r="EA4" s="12">
        <v>9.7000000000000003E-2</v>
      </c>
      <c r="EB4" s="12">
        <v>9.6000000000000002E-2</v>
      </c>
      <c r="EC4" s="12">
        <v>9.5000000000000001E-2</v>
      </c>
      <c r="ED4" s="12">
        <v>9.4E-2</v>
      </c>
      <c r="EE4" s="12">
        <v>9.2999999999999999E-2</v>
      </c>
      <c r="EF4" s="12">
        <v>9.1999999999999998E-2</v>
      </c>
      <c r="EG4" s="12">
        <v>9.1999999999999998E-2</v>
      </c>
      <c r="EH4" s="12">
        <v>9.0999999999999998E-2</v>
      </c>
      <c r="EI4" s="12">
        <v>9.0999999999999998E-2</v>
      </c>
      <c r="EJ4" s="12">
        <v>9.1999999999999998E-2</v>
      </c>
      <c r="EK4" s="12">
        <v>9.6000000000000002E-2</v>
      </c>
      <c r="EL4" s="12">
        <v>9.6000000000000002E-2</v>
      </c>
      <c r="EM4" s="12">
        <v>9.8000000000000004E-2</v>
      </c>
      <c r="EN4" s="12">
        <v>9.9000000000000005E-2</v>
      </c>
      <c r="EO4" s="12">
        <v>0.1</v>
      </c>
      <c r="EP4" s="12">
        <v>9.9000000000000005E-2</v>
      </c>
      <c r="EQ4" s="12">
        <v>9.9000000000000005E-2</v>
      </c>
      <c r="ER4" s="12">
        <v>9.8000000000000004E-2</v>
      </c>
      <c r="ES4" s="12">
        <v>9.8000000000000004E-2</v>
      </c>
      <c r="ET4" s="12">
        <v>9.7000000000000003E-2</v>
      </c>
      <c r="EU4" s="12">
        <v>9.6000000000000002E-2</v>
      </c>
      <c r="EV4" s="12">
        <v>9.7000000000000003E-2</v>
      </c>
      <c r="EW4" s="12">
        <v>9.6000000000000002E-2</v>
      </c>
      <c r="EX4" s="12">
        <v>9.6000000000000002E-2</v>
      </c>
      <c r="EY4" s="12">
        <v>9.4E-2</v>
      </c>
      <c r="EZ4" s="12">
        <v>9.1999999999999998E-2</v>
      </c>
      <c r="FA4" s="12">
        <v>9.0999999999999998E-2</v>
      </c>
      <c r="FB4" s="12">
        <v>0.09</v>
      </c>
      <c r="FC4" s="12">
        <v>8.8999999999999996E-2</v>
      </c>
      <c r="FD4" s="12">
        <v>8.7999999999999995E-2</v>
      </c>
      <c r="FE4" s="12">
        <v>8.8999999999999996E-2</v>
      </c>
      <c r="FF4" s="12">
        <v>8.6999999999999994E-2</v>
      </c>
      <c r="FG4" s="12">
        <v>8.4000000000000005E-2</v>
      </c>
      <c r="FH4" s="12">
        <v>8.1000000000000003E-2</v>
      </c>
      <c r="FI4" s="12">
        <v>7.9000000000000001E-2</v>
      </c>
      <c r="FJ4" s="12">
        <v>7.3999999999999996E-2</v>
      </c>
      <c r="FK4" s="12">
        <v>7.0999999999999994E-2</v>
      </c>
      <c r="FL4" s="12">
        <v>6.9000000000000006E-2</v>
      </c>
      <c r="FM4" s="12">
        <v>6.8000000000000005E-2</v>
      </c>
      <c r="FN4" s="12">
        <v>6.7000000000000004E-2</v>
      </c>
      <c r="FO4" s="12">
        <v>6.6000000000000003E-2</v>
      </c>
      <c r="FP4" s="12">
        <v>0.06</v>
      </c>
      <c r="FQ4" s="12">
        <v>6.0999999999999999E-2</v>
      </c>
      <c r="FR4" s="12">
        <v>5.8999999999999997E-2</v>
      </c>
      <c r="FS4" s="12">
        <v>1.9E-2</v>
      </c>
      <c r="FT4" s="12">
        <v>1.2999999999999999E-2</v>
      </c>
      <c r="FU4" s="12">
        <v>0.01</v>
      </c>
      <c r="FV4" s="12">
        <v>0.01</v>
      </c>
      <c r="FW4" s="12">
        <v>7.0000000000000001E-3</v>
      </c>
      <c r="FX4" s="12">
        <v>6.0000000000000001E-3</v>
      </c>
      <c r="FY4" s="12">
        <v>7.0000000000000001E-3</v>
      </c>
      <c r="FZ4" s="12">
        <v>6.0000000000000001E-3</v>
      </c>
      <c r="GA4" s="12">
        <v>6.0000000000000001E-3</v>
      </c>
      <c r="GB4" s="12">
        <v>7.0000000000000001E-3</v>
      </c>
      <c r="GC4" s="12">
        <v>8.0000000000000002E-3</v>
      </c>
      <c r="GD4" s="12">
        <v>5.0000000000000001E-3</v>
      </c>
      <c r="GE4" s="12">
        <v>5.0000000000000001E-3</v>
      </c>
      <c r="GF4" s="12">
        <v>7.0000000000000001E-3</v>
      </c>
      <c r="GG4" s="12">
        <v>6.0000000000000001E-3</v>
      </c>
      <c r="GH4" s="12">
        <v>7.0000000000000001E-3</v>
      </c>
      <c r="GI4" s="12">
        <v>7.0000000000000001E-3</v>
      </c>
      <c r="GJ4" s="12">
        <v>7.0000000000000001E-3</v>
      </c>
      <c r="GK4" s="12">
        <v>6.0000000000000001E-3</v>
      </c>
      <c r="GL4" s="12">
        <v>6.0000000000000001E-3</v>
      </c>
      <c r="GM4" s="12">
        <v>7.0000000000000001E-3</v>
      </c>
      <c r="GN4" s="12">
        <v>7.0000000000000001E-3</v>
      </c>
      <c r="GO4" s="12">
        <v>6.0000000000000001E-3</v>
      </c>
      <c r="GP4" s="12">
        <v>6.0000000000000001E-3</v>
      </c>
      <c r="GQ4" s="12">
        <v>6.0000000000000001E-3</v>
      </c>
      <c r="GR4" s="12">
        <v>6.0000000000000001E-3</v>
      </c>
      <c r="GS4" s="12">
        <v>6.0000000000000001E-3</v>
      </c>
      <c r="GT4" s="12">
        <v>8.0000000000000002E-3</v>
      </c>
      <c r="GU4" s="12">
        <v>6.0000000000000001E-3</v>
      </c>
      <c r="GV4" s="12">
        <v>6.0000000000000001E-3</v>
      </c>
      <c r="GW4" s="12">
        <v>6.0000000000000001E-3</v>
      </c>
      <c r="GX4" s="12">
        <v>6.0000000000000001E-3</v>
      </c>
      <c r="GY4" s="12">
        <v>8.0000000000000002E-3</v>
      </c>
      <c r="GZ4" s="12">
        <v>8.9999999999999993E-3</v>
      </c>
      <c r="HA4" s="12">
        <v>1.0999999999999999E-2</v>
      </c>
      <c r="HB4" s="12">
        <v>1.2E-2</v>
      </c>
      <c r="HC4" s="12">
        <v>1.2E-2</v>
      </c>
      <c r="HD4" s="12">
        <v>1.2E-2</v>
      </c>
      <c r="HE4" s="12">
        <v>0.01</v>
      </c>
      <c r="HF4" s="12">
        <v>0.01</v>
      </c>
      <c r="HG4" s="12">
        <v>0.01</v>
      </c>
      <c r="HH4" s="12">
        <v>0.01</v>
      </c>
      <c r="HI4" s="12">
        <v>8.9999999999999993E-3</v>
      </c>
      <c r="HJ4" s="12">
        <v>8.9999999999999993E-3</v>
      </c>
      <c r="HK4" s="12">
        <v>8.9999999999999993E-3</v>
      </c>
      <c r="HL4" s="12">
        <v>8.0000000000000002E-3</v>
      </c>
      <c r="HM4" s="12">
        <v>8.9999999999999993E-3</v>
      </c>
      <c r="HN4" s="12">
        <v>8.9999999999999993E-3</v>
      </c>
      <c r="HO4" s="12">
        <v>8.9999999999999993E-3</v>
      </c>
      <c r="HP4" s="12">
        <v>8.0000000000000002E-3</v>
      </c>
      <c r="HQ4" s="12">
        <v>8.0000000000000002E-3</v>
      </c>
      <c r="HR4" s="12">
        <v>8.0000000000000002E-3</v>
      </c>
      <c r="HS4" s="12">
        <v>8.9999999999999993E-3</v>
      </c>
      <c r="HT4" s="12">
        <v>8.9999999999999993E-3</v>
      </c>
      <c r="HU4" s="12">
        <v>8.9999999999999993E-3</v>
      </c>
      <c r="HV4" s="12">
        <v>8.9999999999999993E-3</v>
      </c>
      <c r="HW4" s="12">
        <v>8.9999999999999993E-3</v>
      </c>
      <c r="HX4" s="12">
        <v>8.9999999999999993E-3</v>
      </c>
      <c r="HY4" s="12">
        <v>8.9999999999999993E-3</v>
      </c>
      <c r="HZ4" s="12">
        <v>1.6E-2</v>
      </c>
      <c r="IA4" s="12">
        <v>0.02</v>
      </c>
      <c r="IB4" s="12">
        <v>2.1000000000000001E-2</v>
      </c>
      <c r="IC4" s="12">
        <v>2.1999999999999999E-2</v>
      </c>
      <c r="ID4" s="12">
        <v>2.1999999999999999E-2</v>
      </c>
      <c r="IE4" s="12">
        <v>2.1999999999999999E-2</v>
      </c>
      <c r="IF4" s="12">
        <v>2.1999999999999999E-2</v>
      </c>
      <c r="IG4" s="12">
        <v>2.1999999999999999E-2</v>
      </c>
      <c r="IH4" s="12">
        <v>2.4E-2</v>
      </c>
      <c r="II4" s="12">
        <v>2.1999999999999999E-2</v>
      </c>
      <c r="IJ4" s="12">
        <v>2.1999999999999999E-2</v>
      </c>
      <c r="IK4" s="12">
        <v>2.3E-2</v>
      </c>
      <c r="IL4" s="12">
        <v>2.4E-2</v>
      </c>
      <c r="IM4" s="12">
        <v>2.5000000000000001E-2</v>
      </c>
      <c r="IN4" s="12">
        <v>2.5999999999999999E-2</v>
      </c>
      <c r="IO4" s="12">
        <v>2.5000000000000001E-2</v>
      </c>
      <c r="IP4" s="12">
        <v>2.5999999999999999E-2</v>
      </c>
      <c r="IQ4" s="12">
        <v>2.5999999999999999E-2</v>
      </c>
      <c r="IR4" s="12">
        <v>2.4E-2</v>
      </c>
      <c r="IS4" s="12">
        <v>2.5000000000000001E-2</v>
      </c>
      <c r="IT4" s="12">
        <v>2.4E-2</v>
      </c>
      <c r="IU4" s="12">
        <v>1.9E-2</v>
      </c>
      <c r="IV4" s="13">
        <v>1.7999999999999999E-2</v>
      </c>
    </row>
    <row r="5" spans="1:257">
      <c r="A5" s="11" t="s">
        <v>38</v>
      </c>
      <c r="B5" s="12">
        <v>0.251</v>
      </c>
      <c r="C5" s="12">
        <v>0.247</v>
      </c>
      <c r="D5" s="12">
        <v>0.24399999999999999</v>
      </c>
      <c r="E5" s="12">
        <v>0.24199999999999999</v>
      </c>
      <c r="F5" s="12">
        <v>0.24299999999999999</v>
      </c>
      <c r="G5" s="12">
        <v>0.245</v>
      </c>
      <c r="H5" s="12">
        <v>0.247</v>
      </c>
      <c r="I5" s="12">
        <v>0.247</v>
      </c>
      <c r="J5" s="12">
        <v>0.247</v>
      </c>
      <c r="K5" s="12">
        <v>0.255</v>
      </c>
      <c r="L5" s="12">
        <v>0.26700000000000002</v>
      </c>
      <c r="M5" s="12">
        <v>0.27</v>
      </c>
      <c r="N5" s="12">
        <v>0.27</v>
      </c>
      <c r="O5" s="12">
        <v>0.27100000000000002</v>
      </c>
      <c r="P5" s="12">
        <v>0.27</v>
      </c>
      <c r="Q5" s="12">
        <v>0.26900000000000002</v>
      </c>
      <c r="R5" s="12">
        <v>0.26900000000000002</v>
      </c>
      <c r="S5" s="12">
        <v>0.26900000000000002</v>
      </c>
      <c r="T5" s="12">
        <v>0.27100000000000002</v>
      </c>
      <c r="U5" s="12">
        <v>0.26800000000000002</v>
      </c>
      <c r="V5" s="12">
        <v>0.26500000000000001</v>
      </c>
      <c r="W5" s="12">
        <v>0.26200000000000001</v>
      </c>
      <c r="X5" s="12">
        <v>0.254</v>
      </c>
      <c r="Y5" s="12">
        <v>0.253</v>
      </c>
      <c r="Z5" s="12">
        <v>0.252</v>
      </c>
      <c r="AA5" s="12">
        <v>0.251</v>
      </c>
      <c r="AB5" s="12">
        <v>0.25600000000000001</v>
      </c>
      <c r="AC5" s="12">
        <v>0.25700000000000001</v>
      </c>
      <c r="AD5" s="12">
        <v>0.25800000000000001</v>
      </c>
      <c r="AE5" s="12">
        <v>0.25700000000000001</v>
      </c>
      <c r="AF5" s="12">
        <v>0.253</v>
      </c>
      <c r="AG5" s="12">
        <v>0.251</v>
      </c>
      <c r="AH5" s="12">
        <v>0.251</v>
      </c>
      <c r="AI5" s="12">
        <v>0.251</v>
      </c>
      <c r="AJ5" s="12">
        <v>0.251</v>
      </c>
      <c r="AK5" s="12">
        <v>0.249</v>
      </c>
      <c r="AL5" s="12">
        <v>0.251</v>
      </c>
      <c r="AM5" s="12">
        <v>0.252</v>
      </c>
      <c r="AN5" s="12">
        <v>0.252</v>
      </c>
      <c r="AO5" s="12">
        <v>0.251</v>
      </c>
      <c r="AP5" s="12">
        <v>0.249</v>
      </c>
      <c r="AQ5" s="12">
        <v>0.25</v>
      </c>
      <c r="AR5" s="12">
        <v>0.252</v>
      </c>
      <c r="AS5" s="12">
        <v>0.25</v>
      </c>
      <c r="AT5" s="12">
        <v>0.249</v>
      </c>
      <c r="AU5" s="12">
        <v>0.249</v>
      </c>
      <c r="AV5" s="12">
        <v>0.26100000000000001</v>
      </c>
      <c r="AW5" s="12">
        <v>0.27</v>
      </c>
      <c r="AX5" s="12">
        <v>0.26800000000000002</v>
      </c>
      <c r="AY5" s="12">
        <v>0.26800000000000002</v>
      </c>
      <c r="AZ5" s="12">
        <v>0.26700000000000002</v>
      </c>
      <c r="BA5" s="12">
        <v>0.26500000000000001</v>
      </c>
      <c r="BB5" s="12">
        <v>0.26800000000000002</v>
      </c>
      <c r="BC5" s="12">
        <v>0.27100000000000002</v>
      </c>
      <c r="BD5" s="12">
        <v>0.27400000000000002</v>
      </c>
      <c r="BE5" s="12">
        <v>0.27600000000000002</v>
      </c>
      <c r="BF5" s="12">
        <v>0.27900000000000003</v>
      </c>
      <c r="BG5" s="12">
        <v>0.28100000000000003</v>
      </c>
      <c r="BH5" s="12">
        <v>0.28100000000000003</v>
      </c>
      <c r="BI5" s="12">
        <v>0.27700000000000002</v>
      </c>
      <c r="BJ5" s="12">
        <v>0.27700000000000002</v>
      </c>
      <c r="BK5" s="12">
        <v>0.27600000000000002</v>
      </c>
      <c r="BL5" s="12">
        <v>0.27800000000000002</v>
      </c>
      <c r="BM5" s="12">
        <v>0.27700000000000002</v>
      </c>
      <c r="BN5" s="12">
        <v>0.28100000000000003</v>
      </c>
      <c r="BO5" s="12">
        <v>0.28100000000000003</v>
      </c>
      <c r="BP5" s="12">
        <v>0.28699999999999998</v>
      </c>
      <c r="BQ5" s="12">
        <v>0.28999999999999998</v>
      </c>
      <c r="BR5" s="12">
        <v>0.28799999999999998</v>
      </c>
      <c r="BS5" s="12">
        <v>0.28899999999999998</v>
      </c>
      <c r="BT5" s="12">
        <v>0.28899999999999998</v>
      </c>
      <c r="BU5" s="12">
        <v>0.28999999999999998</v>
      </c>
      <c r="BV5" s="12">
        <v>0.28999999999999998</v>
      </c>
      <c r="BW5" s="12">
        <v>0.28899999999999998</v>
      </c>
      <c r="BX5" s="12">
        <v>0.28699999999999998</v>
      </c>
      <c r="BY5" s="12">
        <v>0.28599999999999998</v>
      </c>
      <c r="BZ5" s="12">
        <v>0.28799999999999998</v>
      </c>
      <c r="CA5" s="12">
        <v>0.29299999999999998</v>
      </c>
      <c r="CB5" s="12">
        <v>0.29699999999999999</v>
      </c>
      <c r="CC5" s="12">
        <v>0.30399999999999999</v>
      </c>
      <c r="CD5" s="12">
        <v>0.30499999999999999</v>
      </c>
      <c r="CE5" s="12">
        <v>0.308</v>
      </c>
      <c r="CF5" s="12">
        <v>0.29899999999999999</v>
      </c>
      <c r="CG5" s="12">
        <v>0.29699999999999999</v>
      </c>
      <c r="CH5" s="12">
        <v>0.29699999999999999</v>
      </c>
      <c r="CI5" s="12">
        <v>0.29699999999999999</v>
      </c>
      <c r="CJ5" s="12">
        <v>0.3</v>
      </c>
      <c r="CK5" s="12">
        <v>0.29899999999999999</v>
      </c>
      <c r="CL5" s="12">
        <v>0.3</v>
      </c>
      <c r="CM5" s="12">
        <v>0.3</v>
      </c>
      <c r="CN5" s="12">
        <v>0.30099999999999999</v>
      </c>
      <c r="CO5" s="12">
        <v>0.29499999999999998</v>
      </c>
      <c r="CP5" s="12">
        <v>0.28699999999999998</v>
      </c>
      <c r="CQ5" s="12">
        <v>0.28599999999999998</v>
      </c>
      <c r="CR5" s="12">
        <v>0.28699999999999998</v>
      </c>
      <c r="CS5" s="12">
        <v>0.28599999999999998</v>
      </c>
      <c r="CT5" s="12">
        <v>0.28899999999999998</v>
      </c>
      <c r="CU5" s="12">
        <v>0.28799999999999998</v>
      </c>
      <c r="CV5" s="12">
        <v>0.28699999999999998</v>
      </c>
      <c r="CW5" s="12">
        <v>0.28599999999999998</v>
      </c>
      <c r="CX5" s="12">
        <v>0.28599999999999998</v>
      </c>
      <c r="CY5" s="12">
        <v>0.28399999999999997</v>
      </c>
      <c r="CZ5" s="12">
        <v>0.28000000000000003</v>
      </c>
      <c r="DA5" s="12">
        <v>0.28100000000000003</v>
      </c>
      <c r="DB5" s="12">
        <v>0.28100000000000003</v>
      </c>
      <c r="DC5" s="12">
        <v>0.27800000000000002</v>
      </c>
      <c r="DD5" s="12">
        <v>0.27</v>
      </c>
      <c r="DE5" s="12">
        <v>0.26</v>
      </c>
      <c r="DF5" s="12">
        <v>0.23200000000000001</v>
      </c>
      <c r="DG5" s="12">
        <v>0.22700000000000001</v>
      </c>
      <c r="DH5" s="12">
        <v>0.22500000000000001</v>
      </c>
      <c r="DI5" s="12">
        <v>0.218</v>
      </c>
      <c r="DJ5" s="12">
        <v>0.19800000000000001</v>
      </c>
      <c r="DK5" s="12">
        <v>0.186</v>
      </c>
      <c r="DL5" s="12">
        <v>0.17299999999999999</v>
      </c>
      <c r="DM5" s="12">
        <v>0.16700000000000001</v>
      </c>
      <c r="DN5" s="12">
        <v>0.16500000000000001</v>
      </c>
      <c r="DO5" s="12">
        <v>0.161</v>
      </c>
      <c r="DP5" s="12">
        <v>0.161</v>
      </c>
      <c r="DQ5" s="12">
        <v>0.159</v>
      </c>
      <c r="DR5" s="12">
        <v>0.158</v>
      </c>
      <c r="DS5" s="12">
        <v>0.157</v>
      </c>
      <c r="DT5" s="12">
        <v>0.158</v>
      </c>
      <c r="DU5" s="12">
        <v>0.157</v>
      </c>
      <c r="DV5" s="12">
        <v>0.157</v>
      </c>
      <c r="DW5" s="12">
        <v>0.156</v>
      </c>
      <c r="DX5" s="12">
        <v>0.154</v>
      </c>
      <c r="DY5" s="12">
        <v>0.155</v>
      </c>
      <c r="DZ5" s="12">
        <v>0.154</v>
      </c>
      <c r="EA5" s="12">
        <v>0.153</v>
      </c>
      <c r="EB5" s="12">
        <v>0.153</v>
      </c>
      <c r="EC5" s="12">
        <v>0.153</v>
      </c>
      <c r="ED5" s="12">
        <v>0.153</v>
      </c>
      <c r="EE5" s="12">
        <v>0.154</v>
      </c>
      <c r="EF5" s="12">
        <v>0.153</v>
      </c>
      <c r="EG5" s="12">
        <v>0.153</v>
      </c>
      <c r="EH5" s="12">
        <v>0.151</v>
      </c>
      <c r="EI5" s="12">
        <v>0.152</v>
      </c>
      <c r="EJ5" s="12">
        <v>0.153</v>
      </c>
      <c r="EK5" s="12">
        <v>0.155</v>
      </c>
      <c r="EL5" s="12">
        <v>0.156</v>
      </c>
      <c r="EM5" s="12">
        <v>0.158</v>
      </c>
      <c r="EN5" s="12">
        <v>0.159</v>
      </c>
      <c r="EO5" s="12">
        <v>0.159</v>
      </c>
      <c r="EP5" s="12">
        <v>0.158</v>
      </c>
      <c r="EQ5" s="12">
        <v>0.159</v>
      </c>
      <c r="ER5" s="12">
        <v>0.158</v>
      </c>
      <c r="ES5" s="12">
        <v>0.158</v>
      </c>
      <c r="ET5" s="12">
        <v>0.158</v>
      </c>
      <c r="EU5" s="12">
        <v>0.156</v>
      </c>
      <c r="EV5" s="12">
        <v>0.157</v>
      </c>
      <c r="EW5" s="12">
        <v>0.154</v>
      </c>
      <c r="EX5" s="12">
        <v>0.152</v>
      </c>
      <c r="EY5" s="12">
        <v>0.152</v>
      </c>
      <c r="EZ5" s="12">
        <v>0.151</v>
      </c>
      <c r="FA5" s="12">
        <v>0.151</v>
      </c>
      <c r="FB5" s="12">
        <v>0.15</v>
      </c>
      <c r="FC5" s="12">
        <v>0.14899999999999999</v>
      </c>
      <c r="FD5" s="12">
        <v>0.14699999999999999</v>
      </c>
      <c r="FE5" s="12">
        <v>0.14699999999999999</v>
      </c>
      <c r="FF5" s="12">
        <v>0.14399999999999999</v>
      </c>
      <c r="FG5" s="12">
        <v>0.13900000000000001</v>
      </c>
      <c r="FH5" s="12">
        <v>0.13700000000000001</v>
      </c>
      <c r="FI5" s="12">
        <v>0.13700000000000001</v>
      </c>
      <c r="FJ5" s="12">
        <v>0.129</v>
      </c>
      <c r="FK5" s="12">
        <v>0.125</v>
      </c>
      <c r="FL5" s="12">
        <v>0.121</v>
      </c>
      <c r="FM5" s="12">
        <v>0.11899999999999999</v>
      </c>
      <c r="FN5" s="12">
        <v>0.11700000000000001</v>
      </c>
      <c r="FO5" s="12">
        <v>0.114</v>
      </c>
      <c r="FP5" s="12">
        <v>0.108</v>
      </c>
      <c r="FQ5" s="12">
        <v>0.106</v>
      </c>
      <c r="FR5" s="12">
        <v>0.104</v>
      </c>
      <c r="FS5" s="12">
        <v>6.3E-2</v>
      </c>
      <c r="FT5" s="12">
        <v>5.6000000000000001E-2</v>
      </c>
      <c r="FU5" s="12">
        <v>5.0999999999999997E-2</v>
      </c>
      <c r="FV5" s="12">
        <v>4.9000000000000002E-2</v>
      </c>
      <c r="FW5" s="12">
        <v>4.7E-2</v>
      </c>
      <c r="FX5" s="12">
        <v>4.5999999999999999E-2</v>
      </c>
      <c r="FY5" s="12">
        <v>4.5999999999999999E-2</v>
      </c>
      <c r="FZ5" s="12">
        <v>4.4999999999999998E-2</v>
      </c>
      <c r="GA5" s="12">
        <v>4.5999999999999999E-2</v>
      </c>
      <c r="GB5" s="12">
        <v>4.5999999999999999E-2</v>
      </c>
      <c r="GC5" s="12">
        <v>4.5999999999999999E-2</v>
      </c>
      <c r="GD5" s="12">
        <v>4.3999999999999997E-2</v>
      </c>
      <c r="GE5" s="12">
        <v>4.2000000000000003E-2</v>
      </c>
      <c r="GF5" s="12">
        <v>4.2999999999999997E-2</v>
      </c>
      <c r="GG5" s="12">
        <v>4.2000000000000003E-2</v>
      </c>
      <c r="GH5" s="12">
        <v>4.2000000000000003E-2</v>
      </c>
      <c r="GI5" s="12">
        <v>4.2999999999999997E-2</v>
      </c>
      <c r="GJ5" s="12">
        <v>4.2999999999999997E-2</v>
      </c>
      <c r="GK5" s="12">
        <v>4.2000000000000003E-2</v>
      </c>
      <c r="GL5" s="12">
        <v>4.1000000000000002E-2</v>
      </c>
      <c r="GM5" s="12">
        <v>4.2000000000000003E-2</v>
      </c>
      <c r="GN5" s="12">
        <v>4.1000000000000002E-2</v>
      </c>
      <c r="GO5" s="12">
        <v>4.2000000000000003E-2</v>
      </c>
      <c r="GP5" s="12">
        <v>4.2000000000000003E-2</v>
      </c>
      <c r="GQ5" s="12">
        <v>4.2000000000000003E-2</v>
      </c>
      <c r="GR5" s="12">
        <v>4.3999999999999997E-2</v>
      </c>
      <c r="GS5" s="12">
        <v>4.3999999999999997E-2</v>
      </c>
      <c r="GT5" s="12">
        <v>4.4999999999999998E-2</v>
      </c>
      <c r="GU5" s="12">
        <v>4.3999999999999997E-2</v>
      </c>
      <c r="GV5" s="12">
        <v>4.3999999999999997E-2</v>
      </c>
      <c r="GW5" s="12">
        <v>4.4999999999999998E-2</v>
      </c>
      <c r="GX5" s="12">
        <v>4.4999999999999998E-2</v>
      </c>
      <c r="GY5" s="12">
        <v>4.5999999999999999E-2</v>
      </c>
      <c r="GZ5" s="12">
        <v>4.7E-2</v>
      </c>
      <c r="HA5" s="12">
        <v>4.9000000000000002E-2</v>
      </c>
      <c r="HB5" s="12">
        <v>4.9000000000000002E-2</v>
      </c>
      <c r="HC5" s="12">
        <v>0.05</v>
      </c>
      <c r="HD5" s="12">
        <v>4.9000000000000002E-2</v>
      </c>
      <c r="HE5" s="12">
        <v>4.9000000000000002E-2</v>
      </c>
      <c r="HF5" s="12">
        <v>5.0999999999999997E-2</v>
      </c>
      <c r="HG5" s="12">
        <v>5.0999999999999997E-2</v>
      </c>
      <c r="HH5" s="12">
        <v>5.0999999999999997E-2</v>
      </c>
      <c r="HI5" s="12">
        <v>4.9000000000000002E-2</v>
      </c>
      <c r="HJ5" s="12">
        <v>4.4999999999999998E-2</v>
      </c>
      <c r="HK5" s="12">
        <v>4.4999999999999998E-2</v>
      </c>
      <c r="HL5" s="12">
        <v>4.4999999999999998E-2</v>
      </c>
      <c r="HM5" s="12">
        <v>4.3999999999999997E-2</v>
      </c>
      <c r="HN5" s="12">
        <v>4.4999999999999998E-2</v>
      </c>
      <c r="HO5" s="12">
        <v>4.3999999999999997E-2</v>
      </c>
      <c r="HP5" s="12">
        <v>4.2000000000000003E-2</v>
      </c>
      <c r="HQ5" s="12">
        <v>4.1000000000000002E-2</v>
      </c>
      <c r="HR5" s="12">
        <v>4.2000000000000003E-2</v>
      </c>
      <c r="HS5" s="12">
        <v>4.2000000000000003E-2</v>
      </c>
      <c r="HT5" s="12">
        <v>4.2000000000000003E-2</v>
      </c>
      <c r="HU5" s="12">
        <v>4.2000000000000003E-2</v>
      </c>
      <c r="HV5" s="12">
        <v>4.1000000000000002E-2</v>
      </c>
      <c r="HW5" s="12">
        <v>4.2999999999999997E-2</v>
      </c>
      <c r="HX5" s="12">
        <v>4.2000000000000003E-2</v>
      </c>
      <c r="HY5" s="12">
        <v>4.4999999999999998E-2</v>
      </c>
      <c r="HZ5" s="12">
        <v>4.3999999999999997E-2</v>
      </c>
      <c r="IA5" s="12">
        <v>4.3999999999999997E-2</v>
      </c>
      <c r="IB5" s="12">
        <v>4.3999999999999997E-2</v>
      </c>
      <c r="IC5" s="12">
        <v>4.4999999999999998E-2</v>
      </c>
      <c r="ID5" s="12">
        <v>4.3999999999999997E-2</v>
      </c>
      <c r="IE5" s="12">
        <v>4.4999999999999998E-2</v>
      </c>
      <c r="IF5" s="12">
        <v>4.8000000000000001E-2</v>
      </c>
      <c r="IG5" s="12">
        <v>4.8000000000000001E-2</v>
      </c>
      <c r="IH5" s="12">
        <v>4.5999999999999999E-2</v>
      </c>
      <c r="II5" s="12">
        <v>4.5999999999999999E-2</v>
      </c>
      <c r="IJ5" s="12">
        <v>4.7E-2</v>
      </c>
      <c r="IK5" s="12">
        <v>4.8000000000000001E-2</v>
      </c>
      <c r="IL5" s="12">
        <v>4.9000000000000002E-2</v>
      </c>
      <c r="IM5" s="12">
        <v>4.9000000000000002E-2</v>
      </c>
      <c r="IN5" s="12">
        <v>4.8000000000000001E-2</v>
      </c>
      <c r="IO5" s="12">
        <v>4.8000000000000001E-2</v>
      </c>
      <c r="IP5" s="12">
        <v>4.9000000000000002E-2</v>
      </c>
      <c r="IQ5" s="12">
        <v>4.9000000000000002E-2</v>
      </c>
      <c r="IR5" s="12">
        <v>4.8000000000000001E-2</v>
      </c>
      <c r="IS5" s="12">
        <v>4.5999999999999999E-2</v>
      </c>
      <c r="IT5" s="12">
        <v>4.8000000000000001E-2</v>
      </c>
      <c r="IU5" s="12">
        <v>4.4999999999999998E-2</v>
      </c>
      <c r="IV5" s="13">
        <v>4.3999999999999997E-2</v>
      </c>
    </row>
    <row r="6" spans="1:257">
      <c r="A6" s="11" t="s">
        <v>39</v>
      </c>
      <c r="B6" s="12">
        <v>0.28399999999999997</v>
      </c>
      <c r="C6" s="12">
        <v>0.28000000000000003</v>
      </c>
      <c r="D6" s="12">
        <v>0.28000000000000003</v>
      </c>
      <c r="E6" s="12">
        <v>0.28000000000000003</v>
      </c>
      <c r="F6" s="12">
        <v>0.28100000000000003</v>
      </c>
      <c r="G6" s="12">
        <v>0.28199999999999997</v>
      </c>
      <c r="H6" s="12">
        <v>0.28199999999999997</v>
      </c>
      <c r="I6" s="12">
        <v>0.28199999999999997</v>
      </c>
      <c r="J6" s="12">
        <v>0.28199999999999997</v>
      </c>
      <c r="K6" s="12">
        <v>0.28999999999999998</v>
      </c>
      <c r="L6" s="12">
        <v>0.3</v>
      </c>
      <c r="M6" s="12">
        <v>0.30199999999999999</v>
      </c>
      <c r="N6" s="12">
        <v>0.30199999999999999</v>
      </c>
      <c r="O6" s="12">
        <v>0.30199999999999999</v>
      </c>
      <c r="P6" s="12">
        <v>0.30099999999999999</v>
      </c>
      <c r="Q6" s="12">
        <v>0.3</v>
      </c>
      <c r="R6" s="12">
        <v>0.3</v>
      </c>
      <c r="S6" s="12">
        <v>0.3</v>
      </c>
      <c r="T6" s="12">
        <v>0.30099999999999999</v>
      </c>
      <c r="U6" s="12">
        <v>0.3</v>
      </c>
      <c r="V6" s="12">
        <v>0.29799999999999999</v>
      </c>
      <c r="W6" s="12">
        <v>0.29599999999999999</v>
      </c>
      <c r="X6" s="12">
        <v>0.28999999999999998</v>
      </c>
      <c r="Y6" s="12">
        <v>0.28799999999999998</v>
      </c>
      <c r="Z6" s="12">
        <v>0.28699999999999998</v>
      </c>
      <c r="AA6" s="12">
        <v>0.28599999999999998</v>
      </c>
      <c r="AB6" s="12">
        <v>0.29099999999999998</v>
      </c>
      <c r="AC6" s="12">
        <v>0.29099999999999998</v>
      </c>
      <c r="AD6" s="12">
        <v>0.29099999999999998</v>
      </c>
      <c r="AE6" s="12">
        <v>0.29099999999999998</v>
      </c>
      <c r="AF6" s="12">
        <v>0.28799999999999998</v>
      </c>
      <c r="AG6" s="12">
        <v>0.28699999999999998</v>
      </c>
      <c r="AH6" s="12">
        <v>0.28699999999999998</v>
      </c>
      <c r="AI6" s="12">
        <v>0.28799999999999998</v>
      </c>
      <c r="AJ6" s="12">
        <v>0.28699999999999998</v>
      </c>
      <c r="AK6" s="12">
        <v>0.28599999999999998</v>
      </c>
      <c r="AL6" s="12">
        <v>0.28699999999999998</v>
      </c>
      <c r="AM6" s="12">
        <v>0.28799999999999998</v>
      </c>
      <c r="AN6" s="12">
        <v>0.28899999999999998</v>
      </c>
      <c r="AO6" s="12">
        <v>0.28799999999999998</v>
      </c>
      <c r="AP6" s="12">
        <v>0.28599999999999998</v>
      </c>
      <c r="AQ6" s="12">
        <v>0.28599999999999998</v>
      </c>
      <c r="AR6" s="12">
        <v>0.28799999999999998</v>
      </c>
      <c r="AS6" s="12">
        <v>0.28699999999999998</v>
      </c>
      <c r="AT6" s="12">
        <v>0.28599999999999998</v>
      </c>
      <c r="AU6" s="12">
        <v>0.28699999999999998</v>
      </c>
      <c r="AV6" s="12">
        <v>0.29899999999999999</v>
      </c>
      <c r="AW6" s="12">
        <v>0.307</v>
      </c>
      <c r="AX6" s="12">
        <v>0.30399999999999999</v>
      </c>
      <c r="AY6" s="12">
        <v>0.30399999999999999</v>
      </c>
      <c r="AZ6" s="12">
        <v>0.30399999999999999</v>
      </c>
      <c r="BA6" s="12">
        <v>0.30299999999999999</v>
      </c>
      <c r="BB6" s="12">
        <v>0.30499999999999999</v>
      </c>
      <c r="BC6" s="12">
        <v>0.309</v>
      </c>
      <c r="BD6" s="12">
        <v>0.312</v>
      </c>
      <c r="BE6" s="12">
        <v>0.313</v>
      </c>
      <c r="BF6" s="12">
        <v>0.315</v>
      </c>
      <c r="BG6" s="12">
        <v>0.32</v>
      </c>
      <c r="BH6" s="12">
        <v>0.318</v>
      </c>
      <c r="BI6" s="12">
        <v>0.315</v>
      </c>
      <c r="BJ6" s="12">
        <v>0.313</v>
      </c>
      <c r="BK6" s="12">
        <v>0.31</v>
      </c>
      <c r="BL6" s="12">
        <v>0.313</v>
      </c>
      <c r="BM6" s="12">
        <v>0.313</v>
      </c>
      <c r="BN6" s="12">
        <v>0.31900000000000001</v>
      </c>
      <c r="BO6" s="12">
        <v>0.31900000000000001</v>
      </c>
      <c r="BP6" s="12">
        <v>0.32500000000000001</v>
      </c>
      <c r="BQ6" s="12">
        <v>0.32700000000000001</v>
      </c>
      <c r="BR6" s="12">
        <v>0.32700000000000001</v>
      </c>
      <c r="BS6" s="12">
        <v>0.32700000000000001</v>
      </c>
      <c r="BT6" s="12">
        <v>0.32700000000000001</v>
      </c>
      <c r="BU6" s="12">
        <v>0.32800000000000001</v>
      </c>
      <c r="BV6" s="12">
        <v>0.32800000000000001</v>
      </c>
      <c r="BW6" s="12">
        <v>0.32700000000000001</v>
      </c>
      <c r="BX6" s="12">
        <v>0.32700000000000001</v>
      </c>
      <c r="BY6" s="12">
        <v>0.32800000000000001</v>
      </c>
      <c r="BZ6" s="12">
        <v>0.32900000000000001</v>
      </c>
      <c r="CA6" s="12">
        <v>0.33200000000000002</v>
      </c>
      <c r="CB6" s="12">
        <v>0.33700000000000002</v>
      </c>
      <c r="CC6" s="12">
        <v>0.34399999999999997</v>
      </c>
      <c r="CD6" s="12">
        <v>0.34499999999999997</v>
      </c>
      <c r="CE6" s="12">
        <v>0.34699999999999998</v>
      </c>
      <c r="CF6" s="12">
        <v>0.33900000000000002</v>
      </c>
      <c r="CG6" s="12">
        <v>0.33600000000000002</v>
      </c>
      <c r="CH6" s="12">
        <v>0.33600000000000002</v>
      </c>
      <c r="CI6" s="12">
        <v>0.33700000000000002</v>
      </c>
      <c r="CJ6" s="12">
        <v>0.33800000000000002</v>
      </c>
      <c r="CK6" s="12">
        <v>0.33800000000000002</v>
      </c>
      <c r="CL6" s="12">
        <v>0.33600000000000002</v>
      </c>
      <c r="CM6" s="12">
        <v>0.33500000000000002</v>
      </c>
      <c r="CN6" s="12">
        <v>0.33500000000000002</v>
      </c>
      <c r="CO6" s="12">
        <v>0.32800000000000001</v>
      </c>
      <c r="CP6" s="12">
        <v>0.32100000000000001</v>
      </c>
      <c r="CQ6" s="12">
        <v>0.318</v>
      </c>
      <c r="CR6" s="12">
        <v>0.318</v>
      </c>
      <c r="CS6" s="12">
        <v>0.318</v>
      </c>
      <c r="CT6" s="12">
        <v>0.31900000000000001</v>
      </c>
      <c r="CU6" s="12">
        <v>0.318</v>
      </c>
      <c r="CV6" s="12">
        <v>0.317</v>
      </c>
      <c r="CW6" s="12">
        <v>0.317</v>
      </c>
      <c r="CX6" s="12">
        <v>0.316</v>
      </c>
      <c r="CY6" s="12">
        <v>0.314</v>
      </c>
      <c r="CZ6" s="12">
        <v>0.31</v>
      </c>
      <c r="DA6" s="12">
        <v>0.311</v>
      </c>
      <c r="DB6" s="12">
        <v>0.309</v>
      </c>
      <c r="DC6" s="12">
        <v>0.307</v>
      </c>
      <c r="DD6" s="12">
        <v>0.30099999999999999</v>
      </c>
      <c r="DE6" s="12">
        <v>0.29199999999999998</v>
      </c>
      <c r="DF6" s="12">
        <v>0.26700000000000002</v>
      </c>
      <c r="DG6" s="12">
        <v>0.26400000000000001</v>
      </c>
      <c r="DH6" s="12">
        <v>0.26300000000000001</v>
      </c>
      <c r="DI6" s="12">
        <v>0.25800000000000001</v>
      </c>
      <c r="DJ6" s="12">
        <v>0.24199999999999999</v>
      </c>
      <c r="DK6" s="12">
        <v>0.23400000000000001</v>
      </c>
      <c r="DL6" s="12">
        <v>0.223</v>
      </c>
      <c r="DM6" s="12">
        <v>0.217</v>
      </c>
      <c r="DN6" s="12">
        <v>0.216</v>
      </c>
      <c r="DO6" s="12">
        <v>0.21199999999999999</v>
      </c>
      <c r="DP6" s="12">
        <v>0.21199999999999999</v>
      </c>
      <c r="DQ6" s="12">
        <v>0.21099999999999999</v>
      </c>
      <c r="DR6" s="12">
        <v>0.21099999999999999</v>
      </c>
      <c r="DS6" s="12">
        <v>0.20799999999999999</v>
      </c>
      <c r="DT6" s="12">
        <v>0.20899999999999999</v>
      </c>
      <c r="DU6" s="12">
        <v>0.20699999999999999</v>
      </c>
      <c r="DV6" s="12">
        <v>0.20699999999999999</v>
      </c>
      <c r="DW6" s="12">
        <v>0.20599999999999999</v>
      </c>
      <c r="DX6" s="12">
        <v>0.20499999999999999</v>
      </c>
      <c r="DY6" s="12">
        <v>0.20599999999999999</v>
      </c>
      <c r="DZ6" s="12">
        <v>0.20399999999999999</v>
      </c>
      <c r="EA6" s="12">
        <v>0.20300000000000001</v>
      </c>
      <c r="EB6" s="12">
        <v>0.20300000000000001</v>
      </c>
      <c r="EC6" s="12">
        <v>0.20300000000000001</v>
      </c>
      <c r="ED6" s="12">
        <v>0.20200000000000001</v>
      </c>
      <c r="EE6" s="12">
        <v>0.20300000000000001</v>
      </c>
      <c r="EF6" s="12">
        <v>0.20300000000000001</v>
      </c>
      <c r="EG6" s="12">
        <v>0.20200000000000001</v>
      </c>
      <c r="EH6" s="12">
        <v>0.20100000000000001</v>
      </c>
      <c r="EI6" s="12">
        <v>0.20100000000000001</v>
      </c>
      <c r="EJ6" s="12">
        <v>0.20200000000000001</v>
      </c>
      <c r="EK6" s="12">
        <v>0.20399999999999999</v>
      </c>
      <c r="EL6" s="12">
        <v>0.20599999999999999</v>
      </c>
      <c r="EM6" s="12">
        <v>0.20799999999999999</v>
      </c>
      <c r="EN6" s="12">
        <v>0.20899999999999999</v>
      </c>
      <c r="EO6" s="12">
        <v>0.20899999999999999</v>
      </c>
      <c r="EP6" s="12">
        <v>0.20899999999999999</v>
      </c>
      <c r="EQ6" s="12">
        <v>0.20899999999999999</v>
      </c>
      <c r="ER6" s="12">
        <v>0.20899999999999999</v>
      </c>
      <c r="ES6" s="12">
        <v>0.20899999999999999</v>
      </c>
      <c r="ET6" s="12">
        <v>0.20799999999999999</v>
      </c>
      <c r="EU6" s="12">
        <v>0.20799999999999999</v>
      </c>
      <c r="EV6" s="12">
        <v>0.20699999999999999</v>
      </c>
      <c r="EW6" s="12">
        <v>0.20599999999999999</v>
      </c>
      <c r="EX6" s="12">
        <v>0.20499999999999999</v>
      </c>
      <c r="EY6" s="12">
        <v>0.20300000000000001</v>
      </c>
      <c r="EZ6" s="12">
        <v>0.20200000000000001</v>
      </c>
      <c r="FA6" s="12">
        <v>0.20100000000000001</v>
      </c>
      <c r="FB6" s="12">
        <v>0.19900000000000001</v>
      </c>
      <c r="FC6" s="12">
        <v>0.19800000000000001</v>
      </c>
      <c r="FD6" s="12">
        <v>0.19700000000000001</v>
      </c>
      <c r="FE6" s="12">
        <v>0.19600000000000001</v>
      </c>
      <c r="FF6" s="12">
        <v>0.191</v>
      </c>
      <c r="FG6" s="12">
        <v>0.187</v>
      </c>
      <c r="FH6" s="12">
        <v>0.186</v>
      </c>
      <c r="FI6" s="12">
        <v>0.183</v>
      </c>
      <c r="FJ6" s="12">
        <v>0.17499999999999999</v>
      </c>
      <c r="FK6" s="12">
        <v>0.17100000000000001</v>
      </c>
      <c r="FL6" s="12">
        <v>0.17</v>
      </c>
      <c r="FM6" s="12">
        <v>0.16700000000000001</v>
      </c>
      <c r="FN6" s="12">
        <v>0.16300000000000001</v>
      </c>
      <c r="FO6" s="12">
        <v>0.159</v>
      </c>
      <c r="FP6" s="12">
        <v>0.152</v>
      </c>
      <c r="FQ6" s="12">
        <v>0.15</v>
      </c>
      <c r="FR6" s="12">
        <v>0.14899999999999999</v>
      </c>
      <c r="FS6" s="12">
        <v>0.104</v>
      </c>
      <c r="FT6" s="12">
        <v>9.4E-2</v>
      </c>
      <c r="FU6" s="12">
        <v>8.8999999999999996E-2</v>
      </c>
      <c r="FV6" s="12">
        <v>8.6999999999999994E-2</v>
      </c>
      <c r="FW6" s="12">
        <v>8.4000000000000005E-2</v>
      </c>
      <c r="FX6" s="12">
        <v>8.2000000000000003E-2</v>
      </c>
      <c r="FY6" s="12">
        <v>8.1000000000000003E-2</v>
      </c>
      <c r="FZ6" s="12">
        <v>8.1000000000000003E-2</v>
      </c>
      <c r="GA6" s="12">
        <v>8.2000000000000003E-2</v>
      </c>
      <c r="GB6" s="12">
        <v>8.2000000000000003E-2</v>
      </c>
      <c r="GC6" s="12">
        <v>8.3000000000000004E-2</v>
      </c>
      <c r="GD6" s="12">
        <v>8.2000000000000003E-2</v>
      </c>
      <c r="GE6" s="12">
        <v>8.2000000000000003E-2</v>
      </c>
      <c r="GF6" s="12">
        <v>8.3000000000000004E-2</v>
      </c>
      <c r="GG6" s="12">
        <v>8.2000000000000003E-2</v>
      </c>
      <c r="GH6" s="12">
        <v>8.2000000000000003E-2</v>
      </c>
      <c r="GI6" s="12">
        <v>8.3000000000000004E-2</v>
      </c>
      <c r="GJ6" s="12">
        <v>8.3000000000000004E-2</v>
      </c>
      <c r="GK6" s="12">
        <v>8.2000000000000003E-2</v>
      </c>
      <c r="GL6" s="12">
        <v>8.1000000000000003E-2</v>
      </c>
      <c r="GM6" s="12">
        <v>8.1000000000000003E-2</v>
      </c>
      <c r="GN6" s="12">
        <v>7.9000000000000001E-2</v>
      </c>
      <c r="GO6" s="12">
        <v>7.9000000000000001E-2</v>
      </c>
      <c r="GP6" s="12">
        <v>0.08</v>
      </c>
      <c r="GQ6" s="12">
        <v>7.9000000000000001E-2</v>
      </c>
      <c r="GR6" s="12">
        <v>7.9000000000000001E-2</v>
      </c>
      <c r="GS6" s="12">
        <v>8.2000000000000003E-2</v>
      </c>
      <c r="GT6" s="12">
        <v>8.2000000000000003E-2</v>
      </c>
      <c r="GU6" s="12">
        <v>8.1000000000000003E-2</v>
      </c>
      <c r="GV6" s="12">
        <v>8.1000000000000003E-2</v>
      </c>
      <c r="GW6" s="12">
        <v>8.1000000000000003E-2</v>
      </c>
      <c r="GX6" s="12">
        <v>8.1000000000000003E-2</v>
      </c>
      <c r="GY6" s="12">
        <v>8.2000000000000003E-2</v>
      </c>
      <c r="GZ6" s="12">
        <v>8.4000000000000005E-2</v>
      </c>
      <c r="HA6" s="12">
        <v>8.5000000000000006E-2</v>
      </c>
      <c r="HB6" s="12">
        <v>8.5000000000000006E-2</v>
      </c>
      <c r="HC6" s="12">
        <v>8.7999999999999995E-2</v>
      </c>
      <c r="HD6" s="12">
        <v>8.7999999999999995E-2</v>
      </c>
      <c r="HE6" s="12">
        <v>8.7999999999999995E-2</v>
      </c>
      <c r="HF6" s="12">
        <v>8.5999999999999993E-2</v>
      </c>
      <c r="HG6" s="12">
        <v>8.5999999999999993E-2</v>
      </c>
      <c r="HH6" s="12">
        <v>8.5000000000000006E-2</v>
      </c>
      <c r="HI6" s="12">
        <v>8.4000000000000005E-2</v>
      </c>
      <c r="HJ6" s="12">
        <v>8.1000000000000003E-2</v>
      </c>
      <c r="HK6" s="12">
        <v>8.1000000000000003E-2</v>
      </c>
      <c r="HL6" s="12">
        <v>0.08</v>
      </c>
      <c r="HM6" s="12">
        <v>0.08</v>
      </c>
      <c r="HN6" s="12">
        <v>7.9000000000000001E-2</v>
      </c>
      <c r="HO6" s="12">
        <v>7.9000000000000001E-2</v>
      </c>
      <c r="HP6" s="12">
        <v>7.8E-2</v>
      </c>
      <c r="HQ6" s="12">
        <v>7.9000000000000001E-2</v>
      </c>
      <c r="HR6" s="12">
        <v>0.08</v>
      </c>
      <c r="HS6" s="12">
        <v>8.1000000000000003E-2</v>
      </c>
      <c r="HT6" s="12">
        <v>8.1000000000000003E-2</v>
      </c>
      <c r="HU6" s="12">
        <v>8.1000000000000003E-2</v>
      </c>
      <c r="HV6" s="12">
        <v>8.1000000000000003E-2</v>
      </c>
      <c r="HW6" s="12">
        <v>8.1000000000000003E-2</v>
      </c>
      <c r="HX6" s="12">
        <v>8.1000000000000003E-2</v>
      </c>
      <c r="HY6" s="12">
        <v>8.2000000000000003E-2</v>
      </c>
      <c r="HZ6" s="12">
        <v>8.2000000000000003E-2</v>
      </c>
      <c r="IA6" s="12">
        <v>8.2000000000000003E-2</v>
      </c>
      <c r="IB6" s="12">
        <v>8.2000000000000003E-2</v>
      </c>
      <c r="IC6" s="12">
        <v>8.1000000000000003E-2</v>
      </c>
      <c r="ID6" s="12">
        <v>8.1000000000000003E-2</v>
      </c>
      <c r="IE6" s="12">
        <v>8.2000000000000003E-2</v>
      </c>
      <c r="IF6" s="12">
        <v>8.2000000000000003E-2</v>
      </c>
      <c r="IG6" s="12">
        <v>8.2000000000000003E-2</v>
      </c>
      <c r="IH6" s="12">
        <v>8.2000000000000003E-2</v>
      </c>
      <c r="II6" s="12">
        <v>8.3000000000000004E-2</v>
      </c>
      <c r="IJ6" s="12">
        <v>8.2000000000000003E-2</v>
      </c>
      <c r="IK6" s="12">
        <v>8.2000000000000003E-2</v>
      </c>
      <c r="IL6" s="12">
        <v>8.2000000000000003E-2</v>
      </c>
      <c r="IM6" s="12">
        <v>8.2000000000000003E-2</v>
      </c>
      <c r="IN6" s="12">
        <v>8.1000000000000003E-2</v>
      </c>
      <c r="IO6" s="12">
        <v>7.9000000000000001E-2</v>
      </c>
      <c r="IP6" s="12">
        <v>8.1000000000000003E-2</v>
      </c>
      <c r="IQ6" s="12">
        <v>8.1000000000000003E-2</v>
      </c>
      <c r="IR6" s="12">
        <v>7.9000000000000001E-2</v>
      </c>
      <c r="IS6" s="12">
        <v>0.08</v>
      </c>
      <c r="IT6" s="12">
        <v>7.9000000000000001E-2</v>
      </c>
      <c r="IU6" s="12">
        <v>7.8E-2</v>
      </c>
      <c r="IV6" s="13">
        <v>7.8E-2</v>
      </c>
    </row>
    <row r="7" spans="1:257">
      <c r="A7" s="11" t="s">
        <v>40</v>
      </c>
      <c r="B7" s="12">
        <v>0.38700000000000001</v>
      </c>
      <c r="C7" s="12">
        <v>0.38100000000000001</v>
      </c>
      <c r="D7" s="12">
        <v>0.38</v>
      </c>
      <c r="E7" s="12">
        <v>0.38100000000000001</v>
      </c>
      <c r="F7" s="12">
        <v>0.38300000000000001</v>
      </c>
      <c r="G7" s="12">
        <v>0.38800000000000001</v>
      </c>
      <c r="H7" s="12">
        <v>0.39</v>
      </c>
      <c r="I7" s="12">
        <v>0.38900000000000001</v>
      </c>
      <c r="J7" s="12">
        <v>0.39</v>
      </c>
      <c r="K7" s="12">
        <v>0.39700000000000002</v>
      </c>
      <c r="L7" s="12">
        <v>0.40500000000000003</v>
      </c>
      <c r="M7" s="12">
        <v>0.40799999999999997</v>
      </c>
      <c r="N7" s="12">
        <v>0.40799999999999997</v>
      </c>
      <c r="O7" s="12">
        <v>0.40899999999999997</v>
      </c>
      <c r="P7" s="12">
        <v>0.40600000000000003</v>
      </c>
      <c r="Q7" s="12">
        <v>0.40400000000000003</v>
      </c>
      <c r="R7" s="12">
        <v>0.40100000000000002</v>
      </c>
      <c r="S7" s="12">
        <v>0.40400000000000003</v>
      </c>
      <c r="T7" s="12">
        <v>0.40400000000000003</v>
      </c>
      <c r="U7" s="12">
        <v>0.40200000000000002</v>
      </c>
      <c r="V7" s="12">
        <v>0.39900000000000002</v>
      </c>
      <c r="W7" s="12">
        <v>0.39600000000000002</v>
      </c>
      <c r="X7" s="12">
        <v>0.38700000000000001</v>
      </c>
      <c r="Y7" s="12">
        <v>0.38700000000000001</v>
      </c>
      <c r="Z7" s="12">
        <v>0.38600000000000001</v>
      </c>
      <c r="AA7" s="12">
        <v>0.38500000000000001</v>
      </c>
      <c r="AB7" s="12">
        <v>0.39100000000000001</v>
      </c>
      <c r="AC7" s="12">
        <v>0.39</v>
      </c>
      <c r="AD7" s="12">
        <v>0.39100000000000001</v>
      </c>
      <c r="AE7" s="12">
        <v>0.39</v>
      </c>
      <c r="AF7" s="12">
        <v>0.38700000000000001</v>
      </c>
      <c r="AG7" s="12">
        <v>0.38600000000000001</v>
      </c>
      <c r="AH7" s="12">
        <v>0.38600000000000001</v>
      </c>
      <c r="AI7" s="12">
        <v>0.38600000000000001</v>
      </c>
      <c r="AJ7" s="12">
        <v>0.38600000000000001</v>
      </c>
      <c r="AK7" s="12">
        <v>0.38400000000000001</v>
      </c>
      <c r="AL7" s="12">
        <v>0.38400000000000001</v>
      </c>
      <c r="AM7" s="12">
        <v>0.38400000000000001</v>
      </c>
      <c r="AN7" s="12">
        <v>0.38700000000000001</v>
      </c>
      <c r="AO7" s="12">
        <v>0.38700000000000001</v>
      </c>
      <c r="AP7" s="12">
        <v>0.38400000000000001</v>
      </c>
      <c r="AQ7" s="12">
        <v>0.38400000000000001</v>
      </c>
      <c r="AR7" s="12">
        <v>0.38700000000000001</v>
      </c>
      <c r="AS7" s="12">
        <v>0.38600000000000001</v>
      </c>
      <c r="AT7" s="12">
        <v>0.38400000000000001</v>
      </c>
      <c r="AU7" s="12">
        <v>0.38400000000000001</v>
      </c>
      <c r="AV7" s="12">
        <v>0.39800000000000002</v>
      </c>
      <c r="AW7" s="12">
        <v>0.40799999999999997</v>
      </c>
      <c r="AX7" s="12">
        <v>0.40500000000000003</v>
      </c>
      <c r="AY7" s="12">
        <v>0.40500000000000003</v>
      </c>
      <c r="AZ7" s="12">
        <v>0.40500000000000003</v>
      </c>
      <c r="BA7" s="12">
        <v>0.40200000000000002</v>
      </c>
      <c r="BB7" s="12">
        <v>0.40699999999999997</v>
      </c>
      <c r="BC7" s="12">
        <v>0.41</v>
      </c>
      <c r="BD7" s="12">
        <v>0.41399999999999998</v>
      </c>
      <c r="BE7" s="12">
        <v>0.41599999999999998</v>
      </c>
      <c r="BF7" s="12">
        <v>0.42</v>
      </c>
      <c r="BG7" s="12">
        <v>0.42499999999999999</v>
      </c>
      <c r="BH7" s="12">
        <v>0.42199999999999999</v>
      </c>
      <c r="BI7" s="12">
        <v>0.41899999999999998</v>
      </c>
      <c r="BJ7" s="12">
        <v>0.41599999999999998</v>
      </c>
      <c r="BK7" s="12">
        <v>0.41399999999999998</v>
      </c>
      <c r="BL7" s="12">
        <v>0.41799999999999998</v>
      </c>
      <c r="BM7" s="12">
        <v>0.41799999999999998</v>
      </c>
      <c r="BN7" s="12">
        <v>0.42299999999999999</v>
      </c>
      <c r="BO7" s="12">
        <v>0.42299999999999999</v>
      </c>
      <c r="BP7" s="12">
        <v>0.42699999999999999</v>
      </c>
      <c r="BQ7" s="12">
        <v>0.42699999999999999</v>
      </c>
      <c r="BR7" s="12">
        <v>0.42599999999999999</v>
      </c>
      <c r="BS7" s="12">
        <v>0.42699999999999999</v>
      </c>
      <c r="BT7" s="12">
        <v>0.42599999999999999</v>
      </c>
      <c r="BU7" s="12">
        <v>0.42799999999999999</v>
      </c>
      <c r="BV7" s="12">
        <v>0.42699999999999999</v>
      </c>
      <c r="BW7" s="12">
        <v>0.42599999999999999</v>
      </c>
      <c r="BX7" s="12">
        <v>0.42699999999999999</v>
      </c>
      <c r="BY7" s="12">
        <v>0.42599999999999999</v>
      </c>
      <c r="BZ7" s="12">
        <v>0.42899999999999999</v>
      </c>
      <c r="CA7" s="12">
        <v>0.432</v>
      </c>
      <c r="CB7" s="12">
        <v>0.437</v>
      </c>
      <c r="CC7" s="12">
        <v>0.443</v>
      </c>
      <c r="CD7" s="12">
        <v>0.44400000000000001</v>
      </c>
      <c r="CE7" s="12">
        <v>0.44400000000000001</v>
      </c>
      <c r="CF7" s="12">
        <v>0.438</v>
      </c>
      <c r="CG7" s="12">
        <v>0.437</v>
      </c>
      <c r="CH7" s="12">
        <v>0.437</v>
      </c>
      <c r="CI7" s="12">
        <v>0.438</v>
      </c>
      <c r="CJ7" s="12">
        <v>0.437</v>
      </c>
      <c r="CK7" s="12">
        <v>0.438</v>
      </c>
      <c r="CL7" s="12">
        <v>0.43099999999999999</v>
      </c>
      <c r="CM7" s="12">
        <v>0.43</v>
      </c>
      <c r="CN7" s="12">
        <v>0.42899999999999999</v>
      </c>
      <c r="CO7" s="12">
        <v>0.42099999999999999</v>
      </c>
      <c r="CP7" s="12">
        <v>0.41299999999999998</v>
      </c>
      <c r="CQ7" s="12">
        <v>0.41</v>
      </c>
      <c r="CR7" s="12">
        <v>0.40899999999999997</v>
      </c>
      <c r="CS7" s="12">
        <v>0.40699999999999997</v>
      </c>
      <c r="CT7" s="12">
        <v>0.40699999999999997</v>
      </c>
      <c r="CU7" s="12">
        <v>0.40699999999999997</v>
      </c>
      <c r="CV7" s="12">
        <v>0.40600000000000003</v>
      </c>
      <c r="CW7" s="12">
        <v>0.40400000000000003</v>
      </c>
      <c r="CX7" s="12">
        <v>0.4</v>
      </c>
      <c r="CY7" s="12">
        <v>0.39900000000000002</v>
      </c>
      <c r="CZ7" s="12">
        <v>0.39700000000000002</v>
      </c>
      <c r="DA7" s="12">
        <v>0.39700000000000002</v>
      </c>
      <c r="DB7" s="12">
        <v>0.39400000000000002</v>
      </c>
      <c r="DC7" s="12">
        <v>0.39100000000000001</v>
      </c>
      <c r="DD7" s="12">
        <v>0.38600000000000001</v>
      </c>
      <c r="DE7" s="12">
        <v>0.376</v>
      </c>
      <c r="DF7" s="12">
        <v>0.35699999999999998</v>
      </c>
      <c r="DG7" s="12">
        <v>0.35399999999999998</v>
      </c>
      <c r="DH7" s="12">
        <v>0.35299999999999998</v>
      </c>
      <c r="DI7" s="12">
        <v>0.34799999999999998</v>
      </c>
      <c r="DJ7" s="12">
        <v>0.33300000000000002</v>
      </c>
      <c r="DK7" s="12">
        <v>0.32600000000000001</v>
      </c>
      <c r="DL7" s="12">
        <v>0.316</v>
      </c>
      <c r="DM7" s="12">
        <v>0.312</v>
      </c>
      <c r="DN7" s="12">
        <v>0.309</v>
      </c>
      <c r="DO7" s="12">
        <v>0.30599999999999999</v>
      </c>
      <c r="DP7" s="12">
        <v>0.30599999999999999</v>
      </c>
      <c r="DQ7" s="12">
        <v>0.307</v>
      </c>
      <c r="DR7" s="12">
        <v>0.30599999999999999</v>
      </c>
      <c r="DS7" s="12">
        <v>0.30599999999999999</v>
      </c>
      <c r="DT7" s="12">
        <v>0.30499999999999999</v>
      </c>
      <c r="DU7" s="12">
        <v>0.30299999999999999</v>
      </c>
      <c r="DV7" s="12">
        <v>0.30299999999999999</v>
      </c>
      <c r="DW7" s="12">
        <v>0.30199999999999999</v>
      </c>
      <c r="DX7" s="12">
        <v>0.30299999999999999</v>
      </c>
      <c r="DY7" s="12">
        <v>0.30299999999999999</v>
      </c>
      <c r="DZ7" s="12">
        <v>0.30299999999999999</v>
      </c>
      <c r="EA7" s="12">
        <v>0.30299999999999999</v>
      </c>
      <c r="EB7" s="12">
        <v>0.30299999999999999</v>
      </c>
      <c r="EC7" s="12">
        <v>0.30399999999999999</v>
      </c>
      <c r="ED7" s="12">
        <v>0.30399999999999999</v>
      </c>
      <c r="EE7" s="12">
        <v>0.30499999999999999</v>
      </c>
      <c r="EF7" s="12">
        <v>0.30599999999999999</v>
      </c>
      <c r="EG7" s="12">
        <v>0.30599999999999999</v>
      </c>
      <c r="EH7" s="12">
        <v>0.30399999999999999</v>
      </c>
      <c r="EI7" s="12">
        <v>0.30299999999999999</v>
      </c>
      <c r="EJ7" s="12">
        <v>0.30299999999999999</v>
      </c>
      <c r="EK7" s="12">
        <v>0.30299999999999999</v>
      </c>
      <c r="EL7" s="12">
        <v>0.30499999999999999</v>
      </c>
      <c r="EM7" s="12">
        <v>0.308</v>
      </c>
      <c r="EN7" s="12">
        <v>0.308</v>
      </c>
      <c r="EO7" s="12">
        <v>0.307</v>
      </c>
      <c r="EP7" s="12">
        <v>0.30599999999999999</v>
      </c>
      <c r="EQ7" s="12">
        <v>0.30599999999999999</v>
      </c>
      <c r="ER7" s="12">
        <v>0.30499999999999999</v>
      </c>
      <c r="ES7" s="12">
        <v>0.30599999999999999</v>
      </c>
      <c r="ET7" s="12">
        <v>0.308</v>
      </c>
      <c r="EU7" s="12">
        <v>0.307</v>
      </c>
      <c r="EV7" s="12">
        <v>0.307</v>
      </c>
      <c r="EW7" s="12">
        <v>0.30599999999999999</v>
      </c>
      <c r="EX7" s="12">
        <v>0.30399999999999999</v>
      </c>
      <c r="EY7" s="12">
        <v>0.30199999999999999</v>
      </c>
      <c r="EZ7" s="12">
        <v>0.30099999999999999</v>
      </c>
      <c r="FA7" s="12">
        <v>0.3</v>
      </c>
      <c r="FB7" s="12">
        <v>0.29899999999999999</v>
      </c>
      <c r="FC7" s="12">
        <v>0.29799999999999999</v>
      </c>
      <c r="FD7" s="12">
        <v>0.29699999999999999</v>
      </c>
      <c r="FE7" s="12">
        <v>0.29699999999999999</v>
      </c>
      <c r="FF7" s="12">
        <v>0.29199999999999998</v>
      </c>
      <c r="FG7" s="12">
        <v>0.28899999999999998</v>
      </c>
      <c r="FH7" s="12">
        <v>0.28699999999999998</v>
      </c>
      <c r="FI7" s="12">
        <v>0.28799999999999998</v>
      </c>
      <c r="FJ7" s="12">
        <v>0.27400000000000002</v>
      </c>
      <c r="FK7" s="12">
        <v>0.27100000000000002</v>
      </c>
      <c r="FL7" s="12">
        <v>0.26900000000000002</v>
      </c>
      <c r="FM7" s="12">
        <v>0.26700000000000002</v>
      </c>
      <c r="FN7" s="12">
        <v>0.26400000000000001</v>
      </c>
      <c r="FO7" s="12">
        <v>0.25900000000000001</v>
      </c>
      <c r="FP7" s="12">
        <v>0.252</v>
      </c>
      <c r="FQ7" s="12">
        <v>0.25</v>
      </c>
      <c r="FR7" s="12">
        <v>0.249</v>
      </c>
      <c r="FS7" s="12">
        <v>0.20300000000000001</v>
      </c>
      <c r="FT7" s="12">
        <v>0.19600000000000001</v>
      </c>
      <c r="FU7" s="12">
        <v>0.191</v>
      </c>
      <c r="FV7" s="12">
        <v>0.191</v>
      </c>
      <c r="FW7" s="12">
        <v>0.188</v>
      </c>
      <c r="FX7" s="12">
        <v>0.187</v>
      </c>
      <c r="FY7" s="12">
        <v>0.188</v>
      </c>
      <c r="FZ7" s="12">
        <v>0.187</v>
      </c>
      <c r="GA7" s="12">
        <v>0.188</v>
      </c>
      <c r="GB7" s="12">
        <v>0.187</v>
      </c>
      <c r="GC7" s="12">
        <v>0.187</v>
      </c>
      <c r="GD7" s="12">
        <v>0.186</v>
      </c>
      <c r="GE7" s="12">
        <v>0.185</v>
      </c>
      <c r="GF7" s="12">
        <v>0.186</v>
      </c>
      <c r="GG7" s="12">
        <v>0.183</v>
      </c>
      <c r="GH7" s="12">
        <v>0.183</v>
      </c>
      <c r="GI7" s="12">
        <v>0.184</v>
      </c>
      <c r="GJ7" s="12">
        <v>0.183</v>
      </c>
      <c r="GK7" s="12">
        <v>0.18099999999999999</v>
      </c>
      <c r="GL7" s="12">
        <v>0.18</v>
      </c>
      <c r="GM7" s="12">
        <v>0.18099999999999999</v>
      </c>
      <c r="GN7" s="12">
        <v>0.17899999999999999</v>
      </c>
      <c r="GO7" s="12">
        <v>0.17799999999999999</v>
      </c>
      <c r="GP7" s="12">
        <v>0.18</v>
      </c>
      <c r="GQ7" s="12">
        <v>0.17899999999999999</v>
      </c>
      <c r="GR7" s="12">
        <v>0.17799999999999999</v>
      </c>
      <c r="GS7" s="12">
        <v>0.182</v>
      </c>
      <c r="GT7" s="12">
        <v>0.182</v>
      </c>
      <c r="GU7" s="12">
        <v>0.18099999999999999</v>
      </c>
      <c r="GV7" s="12">
        <v>0.182</v>
      </c>
      <c r="GW7" s="12">
        <v>0.185</v>
      </c>
      <c r="GX7" s="12">
        <v>0.184</v>
      </c>
      <c r="GY7" s="12">
        <v>0.186</v>
      </c>
      <c r="GZ7" s="12">
        <v>0.187</v>
      </c>
      <c r="HA7" s="12">
        <v>0.188</v>
      </c>
      <c r="HB7" s="12">
        <v>0.188</v>
      </c>
      <c r="HC7" s="12">
        <v>0.189</v>
      </c>
      <c r="HD7" s="12">
        <v>0.189</v>
      </c>
      <c r="HE7" s="12">
        <v>0.188</v>
      </c>
      <c r="HF7" s="12">
        <v>0.188</v>
      </c>
      <c r="HG7" s="12">
        <v>0.189</v>
      </c>
      <c r="HH7" s="12">
        <v>0.189</v>
      </c>
      <c r="HI7" s="12">
        <v>0.186</v>
      </c>
      <c r="HJ7" s="12">
        <v>0.184</v>
      </c>
      <c r="HK7" s="12">
        <v>0.182</v>
      </c>
      <c r="HL7" s="12">
        <v>0.18099999999999999</v>
      </c>
      <c r="HM7" s="12">
        <v>0.18099999999999999</v>
      </c>
      <c r="HN7" s="12">
        <v>0.18099999999999999</v>
      </c>
      <c r="HO7" s="12">
        <v>0.18099999999999999</v>
      </c>
      <c r="HP7" s="12">
        <v>0.17799999999999999</v>
      </c>
      <c r="HQ7" s="12">
        <v>0.18</v>
      </c>
      <c r="HR7" s="12">
        <v>0.182</v>
      </c>
      <c r="HS7" s="12">
        <v>0.18099999999999999</v>
      </c>
      <c r="HT7" s="12">
        <v>0.18099999999999999</v>
      </c>
      <c r="HU7" s="12">
        <v>0.18099999999999999</v>
      </c>
      <c r="HV7" s="12">
        <v>0.18099999999999999</v>
      </c>
      <c r="HW7" s="12">
        <v>0.182</v>
      </c>
      <c r="HX7" s="12">
        <v>0.18099999999999999</v>
      </c>
      <c r="HY7" s="12">
        <v>0.182</v>
      </c>
      <c r="HZ7" s="12">
        <v>0.18099999999999999</v>
      </c>
      <c r="IA7" s="12">
        <v>0.18</v>
      </c>
      <c r="IB7" s="12">
        <v>0.17899999999999999</v>
      </c>
      <c r="IC7" s="12">
        <v>0.17799999999999999</v>
      </c>
      <c r="ID7" s="12">
        <v>0.17599999999999999</v>
      </c>
      <c r="IE7" s="12">
        <v>0.17699999999999999</v>
      </c>
      <c r="IF7" s="12">
        <v>0.17899999999999999</v>
      </c>
      <c r="IG7" s="12">
        <v>0.17899999999999999</v>
      </c>
      <c r="IH7" s="12">
        <v>0.17699999999999999</v>
      </c>
      <c r="II7" s="12">
        <v>0.17899999999999999</v>
      </c>
      <c r="IJ7" s="12">
        <v>0.17899999999999999</v>
      </c>
      <c r="IK7" s="12">
        <v>0.17799999999999999</v>
      </c>
      <c r="IL7" s="12">
        <v>0.17799999999999999</v>
      </c>
      <c r="IM7" s="12">
        <v>0.17899999999999999</v>
      </c>
      <c r="IN7" s="12">
        <v>0.17799999999999999</v>
      </c>
      <c r="IO7" s="12">
        <v>0.17599999999999999</v>
      </c>
      <c r="IP7" s="12">
        <v>0.17699999999999999</v>
      </c>
      <c r="IQ7" s="12">
        <v>0.17599999999999999</v>
      </c>
      <c r="IR7" s="12">
        <v>0.17399999999999999</v>
      </c>
      <c r="IS7" s="12">
        <v>0.17299999999999999</v>
      </c>
      <c r="IT7" s="12">
        <v>0.17199999999999999</v>
      </c>
      <c r="IU7" s="12">
        <v>0.17100000000000001</v>
      </c>
      <c r="IV7" s="13">
        <v>0.17100000000000001</v>
      </c>
    </row>
    <row r="8" spans="1:257">
      <c r="A8" s="11" t="s">
        <v>41</v>
      </c>
      <c r="B8" s="12">
        <v>0.47799999999999998</v>
      </c>
      <c r="C8" s="12">
        <v>0.47399999999999998</v>
      </c>
      <c r="D8" s="12">
        <v>0.47399999999999998</v>
      </c>
      <c r="E8" s="12">
        <v>0.47299999999999998</v>
      </c>
      <c r="F8" s="12">
        <v>0.47699999999999998</v>
      </c>
      <c r="G8" s="12">
        <v>0.48099999999999998</v>
      </c>
      <c r="H8" s="12">
        <v>0.48099999999999998</v>
      </c>
      <c r="I8" s="12">
        <v>0.48099999999999998</v>
      </c>
      <c r="J8" s="12">
        <v>0.48199999999999998</v>
      </c>
      <c r="K8" s="12">
        <v>0.48899999999999999</v>
      </c>
      <c r="L8" s="12">
        <v>0.497</v>
      </c>
      <c r="M8" s="12">
        <v>0.498</v>
      </c>
      <c r="N8" s="12">
        <v>0.497</v>
      </c>
      <c r="O8" s="12">
        <v>0.5</v>
      </c>
      <c r="P8" s="12">
        <v>0.496</v>
      </c>
      <c r="Q8" s="12">
        <v>0.495</v>
      </c>
      <c r="R8" s="12">
        <v>0.49099999999999999</v>
      </c>
      <c r="S8" s="12">
        <v>0.49299999999999999</v>
      </c>
      <c r="T8" s="12">
        <v>0.49199999999999999</v>
      </c>
      <c r="U8" s="12">
        <v>0.49</v>
      </c>
      <c r="V8" s="12">
        <v>0.48699999999999999</v>
      </c>
      <c r="W8" s="12">
        <v>0.48299999999999998</v>
      </c>
      <c r="X8" s="12">
        <v>0.47199999999999998</v>
      </c>
      <c r="Y8" s="12">
        <v>0.46899999999999997</v>
      </c>
      <c r="Z8" s="12">
        <v>0.47</v>
      </c>
      <c r="AA8" s="12">
        <v>0.46800000000000003</v>
      </c>
      <c r="AB8" s="12">
        <v>0.47399999999999998</v>
      </c>
      <c r="AC8" s="12">
        <v>0.47399999999999998</v>
      </c>
      <c r="AD8" s="12">
        <v>0.47499999999999998</v>
      </c>
      <c r="AE8" s="12">
        <v>0.47499999999999998</v>
      </c>
      <c r="AF8" s="12">
        <v>0.46899999999999997</v>
      </c>
      <c r="AG8" s="12">
        <v>0.46899999999999997</v>
      </c>
      <c r="AH8" s="12">
        <v>0.46800000000000003</v>
      </c>
      <c r="AI8" s="12">
        <v>0.46800000000000003</v>
      </c>
      <c r="AJ8" s="12">
        <v>0.46600000000000003</v>
      </c>
      <c r="AK8" s="12">
        <v>0.46400000000000002</v>
      </c>
      <c r="AL8" s="12">
        <v>0.46400000000000002</v>
      </c>
      <c r="AM8" s="12">
        <v>0.46600000000000003</v>
      </c>
      <c r="AN8" s="12">
        <v>0.47</v>
      </c>
      <c r="AO8" s="12">
        <v>0.46899999999999997</v>
      </c>
      <c r="AP8" s="12">
        <v>0.46600000000000003</v>
      </c>
      <c r="AQ8" s="12">
        <v>0.46700000000000003</v>
      </c>
      <c r="AR8" s="12">
        <v>0.47099999999999997</v>
      </c>
      <c r="AS8" s="12">
        <v>0.46899999999999997</v>
      </c>
      <c r="AT8" s="12">
        <v>0.46800000000000003</v>
      </c>
      <c r="AU8" s="12">
        <v>0.46800000000000003</v>
      </c>
      <c r="AV8" s="12">
        <v>0.48399999999999999</v>
      </c>
      <c r="AW8" s="12">
        <v>0.49399999999999999</v>
      </c>
      <c r="AX8" s="12">
        <v>0.49199999999999999</v>
      </c>
      <c r="AY8" s="12">
        <v>0.49</v>
      </c>
      <c r="AZ8" s="12">
        <v>0.49</v>
      </c>
      <c r="BA8" s="12">
        <v>0.48699999999999999</v>
      </c>
      <c r="BB8" s="12">
        <v>0.49199999999999999</v>
      </c>
      <c r="BC8" s="12">
        <v>0.497</v>
      </c>
      <c r="BD8" s="12">
        <v>0.5</v>
      </c>
      <c r="BE8" s="12">
        <v>0.504</v>
      </c>
      <c r="BF8" s="12">
        <v>0.50700000000000001</v>
      </c>
      <c r="BG8" s="12">
        <v>0.51300000000000001</v>
      </c>
      <c r="BH8" s="12">
        <v>0.51100000000000001</v>
      </c>
      <c r="BI8" s="12">
        <v>0.50600000000000001</v>
      </c>
      <c r="BJ8" s="12">
        <v>0.501</v>
      </c>
      <c r="BK8" s="12">
        <v>0.498</v>
      </c>
      <c r="BL8" s="12">
        <v>0.501</v>
      </c>
      <c r="BM8" s="12">
        <v>0.5</v>
      </c>
      <c r="BN8" s="12">
        <v>0.50700000000000001</v>
      </c>
      <c r="BO8" s="12">
        <v>0.50800000000000001</v>
      </c>
      <c r="BP8" s="12">
        <v>0.51200000000000001</v>
      </c>
      <c r="BQ8" s="12">
        <v>0.50900000000000001</v>
      </c>
      <c r="BR8" s="12">
        <v>0.50900000000000001</v>
      </c>
      <c r="BS8" s="12">
        <v>0.50900000000000001</v>
      </c>
      <c r="BT8" s="12">
        <v>0.50900000000000001</v>
      </c>
      <c r="BU8" s="12">
        <v>0.51100000000000001</v>
      </c>
      <c r="BV8" s="12">
        <v>0.50900000000000001</v>
      </c>
      <c r="BW8" s="12">
        <v>0.50800000000000001</v>
      </c>
      <c r="BX8" s="12">
        <v>0.50800000000000001</v>
      </c>
      <c r="BY8" s="12">
        <v>0.50900000000000001</v>
      </c>
      <c r="BZ8" s="12">
        <v>0.51200000000000001</v>
      </c>
      <c r="CA8" s="12">
        <v>0.51600000000000001</v>
      </c>
      <c r="CB8" s="12">
        <v>0.52100000000000002</v>
      </c>
      <c r="CC8" s="12">
        <v>0.52800000000000002</v>
      </c>
      <c r="CD8" s="12">
        <v>0.52900000000000003</v>
      </c>
      <c r="CE8" s="12">
        <v>0.52900000000000003</v>
      </c>
      <c r="CF8" s="12">
        <v>0.52200000000000002</v>
      </c>
      <c r="CG8" s="12">
        <v>0.52200000000000002</v>
      </c>
      <c r="CH8" s="12">
        <v>0.52200000000000002</v>
      </c>
      <c r="CI8" s="12">
        <v>0.52400000000000002</v>
      </c>
      <c r="CJ8" s="12">
        <v>0.52500000000000002</v>
      </c>
      <c r="CK8" s="12">
        <v>0.52700000000000002</v>
      </c>
      <c r="CL8" s="12">
        <v>0.51600000000000001</v>
      </c>
      <c r="CM8" s="12">
        <v>0.51600000000000001</v>
      </c>
      <c r="CN8" s="12">
        <v>0.51400000000000001</v>
      </c>
      <c r="CO8" s="12">
        <v>0.50700000000000001</v>
      </c>
      <c r="CP8" s="12">
        <v>0.498</v>
      </c>
      <c r="CQ8" s="12">
        <v>0.497</v>
      </c>
      <c r="CR8" s="12">
        <v>0.497</v>
      </c>
      <c r="CS8" s="12">
        <v>0.496</v>
      </c>
      <c r="CT8" s="12">
        <v>0.495</v>
      </c>
      <c r="CU8" s="12">
        <v>0.496</v>
      </c>
      <c r="CV8" s="12">
        <v>0.49199999999999999</v>
      </c>
      <c r="CW8" s="12">
        <v>0.48899999999999999</v>
      </c>
      <c r="CX8" s="12">
        <v>0.48499999999999999</v>
      </c>
      <c r="CY8" s="12">
        <v>0.48399999999999999</v>
      </c>
      <c r="CZ8" s="12">
        <v>0.48099999999999998</v>
      </c>
      <c r="DA8" s="12">
        <v>0.48</v>
      </c>
      <c r="DB8" s="12">
        <v>0.47699999999999998</v>
      </c>
      <c r="DC8" s="12">
        <v>0.47599999999999998</v>
      </c>
      <c r="DD8" s="12">
        <v>0.47199999999999998</v>
      </c>
      <c r="DE8" s="12">
        <v>0.46300000000000002</v>
      </c>
      <c r="DF8" s="12">
        <v>0.443</v>
      </c>
      <c r="DG8" s="12">
        <v>0.438</v>
      </c>
      <c r="DH8" s="12">
        <v>0.437</v>
      </c>
      <c r="DI8" s="12">
        <v>0.433</v>
      </c>
      <c r="DJ8" s="12">
        <v>0.41899999999999998</v>
      </c>
      <c r="DK8" s="12">
        <v>0.41299999999999998</v>
      </c>
      <c r="DL8" s="12">
        <v>0.40400000000000003</v>
      </c>
      <c r="DM8" s="12">
        <v>0.39900000000000002</v>
      </c>
      <c r="DN8" s="12">
        <v>0.39700000000000002</v>
      </c>
      <c r="DO8" s="12">
        <v>0.39600000000000002</v>
      </c>
      <c r="DP8" s="12">
        <v>0.39700000000000002</v>
      </c>
      <c r="DQ8" s="12">
        <v>0.39700000000000002</v>
      </c>
      <c r="DR8" s="12">
        <v>0.39600000000000002</v>
      </c>
      <c r="DS8" s="12">
        <v>0.39400000000000002</v>
      </c>
      <c r="DT8" s="12">
        <v>0.39500000000000002</v>
      </c>
      <c r="DU8" s="12">
        <v>0.39400000000000002</v>
      </c>
      <c r="DV8" s="12">
        <v>0.39400000000000002</v>
      </c>
      <c r="DW8" s="12">
        <v>0.39500000000000002</v>
      </c>
      <c r="DX8" s="12">
        <v>0.39300000000000002</v>
      </c>
      <c r="DY8" s="12">
        <v>0.39400000000000002</v>
      </c>
      <c r="DZ8" s="12">
        <v>0.39200000000000002</v>
      </c>
      <c r="EA8" s="12">
        <v>0.39200000000000002</v>
      </c>
      <c r="EB8" s="12">
        <v>0.39300000000000002</v>
      </c>
      <c r="EC8" s="12">
        <v>0.39400000000000002</v>
      </c>
      <c r="ED8" s="12">
        <v>0.39400000000000002</v>
      </c>
      <c r="EE8" s="12">
        <v>0.39400000000000002</v>
      </c>
      <c r="EF8" s="12">
        <v>0.39400000000000002</v>
      </c>
      <c r="EG8" s="12">
        <v>0.39400000000000002</v>
      </c>
      <c r="EH8" s="12">
        <v>0.39300000000000002</v>
      </c>
      <c r="EI8" s="12">
        <v>0.39200000000000002</v>
      </c>
      <c r="EJ8" s="12">
        <v>0.39300000000000002</v>
      </c>
      <c r="EK8" s="12">
        <v>0.39300000000000002</v>
      </c>
      <c r="EL8" s="12">
        <v>0.39700000000000002</v>
      </c>
      <c r="EM8" s="12">
        <v>0.39900000000000002</v>
      </c>
      <c r="EN8" s="12">
        <v>0.39900000000000002</v>
      </c>
      <c r="EO8" s="12">
        <v>0.39900000000000002</v>
      </c>
      <c r="EP8" s="12">
        <v>0.39800000000000002</v>
      </c>
      <c r="EQ8" s="12">
        <v>0.39900000000000002</v>
      </c>
      <c r="ER8" s="12">
        <v>0.39900000000000002</v>
      </c>
      <c r="ES8" s="12">
        <v>0.39900000000000002</v>
      </c>
      <c r="ET8" s="12">
        <v>0.39900000000000002</v>
      </c>
      <c r="EU8" s="12">
        <v>0.39900000000000002</v>
      </c>
      <c r="EV8" s="12">
        <v>0.39800000000000002</v>
      </c>
      <c r="EW8" s="12">
        <v>0.39800000000000002</v>
      </c>
      <c r="EX8" s="12">
        <v>0.39500000000000002</v>
      </c>
      <c r="EY8" s="12">
        <v>0.39300000000000002</v>
      </c>
      <c r="EZ8" s="12">
        <v>0.39200000000000002</v>
      </c>
      <c r="FA8" s="12">
        <v>0.39</v>
      </c>
      <c r="FB8" s="12">
        <v>0.39</v>
      </c>
      <c r="FC8" s="12">
        <v>0.38900000000000001</v>
      </c>
      <c r="FD8" s="12">
        <v>0.38700000000000001</v>
      </c>
      <c r="FE8" s="12">
        <v>0.38600000000000001</v>
      </c>
      <c r="FF8" s="12">
        <v>0.38100000000000001</v>
      </c>
      <c r="FG8" s="12">
        <v>0.377</v>
      </c>
      <c r="FH8" s="12">
        <v>0.375</v>
      </c>
      <c r="FI8" s="12">
        <v>0.374</v>
      </c>
      <c r="FJ8" s="12">
        <v>0.35899999999999999</v>
      </c>
      <c r="FK8" s="12">
        <v>0.35399999999999998</v>
      </c>
      <c r="FL8" s="12">
        <v>0.35</v>
      </c>
      <c r="FM8" s="12">
        <v>0.34899999999999998</v>
      </c>
      <c r="FN8" s="12">
        <v>0.34599999999999997</v>
      </c>
      <c r="FO8" s="12">
        <v>0.34100000000000003</v>
      </c>
      <c r="FP8" s="12">
        <v>0.33400000000000002</v>
      </c>
      <c r="FQ8" s="12">
        <v>0.33</v>
      </c>
      <c r="FR8" s="12">
        <v>0.32800000000000001</v>
      </c>
      <c r="FS8" s="12">
        <v>0.28599999999999998</v>
      </c>
      <c r="FT8" s="12">
        <v>0.27700000000000002</v>
      </c>
      <c r="FU8" s="12">
        <v>0.27100000000000002</v>
      </c>
      <c r="FV8" s="12">
        <v>0.26800000000000002</v>
      </c>
      <c r="FW8" s="12">
        <v>0.26400000000000001</v>
      </c>
      <c r="FX8" s="12">
        <v>0.26200000000000001</v>
      </c>
      <c r="FY8" s="12">
        <v>0.26200000000000001</v>
      </c>
      <c r="FZ8" s="12">
        <v>0.26100000000000001</v>
      </c>
      <c r="GA8" s="12">
        <v>0.26100000000000001</v>
      </c>
      <c r="GB8" s="12">
        <v>0.25900000000000001</v>
      </c>
      <c r="GC8" s="12">
        <v>0.25800000000000001</v>
      </c>
      <c r="GD8" s="12">
        <v>0.25700000000000001</v>
      </c>
      <c r="GE8" s="12">
        <v>0.25700000000000001</v>
      </c>
      <c r="GF8" s="12">
        <v>0.25700000000000001</v>
      </c>
      <c r="GG8" s="12">
        <v>0.254</v>
      </c>
      <c r="GH8" s="12">
        <v>0.253</v>
      </c>
      <c r="GI8" s="12">
        <v>0.253</v>
      </c>
      <c r="GJ8" s="12">
        <v>0.251</v>
      </c>
      <c r="GK8" s="12">
        <v>0.251</v>
      </c>
      <c r="GL8" s="12">
        <v>0.249</v>
      </c>
      <c r="GM8" s="12">
        <v>0.252</v>
      </c>
      <c r="GN8" s="12">
        <v>0.251</v>
      </c>
      <c r="GO8" s="12">
        <v>0.251</v>
      </c>
      <c r="GP8" s="12">
        <v>0.251</v>
      </c>
      <c r="GQ8" s="12">
        <v>0.251</v>
      </c>
      <c r="GR8" s="12">
        <v>0.251</v>
      </c>
      <c r="GS8" s="12">
        <v>0.252</v>
      </c>
      <c r="GT8" s="12">
        <v>0.255</v>
      </c>
      <c r="GU8" s="12">
        <v>0.254</v>
      </c>
      <c r="GV8" s="12">
        <v>0.254</v>
      </c>
      <c r="GW8" s="12">
        <v>0.25600000000000001</v>
      </c>
      <c r="GX8" s="12">
        <v>0.25600000000000001</v>
      </c>
      <c r="GY8" s="12">
        <v>0.25800000000000001</v>
      </c>
      <c r="GZ8" s="12">
        <v>0.26100000000000001</v>
      </c>
      <c r="HA8" s="12">
        <v>0.26</v>
      </c>
      <c r="HB8" s="12">
        <v>0.26</v>
      </c>
      <c r="HC8" s="12">
        <v>0.26200000000000001</v>
      </c>
      <c r="HD8" s="12">
        <v>0.26300000000000001</v>
      </c>
      <c r="HE8" s="12">
        <v>0.26200000000000001</v>
      </c>
      <c r="HF8" s="12">
        <v>0.26300000000000001</v>
      </c>
      <c r="HG8" s="12">
        <v>0.26400000000000001</v>
      </c>
      <c r="HH8" s="12">
        <v>0.26200000000000001</v>
      </c>
      <c r="HI8" s="12">
        <v>0.26100000000000001</v>
      </c>
      <c r="HJ8" s="12">
        <v>0.25800000000000001</v>
      </c>
      <c r="HK8" s="12">
        <v>0.25700000000000001</v>
      </c>
      <c r="HL8" s="12">
        <v>0.25600000000000001</v>
      </c>
      <c r="HM8" s="12">
        <v>0.255</v>
      </c>
      <c r="HN8" s="12">
        <v>0.255</v>
      </c>
      <c r="HO8" s="12">
        <v>0.25600000000000001</v>
      </c>
      <c r="HP8" s="12">
        <v>0.255</v>
      </c>
      <c r="HQ8" s="12">
        <v>0.255</v>
      </c>
      <c r="HR8" s="12">
        <v>0.255</v>
      </c>
      <c r="HS8" s="12">
        <v>0.25600000000000001</v>
      </c>
      <c r="HT8" s="12">
        <v>0.25900000000000001</v>
      </c>
      <c r="HU8" s="12">
        <v>0.25800000000000001</v>
      </c>
      <c r="HV8" s="12">
        <v>0.25600000000000001</v>
      </c>
      <c r="HW8" s="12">
        <v>0.25600000000000001</v>
      </c>
      <c r="HX8" s="12">
        <v>0.25700000000000001</v>
      </c>
      <c r="HY8" s="12">
        <v>0.25700000000000001</v>
      </c>
      <c r="HZ8" s="12">
        <v>0.25700000000000001</v>
      </c>
      <c r="IA8" s="12">
        <v>0.25700000000000001</v>
      </c>
      <c r="IB8" s="12">
        <v>0.25700000000000001</v>
      </c>
      <c r="IC8" s="12">
        <v>0.25700000000000001</v>
      </c>
      <c r="ID8" s="12">
        <v>0.254</v>
      </c>
      <c r="IE8" s="12">
        <v>0.252</v>
      </c>
      <c r="IF8" s="12">
        <v>0.254</v>
      </c>
      <c r="IG8" s="12">
        <v>0.254</v>
      </c>
      <c r="IH8" s="12">
        <v>0.252</v>
      </c>
      <c r="II8" s="12">
        <v>0.254</v>
      </c>
      <c r="IJ8" s="12">
        <v>0.254</v>
      </c>
      <c r="IK8" s="12">
        <v>0.253</v>
      </c>
      <c r="IL8" s="12">
        <v>0.253</v>
      </c>
      <c r="IM8" s="12">
        <v>0.255</v>
      </c>
      <c r="IN8" s="12">
        <v>0.25600000000000001</v>
      </c>
      <c r="IO8" s="12">
        <v>0.254</v>
      </c>
      <c r="IP8" s="12">
        <v>0.254</v>
      </c>
      <c r="IQ8" s="12">
        <v>0.252</v>
      </c>
      <c r="IR8" s="12">
        <v>0.249</v>
      </c>
      <c r="IS8" s="12">
        <v>0.249</v>
      </c>
      <c r="IT8" s="12">
        <v>0.248</v>
      </c>
      <c r="IU8" s="12">
        <v>0.247</v>
      </c>
      <c r="IV8" s="13">
        <v>0.245</v>
      </c>
    </row>
    <row r="9" spans="1:257">
      <c r="A9" s="11" t="s">
        <v>42</v>
      </c>
      <c r="B9" s="12">
        <v>0.55500000000000005</v>
      </c>
      <c r="C9" s="12">
        <v>0.55100000000000005</v>
      </c>
      <c r="D9" s="12">
        <v>0.55000000000000004</v>
      </c>
      <c r="E9" s="12">
        <v>0.55000000000000004</v>
      </c>
      <c r="F9" s="12">
        <v>0.55200000000000005</v>
      </c>
      <c r="G9" s="12">
        <v>0.55700000000000005</v>
      </c>
      <c r="H9" s="12">
        <v>0.55700000000000005</v>
      </c>
      <c r="I9" s="12">
        <v>0.55700000000000005</v>
      </c>
      <c r="J9" s="12">
        <v>0.55700000000000005</v>
      </c>
      <c r="K9" s="12">
        <v>0.56499999999999995</v>
      </c>
      <c r="L9" s="12">
        <v>0.57199999999999995</v>
      </c>
      <c r="M9" s="12">
        <v>0.57099999999999995</v>
      </c>
      <c r="N9" s="12">
        <v>0.56999999999999995</v>
      </c>
      <c r="O9" s="12">
        <v>0.57099999999999995</v>
      </c>
      <c r="P9" s="12">
        <v>0.56999999999999995</v>
      </c>
      <c r="Q9" s="12">
        <v>0.56999999999999995</v>
      </c>
      <c r="R9" s="12">
        <v>0.56699999999999995</v>
      </c>
      <c r="S9" s="12">
        <v>0.56899999999999995</v>
      </c>
      <c r="T9" s="12">
        <v>0.56899999999999995</v>
      </c>
      <c r="U9" s="12">
        <v>0.56599999999999995</v>
      </c>
      <c r="V9" s="12">
        <v>0.56200000000000006</v>
      </c>
      <c r="W9" s="12">
        <v>0.55900000000000005</v>
      </c>
      <c r="X9" s="12">
        <v>0.54900000000000004</v>
      </c>
      <c r="Y9" s="12">
        <v>0.54800000000000004</v>
      </c>
      <c r="Z9" s="12">
        <v>0.54800000000000004</v>
      </c>
      <c r="AA9" s="12">
        <v>0.54700000000000004</v>
      </c>
      <c r="AB9" s="12">
        <v>0.55200000000000005</v>
      </c>
      <c r="AC9" s="12">
        <v>0.55100000000000005</v>
      </c>
      <c r="AD9" s="12">
        <v>0.55400000000000005</v>
      </c>
      <c r="AE9" s="12">
        <v>0.55200000000000005</v>
      </c>
      <c r="AF9" s="12">
        <v>0.54700000000000004</v>
      </c>
      <c r="AG9" s="12">
        <v>0.54800000000000004</v>
      </c>
      <c r="AH9" s="12">
        <v>0.54700000000000004</v>
      </c>
      <c r="AI9" s="12">
        <v>0.54700000000000004</v>
      </c>
      <c r="AJ9" s="12">
        <v>0.54700000000000004</v>
      </c>
      <c r="AK9" s="12">
        <v>0.54500000000000004</v>
      </c>
      <c r="AL9" s="12">
        <v>0.54700000000000004</v>
      </c>
      <c r="AM9" s="12">
        <v>0.54900000000000004</v>
      </c>
      <c r="AN9" s="12">
        <v>0.55300000000000005</v>
      </c>
      <c r="AO9" s="12">
        <v>0.55100000000000005</v>
      </c>
      <c r="AP9" s="12">
        <v>0.54900000000000004</v>
      </c>
      <c r="AQ9" s="12">
        <v>0.54900000000000004</v>
      </c>
      <c r="AR9" s="12">
        <v>0.55400000000000005</v>
      </c>
      <c r="AS9" s="12">
        <v>0.55200000000000005</v>
      </c>
      <c r="AT9" s="12">
        <v>0.55100000000000005</v>
      </c>
      <c r="AU9" s="12">
        <v>0.55100000000000005</v>
      </c>
      <c r="AV9" s="12">
        <v>0.56699999999999995</v>
      </c>
      <c r="AW9" s="12">
        <v>0.57799999999999996</v>
      </c>
      <c r="AX9" s="12">
        <v>0.57499999999999996</v>
      </c>
      <c r="AY9" s="12">
        <v>0.57399999999999995</v>
      </c>
      <c r="AZ9" s="12">
        <v>0.57299999999999995</v>
      </c>
      <c r="BA9" s="12">
        <v>0.56999999999999995</v>
      </c>
      <c r="BB9" s="12">
        <v>0.57599999999999996</v>
      </c>
      <c r="BC9" s="12">
        <v>0.58199999999999996</v>
      </c>
      <c r="BD9" s="12">
        <v>0.58499999999999996</v>
      </c>
      <c r="BE9" s="12">
        <v>0.59099999999999997</v>
      </c>
      <c r="BF9" s="12">
        <v>0.59299999999999997</v>
      </c>
      <c r="BG9" s="12">
        <v>0.6</v>
      </c>
      <c r="BH9" s="12">
        <v>0.59799999999999998</v>
      </c>
      <c r="BI9" s="12">
        <v>0.59099999999999997</v>
      </c>
      <c r="BJ9" s="12">
        <v>0.58699999999999997</v>
      </c>
      <c r="BK9" s="12">
        <v>0.58499999999999996</v>
      </c>
      <c r="BL9" s="12">
        <v>0.59</v>
      </c>
      <c r="BM9" s="12">
        <v>0.59099999999999997</v>
      </c>
      <c r="BN9" s="12">
        <v>0.59899999999999998</v>
      </c>
      <c r="BO9" s="12">
        <v>0.6</v>
      </c>
      <c r="BP9" s="12">
        <v>0.60299999999999998</v>
      </c>
      <c r="BQ9" s="12">
        <v>0.6</v>
      </c>
      <c r="BR9" s="12">
        <v>0.59899999999999998</v>
      </c>
      <c r="BS9" s="12">
        <v>0.59899999999999998</v>
      </c>
      <c r="BT9" s="12">
        <v>0.59899999999999998</v>
      </c>
      <c r="BU9" s="12">
        <v>0.60099999999999998</v>
      </c>
      <c r="BV9" s="12">
        <v>0.59899999999999998</v>
      </c>
      <c r="BW9" s="12">
        <v>0.59799999999999998</v>
      </c>
      <c r="BX9" s="12">
        <v>0.59799999999999998</v>
      </c>
      <c r="BY9" s="12">
        <v>0.59899999999999998</v>
      </c>
      <c r="BZ9" s="12">
        <v>0.60299999999999998</v>
      </c>
      <c r="CA9" s="12">
        <v>0.60599999999999998</v>
      </c>
      <c r="CB9" s="12">
        <v>0.61099999999999999</v>
      </c>
      <c r="CC9" s="12">
        <v>0.61899999999999999</v>
      </c>
      <c r="CD9" s="12">
        <v>0.62</v>
      </c>
      <c r="CE9" s="12">
        <v>0.621</v>
      </c>
      <c r="CF9" s="12">
        <v>0.61399999999999999</v>
      </c>
      <c r="CG9" s="12">
        <v>0.61199999999999999</v>
      </c>
      <c r="CH9" s="12">
        <v>0.61299999999999999</v>
      </c>
      <c r="CI9" s="12">
        <v>0.61299999999999999</v>
      </c>
      <c r="CJ9" s="12">
        <v>0.61399999999999999</v>
      </c>
      <c r="CK9" s="12">
        <v>0.61699999999999999</v>
      </c>
      <c r="CL9" s="12">
        <v>0.60599999999999998</v>
      </c>
      <c r="CM9" s="12">
        <v>0.60699999999999998</v>
      </c>
      <c r="CN9" s="12">
        <v>0.60499999999999998</v>
      </c>
      <c r="CO9" s="12">
        <v>0.59599999999999997</v>
      </c>
      <c r="CP9" s="12">
        <v>0.58699999999999997</v>
      </c>
      <c r="CQ9" s="12">
        <v>0.58599999999999997</v>
      </c>
      <c r="CR9" s="12">
        <v>0.58599999999999997</v>
      </c>
      <c r="CS9" s="12">
        <v>0.58499999999999996</v>
      </c>
      <c r="CT9" s="12">
        <v>0.58299999999999996</v>
      </c>
      <c r="CU9" s="12">
        <v>0.58299999999999996</v>
      </c>
      <c r="CV9" s="12">
        <v>0.57799999999999996</v>
      </c>
      <c r="CW9" s="12">
        <v>0.57599999999999996</v>
      </c>
      <c r="CX9" s="12">
        <v>0.57299999999999995</v>
      </c>
      <c r="CY9" s="12">
        <v>0.57399999999999995</v>
      </c>
      <c r="CZ9" s="12">
        <v>0.57199999999999995</v>
      </c>
      <c r="DA9" s="12">
        <v>0.57199999999999995</v>
      </c>
      <c r="DB9" s="12">
        <v>0.56899999999999995</v>
      </c>
      <c r="DC9" s="12">
        <v>0.56699999999999995</v>
      </c>
      <c r="DD9" s="12">
        <v>0.56200000000000006</v>
      </c>
      <c r="DE9" s="12">
        <v>0.55200000000000005</v>
      </c>
      <c r="DF9" s="12">
        <v>0.53300000000000003</v>
      </c>
      <c r="DG9" s="12">
        <v>0.52900000000000003</v>
      </c>
      <c r="DH9" s="12">
        <v>0.52800000000000002</v>
      </c>
      <c r="DI9" s="12">
        <v>0.52500000000000002</v>
      </c>
      <c r="DJ9" s="12">
        <v>0.51100000000000001</v>
      </c>
      <c r="DK9" s="12">
        <v>0.50700000000000001</v>
      </c>
      <c r="DL9" s="12">
        <v>0.496</v>
      </c>
      <c r="DM9" s="12">
        <v>0.49099999999999999</v>
      </c>
      <c r="DN9" s="12">
        <v>0.49</v>
      </c>
      <c r="DO9" s="12">
        <v>0.48899999999999999</v>
      </c>
      <c r="DP9" s="12">
        <v>0.48899999999999999</v>
      </c>
      <c r="DQ9" s="12">
        <v>0.48899999999999999</v>
      </c>
      <c r="DR9" s="12">
        <v>0.48899999999999999</v>
      </c>
      <c r="DS9" s="12">
        <v>0.48699999999999999</v>
      </c>
      <c r="DT9" s="12">
        <v>0.48799999999999999</v>
      </c>
      <c r="DU9" s="12">
        <v>0.48799999999999999</v>
      </c>
      <c r="DV9" s="12">
        <v>0.48799999999999999</v>
      </c>
      <c r="DW9" s="12">
        <v>0.48799999999999999</v>
      </c>
      <c r="DX9" s="12">
        <v>0.48699999999999999</v>
      </c>
      <c r="DY9" s="12">
        <v>0.48799999999999999</v>
      </c>
      <c r="DZ9" s="12">
        <v>0.48599999999999999</v>
      </c>
      <c r="EA9" s="12">
        <v>0.48599999999999999</v>
      </c>
      <c r="EB9" s="12">
        <v>0.48599999999999999</v>
      </c>
      <c r="EC9" s="12">
        <v>0.48699999999999999</v>
      </c>
      <c r="ED9" s="12">
        <v>0.48699999999999999</v>
      </c>
      <c r="EE9" s="12">
        <v>0.48699999999999999</v>
      </c>
      <c r="EF9" s="12">
        <v>0.48799999999999999</v>
      </c>
      <c r="EG9" s="12">
        <v>0.48699999999999999</v>
      </c>
      <c r="EH9" s="12">
        <v>0.48599999999999999</v>
      </c>
      <c r="EI9" s="12">
        <v>0.48599999999999999</v>
      </c>
      <c r="EJ9" s="12">
        <v>0.48499999999999999</v>
      </c>
      <c r="EK9" s="12">
        <v>0.48599999999999999</v>
      </c>
      <c r="EL9" s="12">
        <v>0.48799999999999999</v>
      </c>
      <c r="EM9" s="12">
        <v>0.48899999999999999</v>
      </c>
      <c r="EN9" s="12">
        <v>0.49</v>
      </c>
      <c r="EO9" s="12">
        <v>0.49</v>
      </c>
      <c r="EP9" s="12">
        <v>0.48899999999999999</v>
      </c>
      <c r="EQ9" s="12">
        <v>0.48899999999999999</v>
      </c>
      <c r="ER9" s="12">
        <v>0.48899999999999999</v>
      </c>
      <c r="ES9" s="12">
        <v>0.48899999999999999</v>
      </c>
      <c r="ET9" s="12">
        <v>0.48899999999999999</v>
      </c>
      <c r="EU9" s="12">
        <v>0.48799999999999999</v>
      </c>
      <c r="EV9" s="12">
        <v>0.48799999999999999</v>
      </c>
      <c r="EW9" s="12">
        <v>0.48699999999999999</v>
      </c>
      <c r="EX9" s="12">
        <v>0.48399999999999999</v>
      </c>
      <c r="EY9" s="12">
        <v>0.48199999999999998</v>
      </c>
      <c r="EZ9" s="12">
        <v>0.48199999999999998</v>
      </c>
      <c r="FA9" s="12">
        <v>0.47899999999999998</v>
      </c>
      <c r="FB9" s="12">
        <v>0.47899999999999998</v>
      </c>
      <c r="FC9" s="12">
        <v>0.47799999999999998</v>
      </c>
      <c r="FD9" s="12">
        <v>0.47699999999999998</v>
      </c>
      <c r="FE9" s="12">
        <v>0.47399999999999998</v>
      </c>
      <c r="FF9" s="12">
        <v>0.46899999999999997</v>
      </c>
      <c r="FG9" s="12">
        <v>0.46600000000000003</v>
      </c>
      <c r="FH9" s="12">
        <v>0.46400000000000002</v>
      </c>
      <c r="FI9" s="12">
        <v>0.46300000000000002</v>
      </c>
      <c r="FJ9" s="12">
        <v>0.44800000000000001</v>
      </c>
      <c r="FK9" s="12">
        <v>0.443</v>
      </c>
      <c r="FL9" s="12">
        <v>0.439</v>
      </c>
      <c r="FM9" s="12">
        <v>0.438</v>
      </c>
      <c r="FN9" s="12">
        <v>0.434</v>
      </c>
      <c r="FO9" s="12">
        <v>0.42799999999999999</v>
      </c>
      <c r="FP9" s="12">
        <v>0.42</v>
      </c>
      <c r="FQ9" s="12">
        <v>0.41899999999999998</v>
      </c>
      <c r="FR9" s="12">
        <v>0.41799999999999998</v>
      </c>
      <c r="FS9" s="12">
        <v>0.374</v>
      </c>
      <c r="FT9" s="12">
        <v>0.36599999999999999</v>
      </c>
      <c r="FU9" s="12">
        <v>0.36</v>
      </c>
      <c r="FV9" s="12">
        <v>0.35699999999999998</v>
      </c>
      <c r="FW9" s="12">
        <v>0.35199999999999998</v>
      </c>
      <c r="FX9" s="12">
        <v>0.34899999999999998</v>
      </c>
      <c r="FY9" s="12">
        <v>0.34899999999999998</v>
      </c>
      <c r="FZ9" s="12">
        <v>0.34599999999999997</v>
      </c>
      <c r="GA9" s="12">
        <v>0.34699999999999998</v>
      </c>
      <c r="GB9" s="12">
        <v>0.34699999999999998</v>
      </c>
      <c r="GC9" s="12">
        <v>0.34699999999999998</v>
      </c>
      <c r="GD9" s="12">
        <v>0.34499999999999997</v>
      </c>
      <c r="GE9" s="12">
        <v>0.34300000000000003</v>
      </c>
      <c r="GF9" s="12">
        <v>0.34399999999999997</v>
      </c>
      <c r="GG9" s="12">
        <v>0.34200000000000003</v>
      </c>
      <c r="GH9" s="12">
        <v>0.34100000000000003</v>
      </c>
      <c r="GI9" s="12">
        <v>0.33900000000000002</v>
      </c>
      <c r="GJ9" s="12">
        <v>0.33800000000000002</v>
      </c>
      <c r="GK9" s="12">
        <v>0.33800000000000002</v>
      </c>
      <c r="GL9" s="12">
        <v>0.33400000000000002</v>
      </c>
      <c r="GM9" s="12">
        <v>0.33500000000000002</v>
      </c>
      <c r="GN9" s="12">
        <v>0.33400000000000002</v>
      </c>
      <c r="GO9" s="12">
        <v>0.33300000000000002</v>
      </c>
      <c r="GP9" s="12">
        <v>0.33300000000000002</v>
      </c>
      <c r="GQ9" s="12">
        <v>0.33200000000000002</v>
      </c>
      <c r="GR9" s="12">
        <v>0.33300000000000002</v>
      </c>
      <c r="GS9" s="12">
        <v>0.33600000000000002</v>
      </c>
      <c r="GT9" s="12">
        <v>0.34</v>
      </c>
      <c r="GU9" s="12">
        <v>0.33800000000000002</v>
      </c>
      <c r="GV9" s="12">
        <v>0.33900000000000002</v>
      </c>
      <c r="GW9" s="12">
        <v>0.34</v>
      </c>
      <c r="GX9" s="12">
        <v>0.33700000000000002</v>
      </c>
      <c r="GY9" s="12">
        <v>0.33900000000000002</v>
      </c>
      <c r="GZ9" s="12">
        <v>0.34100000000000003</v>
      </c>
      <c r="HA9" s="12">
        <v>0.34100000000000003</v>
      </c>
      <c r="HB9" s="12">
        <v>0.34100000000000003</v>
      </c>
      <c r="HC9" s="12">
        <v>0.34100000000000003</v>
      </c>
      <c r="HD9" s="12">
        <v>0.34</v>
      </c>
      <c r="HE9" s="12">
        <v>0.34</v>
      </c>
      <c r="HF9" s="12">
        <v>0.34</v>
      </c>
      <c r="HG9" s="12">
        <v>0.34</v>
      </c>
      <c r="HH9" s="12">
        <v>0.33900000000000002</v>
      </c>
      <c r="HI9" s="12">
        <v>0.33800000000000002</v>
      </c>
      <c r="HJ9" s="12">
        <v>0.33700000000000002</v>
      </c>
      <c r="HK9" s="12">
        <v>0.33700000000000002</v>
      </c>
      <c r="HL9" s="12">
        <v>0.33600000000000002</v>
      </c>
      <c r="HM9" s="12">
        <v>0.33600000000000002</v>
      </c>
      <c r="HN9" s="12">
        <v>0.33600000000000002</v>
      </c>
      <c r="HO9" s="12">
        <v>0.33600000000000002</v>
      </c>
      <c r="HP9" s="12">
        <v>0.33400000000000002</v>
      </c>
      <c r="HQ9" s="12">
        <v>0.33300000000000002</v>
      </c>
      <c r="HR9" s="12">
        <v>0.33200000000000002</v>
      </c>
      <c r="HS9" s="12">
        <v>0.33400000000000002</v>
      </c>
      <c r="HT9" s="12">
        <v>0.33600000000000002</v>
      </c>
      <c r="HU9" s="12">
        <v>0.33600000000000002</v>
      </c>
      <c r="HV9" s="12">
        <v>0.33400000000000002</v>
      </c>
      <c r="HW9" s="12">
        <v>0.33200000000000002</v>
      </c>
      <c r="HX9" s="12">
        <v>0.33200000000000002</v>
      </c>
      <c r="HY9" s="12">
        <v>0.33400000000000002</v>
      </c>
      <c r="HZ9" s="12">
        <v>0.33100000000000002</v>
      </c>
      <c r="IA9" s="12">
        <v>0.33100000000000002</v>
      </c>
      <c r="IB9" s="12">
        <v>0.33</v>
      </c>
      <c r="IC9" s="12">
        <v>0.33100000000000002</v>
      </c>
      <c r="ID9" s="12">
        <v>0.32800000000000001</v>
      </c>
      <c r="IE9" s="12">
        <v>0.32800000000000001</v>
      </c>
      <c r="IF9" s="12">
        <v>0.32900000000000001</v>
      </c>
      <c r="IG9" s="12">
        <v>0.32900000000000001</v>
      </c>
      <c r="IH9" s="12">
        <v>0.32900000000000001</v>
      </c>
      <c r="II9" s="12">
        <v>0.32800000000000001</v>
      </c>
      <c r="IJ9" s="12">
        <v>0.32800000000000001</v>
      </c>
      <c r="IK9" s="12">
        <v>0.32900000000000001</v>
      </c>
      <c r="IL9" s="12">
        <v>0.32900000000000001</v>
      </c>
      <c r="IM9" s="12">
        <v>0.32900000000000001</v>
      </c>
      <c r="IN9" s="12">
        <v>0.33</v>
      </c>
      <c r="IO9" s="12">
        <v>0.32800000000000001</v>
      </c>
      <c r="IP9" s="12">
        <v>0.32900000000000001</v>
      </c>
      <c r="IQ9" s="12">
        <v>0.32900000000000001</v>
      </c>
      <c r="IR9" s="12">
        <v>0.32800000000000001</v>
      </c>
      <c r="IS9" s="12">
        <v>0.32800000000000001</v>
      </c>
      <c r="IT9" s="12">
        <v>0.32800000000000001</v>
      </c>
      <c r="IU9" s="12">
        <v>0.32700000000000001</v>
      </c>
      <c r="IV9" s="13">
        <v>0.32500000000000001</v>
      </c>
    </row>
    <row r="12" spans="1:257">
      <c r="A12" s="8">
        <v>2015</v>
      </c>
      <c r="B12" s="5">
        <v>42006</v>
      </c>
      <c r="C12" s="5">
        <v>42009</v>
      </c>
      <c r="D12" s="5">
        <v>42010</v>
      </c>
      <c r="E12" s="5">
        <v>42011</v>
      </c>
      <c r="F12" s="5">
        <v>42012</v>
      </c>
      <c r="G12" s="5">
        <v>42013</v>
      </c>
      <c r="H12" s="5">
        <v>42016</v>
      </c>
      <c r="I12" s="5">
        <v>42017</v>
      </c>
      <c r="J12" s="5">
        <v>42018</v>
      </c>
      <c r="K12" s="5">
        <v>42019</v>
      </c>
      <c r="L12" s="5">
        <v>42020</v>
      </c>
      <c r="M12" s="5">
        <v>42023</v>
      </c>
      <c r="N12" s="5">
        <v>42024</v>
      </c>
      <c r="O12" s="5">
        <v>42025</v>
      </c>
      <c r="P12" s="5">
        <v>42026</v>
      </c>
      <c r="Q12" s="5">
        <v>42027</v>
      </c>
      <c r="R12" s="5">
        <v>42030</v>
      </c>
      <c r="S12" s="5">
        <v>42031</v>
      </c>
      <c r="T12" s="5">
        <v>42032</v>
      </c>
      <c r="U12" s="5">
        <v>42033</v>
      </c>
      <c r="V12" s="5">
        <v>42034</v>
      </c>
      <c r="W12" s="5">
        <v>42037</v>
      </c>
      <c r="X12" s="5">
        <v>42038</v>
      </c>
      <c r="Y12" s="5">
        <v>42039</v>
      </c>
      <c r="Z12" s="5">
        <v>42040</v>
      </c>
      <c r="AA12" s="5">
        <v>42041</v>
      </c>
      <c r="AB12" s="5">
        <v>42044</v>
      </c>
      <c r="AC12" s="5">
        <v>42045</v>
      </c>
      <c r="AD12" s="5">
        <v>42046</v>
      </c>
      <c r="AE12" s="5">
        <v>42047</v>
      </c>
      <c r="AF12" s="5">
        <v>42048</v>
      </c>
      <c r="AG12" s="5">
        <v>42051</v>
      </c>
      <c r="AH12" s="5">
        <v>42052</v>
      </c>
      <c r="AI12" s="5">
        <v>42053</v>
      </c>
      <c r="AJ12" s="5">
        <v>42054</v>
      </c>
      <c r="AK12" s="5">
        <v>42055</v>
      </c>
      <c r="AL12" s="5">
        <v>42058</v>
      </c>
      <c r="AM12" s="5">
        <v>42059</v>
      </c>
      <c r="AN12" s="5">
        <v>42060</v>
      </c>
      <c r="AO12" s="5">
        <v>42061</v>
      </c>
      <c r="AP12" s="5">
        <v>42062</v>
      </c>
      <c r="AQ12" s="5">
        <v>42065</v>
      </c>
      <c r="AR12" s="5">
        <v>42066</v>
      </c>
      <c r="AS12" s="5">
        <v>42067</v>
      </c>
      <c r="AT12" s="5">
        <v>42068</v>
      </c>
      <c r="AU12" s="5">
        <v>42069</v>
      </c>
      <c r="AV12" s="5">
        <v>42072</v>
      </c>
      <c r="AW12" s="5">
        <v>42073</v>
      </c>
      <c r="AX12" s="5">
        <v>42074</v>
      </c>
      <c r="AY12" s="5">
        <v>42075</v>
      </c>
      <c r="AZ12" s="5">
        <v>42076</v>
      </c>
      <c r="BA12" s="5">
        <v>42079</v>
      </c>
      <c r="BB12" s="5">
        <v>42080</v>
      </c>
      <c r="BC12" s="5">
        <v>42081</v>
      </c>
      <c r="BD12" s="5">
        <v>42082</v>
      </c>
      <c r="BE12" s="5">
        <v>42083</v>
      </c>
      <c r="BF12" s="5">
        <v>42086</v>
      </c>
      <c r="BG12" s="5">
        <v>42087</v>
      </c>
      <c r="BH12" s="5">
        <v>42088</v>
      </c>
      <c r="BI12" s="5">
        <v>42089</v>
      </c>
      <c r="BJ12" s="5">
        <v>42090</v>
      </c>
      <c r="BK12" s="5">
        <v>42093</v>
      </c>
      <c r="BL12" s="5">
        <v>42094</v>
      </c>
      <c r="BM12" s="5">
        <v>42095</v>
      </c>
      <c r="BN12" s="5">
        <v>42096</v>
      </c>
      <c r="BO12" s="5">
        <v>42101</v>
      </c>
      <c r="BP12" s="5">
        <v>42102</v>
      </c>
      <c r="BQ12" s="5">
        <v>42103</v>
      </c>
      <c r="BR12" s="5">
        <v>42104</v>
      </c>
      <c r="BS12" s="5">
        <v>42107</v>
      </c>
      <c r="BT12" s="5">
        <v>42108</v>
      </c>
      <c r="BU12" s="5">
        <v>42109</v>
      </c>
      <c r="BV12" s="5">
        <v>42110</v>
      </c>
      <c r="BW12" s="5">
        <v>42111</v>
      </c>
      <c r="BX12" s="5">
        <v>42114</v>
      </c>
      <c r="BY12" s="5">
        <v>42115</v>
      </c>
      <c r="BZ12" s="5">
        <v>42116</v>
      </c>
      <c r="CA12" s="5">
        <v>42117</v>
      </c>
      <c r="CB12" s="5">
        <v>42118</v>
      </c>
      <c r="CC12" s="5">
        <v>42121</v>
      </c>
      <c r="CD12" s="5">
        <v>42122</v>
      </c>
      <c r="CE12" s="5">
        <v>42123</v>
      </c>
      <c r="CF12" s="5">
        <v>42124</v>
      </c>
      <c r="CG12" s="5">
        <v>42128</v>
      </c>
      <c r="CH12" s="5">
        <v>42129</v>
      </c>
      <c r="CI12" s="5">
        <v>42130</v>
      </c>
      <c r="CJ12" s="5">
        <v>42131</v>
      </c>
      <c r="CK12" s="5">
        <v>42132</v>
      </c>
      <c r="CL12" s="5">
        <v>42135</v>
      </c>
      <c r="CM12" s="5">
        <v>42136</v>
      </c>
      <c r="CN12" s="5">
        <v>42137</v>
      </c>
      <c r="CO12" s="5">
        <v>42138</v>
      </c>
      <c r="CP12" s="5">
        <v>42139</v>
      </c>
      <c r="CQ12" s="5">
        <v>42142</v>
      </c>
      <c r="CR12" s="5">
        <v>42143</v>
      </c>
      <c r="CS12" s="5">
        <v>42144</v>
      </c>
      <c r="CT12" s="5">
        <v>42145</v>
      </c>
      <c r="CU12" s="5">
        <v>42146</v>
      </c>
      <c r="CV12" s="5">
        <v>42149</v>
      </c>
      <c r="CW12" s="5">
        <v>42150</v>
      </c>
      <c r="CX12" s="5">
        <v>42151</v>
      </c>
      <c r="CY12" s="5">
        <v>42152</v>
      </c>
      <c r="CZ12" s="5">
        <v>42153</v>
      </c>
      <c r="DA12" s="5">
        <v>42156</v>
      </c>
      <c r="DB12" s="5">
        <v>42157</v>
      </c>
      <c r="DC12" s="5">
        <v>42158</v>
      </c>
      <c r="DD12" s="5">
        <v>42159</v>
      </c>
      <c r="DE12" s="5">
        <v>42160</v>
      </c>
      <c r="DF12" s="5">
        <v>42163</v>
      </c>
      <c r="DG12" s="5">
        <v>42164</v>
      </c>
      <c r="DH12" s="5">
        <v>42165</v>
      </c>
      <c r="DI12" s="5">
        <v>42166</v>
      </c>
      <c r="DJ12" s="5">
        <v>42167</v>
      </c>
      <c r="DK12" s="5">
        <v>42170</v>
      </c>
      <c r="DL12" s="5">
        <v>42171</v>
      </c>
      <c r="DM12" s="5">
        <v>42172</v>
      </c>
      <c r="DN12" s="5">
        <v>42173</v>
      </c>
      <c r="DO12" s="5">
        <v>42174</v>
      </c>
      <c r="DP12" s="5">
        <v>42177</v>
      </c>
      <c r="DQ12" s="5">
        <v>42178</v>
      </c>
      <c r="DR12" s="5">
        <v>42179</v>
      </c>
      <c r="DS12" s="5">
        <v>42180</v>
      </c>
      <c r="DT12" s="5">
        <v>42181</v>
      </c>
      <c r="DU12" s="5">
        <v>42184</v>
      </c>
      <c r="DV12" s="5">
        <v>42185</v>
      </c>
      <c r="DW12" s="5">
        <v>42186</v>
      </c>
      <c r="DX12" s="5">
        <v>42187</v>
      </c>
      <c r="DY12" s="5">
        <v>42188</v>
      </c>
      <c r="DZ12" s="5">
        <v>42191</v>
      </c>
      <c r="EA12" s="5">
        <v>42192</v>
      </c>
      <c r="EB12" s="5">
        <v>42193</v>
      </c>
      <c r="EC12" s="5">
        <v>42194</v>
      </c>
      <c r="ED12" s="5">
        <v>42195</v>
      </c>
      <c r="EE12" s="5">
        <v>42198</v>
      </c>
      <c r="EF12" s="5">
        <v>42199</v>
      </c>
      <c r="EG12" s="5">
        <v>42200</v>
      </c>
      <c r="EH12" s="5">
        <v>42201</v>
      </c>
      <c r="EI12" s="5">
        <v>42202</v>
      </c>
      <c r="EJ12" s="5">
        <v>42205</v>
      </c>
      <c r="EK12" s="5">
        <v>42206</v>
      </c>
      <c r="EL12" s="5">
        <v>42207</v>
      </c>
      <c r="EM12" s="5">
        <v>42208</v>
      </c>
      <c r="EN12" s="5">
        <v>42209</v>
      </c>
      <c r="EO12" s="5">
        <v>42212</v>
      </c>
      <c r="EP12" s="5">
        <v>42213</v>
      </c>
      <c r="EQ12" s="5">
        <v>42214</v>
      </c>
      <c r="ER12" s="5">
        <v>42215</v>
      </c>
      <c r="ES12" s="5">
        <v>42216</v>
      </c>
      <c r="ET12" s="5">
        <v>42219</v>
      </c>
      <c r="EU12" s="5">
        <v>42220</v>
      </c>
      <c r="EV12" s="5">
        <v>42221</v>
      </c>
      <c r="EW12" s="5">
        <v>42222</v>
      </c>
      <c r="EX12" s="5">
        <v>42223</v>
      </c>
      <c r="EY12" s="5">
        <v>42226</v>
      </c>
      <c r="EZ12" s="5">
        <v>42227</v>
      </c>
      <c r="FA12" s="5">
        <v>42228</v>
      </c>
      <c r="FB12" s="5">
        <v>42229</v>
      </c>
      <c r="FC12" s="5">
        <v>42230</v>
      </c>
      <c r="FD12" s="5">
        <v>42233</v>
      </c>
      <c r="FE12" s="5">
        <v>42234</v>
      </c>
      <c r="FF12" s="5">
        <v>42235</v>
      </c>
      <c r="FG12" s="5">
        <v>42236</v>
      </c>
      <c r="FH12" s="5">
        <v>42237</v>
      </c>
      <c r="FI12" s="5">
        <v>42240</v>
      </c>
      <c r="FJ12" s="5">
        <v>42241</v>
      </c>
      <c r="FK12" s="5">
        <v>42242</v>
      </c>
      <c r="FL12" s="5">
        <v>42243</v>
      </c>
      <c r="FM12" s="5">
        <v>42244</v>
      </c>
      <c r="FN12" s="5">
        <v>42247</v>
      </c>
      <c r="FO12" s="5">
        <v>42248</v>
      </c>
      <c r="FP12" s="5">
        <v>42249</v>
      </c>
      <c r="FQ12" s="5">
        <v>42250</v>
      </c>
      <c r="FR12" s="5">
        <v>42251</v>
      </c>
      <c r="FS12" s="5">
        <v>42254</v>
      </c>
      <c r="FT12" s="5">
        <v>42255</v>
      </c>
      <c r="FU12" s="5">
        <v>42256</v>
      </c>
      <c r="FV12" s="5">
        <v>42257</v>
      </c>
      <c r="FW12" s="5">
        <v>42258</v>
      </c>
      <c r="FX12" s="5">
        <v>42261</v>
      </c>
      <c r="FY12" s="5">
        <v>42262</v>
      </c>
      <c r="FZ12" s="5">
        <v>42263</v>
      </c>
      <c r="GA12" s="5">
        <v>42264</v>
      </c>
      <c r="GB12" s="5">
        <v>42265</v>
      </c>
      <c r="GC12" s="5">
        <v>42268</v>
      </c>
      <c r="GD12" s="5">
        <v>42269</v>
      </c>
      <c r="GE12" s="5">
        <v>42270</v>
      </c>
      <c r="GF12" s="5">
        <v>42271</v>
      </c>
      <c r="GG12" s="5">
        <v>42272</v>
      </c>
      <c r="GH12" s="5">
        <v>42275</v>
      </c>
      <c r="GI12" s="5">
        <v>42276</v>
      </c>
      <c r="GJ12" s="5">
        <v>42277</v>
      </c>
      <c r="GK12" s="5">
        <v>42278</v>
      </c>
      <c r="GL12" s="5">
        <v>42279</v>
      </c>
      <c r="GM12" s="5">
        <v>42282</v>
      </c>
      <c r="GN12" s="5">
        <v>42283</v>
      </c>
      <c r="GO12" s="5">
        <v>42284</v>
      </c>
      <c r="GP12" s="5">
        <v>42285</v>
      </c>
      <c r="GQ12" s="5">
        <v>42286</v>
      </c>
      <c r="GR12" s="5">
        <v>42289</v>
      </c>
      <c r="GS12" s="5">
        <v>42290</v>
      </c>
      <c r="GT12" s="5">
        <v>42291</v>
      </c>
      <c r="GU12" s="5">
        <v>42292</v>
      </c>
      <c r="GV12" s="5">
        <v>42293</v>
      </c>
      <c r="GW12" s="5">
        <v>42296</v>
      </c>
      <c r="GX12" s="5">
        <v>42297</v>
      </c>
      <c r="GY12" s="5">
        <v>42298</v>
      </c>
      <c r="GZ12" s="5">
        <v>42299</v>
      </c>
      <c r="HA12" s="5">
        <v>42300</v>
      </c>
      <c r="HB12" s="5">
        <v>42303</v>
      </c>
      <c r="HC12" s="5">
        <v>42304</v>
      </c>
      <c r="HD12" s="5">
        <v>42305</v>
      </c>
      <c r="HE12" s="5">
        <v>42306</v>
      </c>
      <c r="HF12" s="5">
        <v>42307</v>
      </c>
      <c r="HG12" s="5">
        <v>42310</v>
      </c>
      <c r="HH12" s="5">
        <v>42311</v>
      </c>
      <c r="HI12" s="5">
        <v>42312</v>
      </c>
      <c r="HJ12" s="5">
        <v>42313</v>
      </c>
      <c r="HK12" s="5">
        <v>42314</v>
      </c>
      <c r="HL12" s="5">
        <v>42317</v>
      </c>
      <c r="HM12" s="5">
        <v>42318</v>
      </c>
      <c r="HN12" s="5">
        <v>42319</v>
      </c>
      <c r="HO12" s="5">
        <v>42320</v>
      </c>
      <c r="HP12" s="5">
        <v>42321</v>
      </c>
      <c r="HQ12" s="5">
        <v>42324</v>
      </c>
      <c r="HR12" s="5">
        <v>42325</v>
      </c>
      <c r="HS12" s="5">
        <v>42326</v>
      </c>
      <c r="HT12" s="5">
        <v>42327</v>
      </c>
      <c r="HU12" s="5">
        <v>42328</v>
      </c>
      <c r="HV12" s="5">
        <v>42331</v>
      </c>
      <c r="HW12" s="5">
        <v>42332</v>
      </c>
      <c r="HX12" s="5">
        <v>42333</v>
      </c>
      <c r="HY12" s="5">
        <v>42334</v>
      </c>
      <c r="HZ12" s="5">
        <v>42335</v>
      </c>
      <c r="IA12" s="5">
        <v>42338</v>
      </c>
      <c r="IB12" s="5">
        <v>42339</v>
      </c>
      <c r="IC12" s="5">
        <v>42340</v>
      </c>
      <c r="ID12" s="5">
        <v>42341</v>
      </c>
      <c r="IE12" s="5">
        <v>42342</v>
      </c>
      <c r="IF12" s="5">
        <v>42345</v>
      </c>
      <c r="IG12" s="5">
        <v>42346</v>
      </c>
      <c r="IH12" s="5">
        <v>42347</v>
      </c>
      <c r="II12" s="5">
        <v>42348</v>
      </c>
      <c r="IJ12" s="5">
        <v>42349</v>
      </c>
      <c r="IK12" s="5">
        <v>42352</v>
      </c>
      <c r="IL12" s="5">
        <v>42353</v>
      </c>
      <c r="IM12" s="5">
        <v>42354</v>
      </c>
      <c r="IN12" s="5">
        <v>42355</v>
      </c>
      <c r="IO12" s="5">
        <v>42356</v>
      </c>
      <c r="IP12" s="5">
        <v>42359</v>
      </c>
      <c r="IQ12" s="5">
        <v>42360</v>
      </c>
      <c r="IR12" s="5">
        <v>42361</v>
      </c>
      <c r="IS12" s="5">
        <v>42362</v>
      </c>
      <c r="IT12" s="5">
        <v>42366</v>
      </c>
      <c r="IU12" s="5">
        <v>42367</v>
      </c>
      <c r="IV12" s="5">
        <v>42368</v>
      </c>
      <c r="IW12" s="5">
        <v>42369</v>
      </c>
    </row>
    <row r="13" spans="1:257">
      <c r="A13" s="6" t="s">
        <v>35</v>
      </c>
      <c r="B13" s="7">
        <f>ROUND(-0.02,10)</f>
        <v>-0.02</v>
      </c>
      <c r="C13" s="7">
        <f>ROUND(-0.024,10)</f>
        <v>-2.4E-2</v>
      </c>
      <c r="D13" s="7">
        <f>ROUND(-0.028,10)</f>
        <v>-2.8000000000000001E-2</v>
      </c>
      <c r="E13" s="7">
        <f>ROUND(-0.033,10)</f>
        <v>-3.3000000000000002E-2</v>
      </c>
      <c r="F13" s="7">
        <f>ROUND(-0.036,10)</f>
        <v>-3.5999999999999997E-2</v>
      </c>
      <c r="G13" s="7">
        <f>ROUND(-0.039,10)</f>
        <v>-3.9E-2</v>
      </c>
      <c r="H13" s="7">
        <f>ROUND(-0.042,10)</f>
        <v>-4.2000000000000003E-2</v>
      </c>
      <c r="I13" s="7">
        <f>ROUND(-0.042,10)</f>
        <v>-4.2000000000000003E-2</v>
      </c>
      <c r="J13" s="7">
        <f>ROUND(-0.047,10)</f>
        <v>-4.7E-2</v>
      </c>
      <c r="K13" s="7">
        <f>ROUND(-0.049,10)</f>
        <v>-4.9000000000000002E-2</v>
      </c>
      <c r="L13" s="7">
        <f>ROUND(-0.051,10)</f>
        <v>-5.0999999999999997E-2</v>
      </c>
      <c r="M13" s="7">
        <f>ROUND(-0.056,10)</f>
        <v>-5.6000000000000001E-2</v>
      </c>
      <c r="N13" s="7">
        <f>ROUND(-0.059,10)</f>
        <v>-5.8999999999999997E-2</v>
      </c>
      <c r="O13" s="7">
        <f>ROUND(-0.057,10)</f>
        <v>-5.7000000000000002E-2</v>
      </c>
      <c r="P13" s="7">
        <f>ROUND(-0.035,10)</f>
        <v>-3.5000000000000003E-2</v>
      </c>
      <c r="Q13" s="7">
        <f>ROUND(-0.023,10)</f>
        <v>-2.3E-2</v>
      </c>
      <c r="R13" s="7">
        <f>ROUND(-0.018,10)</f>
        <v>-1.7999999999999999E-2</v>
      </c>
      <c r="S13" s="7">
        <f>ROUND(-0.014,10)</f>
        <v>-1.4E-2</v>
      </c>
      <c r="T13" s="7">
        <f>ROUND(-0.014,10)</f>
        <v>-1.4E-2</v>
      </c>
      <c r="U13" s="7">
        <f>ROUND(-0.025,10)</f>
        <v>-2.5000000000000001E-2</v>
      </c>
      <c r="V13" s="7">
        <f>ROUND(-0.024,10)</f>
        <v>-2.4E-2</v>
      </c>
      <c r="W13" s="7">
        <f>ROUND(-0.022,10)</f>
        <v>-2.1999999999999999E-2</v>
      </c>
      <c r="X13" s="7">
        <f>ROUND(-0.025,10)</f>
        <v>-2.5000000000000001E-2</v>
      </c>
      <c r="Y13" s="7">
        <f>ROUND(-0.03,10)</f>
        <v>-0.03</v>
      </c>
      <c r="Z13" s="7">
        <f>ROUND(-0.032,10)</f>
        <v>-3.2000000000000001E-2</v>
      </c>
      <c r="AA13" s="7">
        <f>ROUND(-0.032,10)</f>
        <v>-3.2000000000000001E-2</v>
      </c>
      <c r="AB13" s="7">
        <f>ROUND(-0.031,10)</f>
        <v>-3.1E-2</v>
      </c>
      <c r="AC13" s="7">
        <f>ROUND(-0.031,10)</f>
        <v>-3.1E-2</v>
      </c>
      <c r="AD13" s="7">
        <f>ROUND(-0.033,10)</f>
        <v>-3.3000000000000002E-2</v>
      </c>
      <c r="AE13" s="7">
        <f>ROUND(-0.034,10)</f>
        <v>-3.4000000000000002E-2</v>
      </c>
      <c r="AF13" s="7">
        <f>ROUND(-0.034,10)</f>
        <v>-3.4000000000000002E-2</v>
      </c>
      <c r="AG13" s="7">
        <f>ROUND(-0.033,10)</f>
        <v>-3.3000000000000002E-2</v>
      </c>
      <c r="AH13" s="7">
        <f>ROUND(-0.032,10)</f>
        <v>-3.2000000000000001E-2</v>
      </c>
      <c r="AI13" s="7">
        <f>ROUND(-0.032,10)</f>
        <v>-3.2000000000000001E-2</v>
      </c>
      <c r="AJ13" s="7">
        <f>ROUND(-0.017,10)</f>
        <v>-1.7000000000000001E-2</v>
      </c>
      <c r="AK13" s="7">
        <f>ROUND(-0.013,10)</f>
        <v>-1.2999999999999999E-2</v>
      </c>
      <c r="AL13" s="7">
        <f>ROUND(-0.009,10)</f>
        <v>-8.9999999999999993E-3</v>
      </c>
      <c r="AM13" s="7">
        <f>ROUND(-0.004,10)</f>
        <v>-4.0000000000000001E-3</v>
      </c>
      <c r="AN13" s="7">
        <f>ROUND(-0.006,10)</f>
        <v>-6.0000000000000001E-3</v>
      </c>
      <c r="AO13" s="7">
        <f>ROUND(-0.021,10)</f>
        <v>-2.1000000000000001E-2</v>
      </c>
      <c r="AP13" s="7">
        <f>ROUND(-0.029,10)</f>
        <v>-2.9000000000000001E-2</v>
      </c>
      <c r="AQ13" s="7">
        <f>ROUND(-0.031,10)</f>
        <v>-3.1E-2</v>
      </c>
      <c r="AR13" s="7">
        <f>ROUND(-0.035,10)</f>
        <v>-3.5000000000000003E-2</v>
      </c>
      <c r="AS13" s="7">
        <f>ROUND(-0.038,10)</f>
        <v>-3.7999999999999999E-2</v>
      </c>
      <c r="AT13" s="7">
        <f>ROUND(-0.042,10)</f>
        <v>-4.2000000000000003E-2</v>
      </c>
      <c r="AU13" s="7">
        <f>ROUND(-0.042,10)</f>
        <v>-4.2000000000000003E-2</v>
      </c>
      <c r="AV13" s="7">
        <f>ROUND(-0.042,10)</f>
        <v>-4.2000000000000003E-2</v>
      </c>
      <c r="AW13" s="7">
        <f>ROUND(-0.044,10)</f>
        <v>-4.3999999999999997E-2</v>
      </c>
      <c r="AX13" s="7">
        <f>ROUND(-0.044,10)</f>
        <v>-4.3999999999999997E-2</v>
      </c>
      <c r="AY13" s="7">
        <f>ROUND(-0.047,10)</f>
        <v>-4.7E-2</v>
      </c>
      <c r="AZ13" s="7">
        <f>ROUND(-0.049,10)</f>
        <v>-4.9000000000000002E-2</v>
      </c>
      <c r="BA13" s="7">
        <f>ROUND(-0.05,10)</f>
        <v>-0.05</v>
      </c>
      <c r="BB13" s="7">
        <f>ROUND(-0.051,10)</f>
        <v>-5.0999999999999997E-2</v>
      </c>
      <c r="BC13" s="7">
        <f>ROUND(-0.05,10)</f>
        <v>-0.05</v>
      </c>
      <c r="BD13" s="7">
        <f>ROUND(-0.052,10)</f>
        <v>-5.1999999999999998E-2</v>
      </c>
      <c r="BE13" s="7">
        <f>ROUND(-0.055,10)</f>
        <v>-5.5E-2</v>
      </c>
      <c r="BF13" s="7">
        <f>ROUND(-0.039,10)</f>
        <v>-3.9E-2</v>
      </c>
      <c r="BG13" s="7">
        <f>ROUND(-0.035,10)</f>
        <v>-3.5000000000000003E-2</v>
      </c>
      <c r="BH13" s="7">
        <f>ROUND(-0.037,10)</f>
        <v>-3.6999999999999998E-2</v>
      </c>
      <c r="BI13" s="7">
        <f>ROUND(-0.039,10)</f>
        <v>-3.9E-2</v>
      </c>
      <c r="BJ13" s="7">
        <f>ROUND(-0.036,10)</f>
        <v>-3.5999999999999997E-2</v>
      </c>
      <c r="BK13" s="7">
        <f>ROUND(-0.048,10)</f>
        <v>-4.8000000000000001E-2</v>
      </c>
      <c r="BL13" s="7">
        <f>ROUND(-0.051,10)</f>
        <v>-5.0999999999999997E-2</v>
      </c>
      <c r="BM13" s="7">
        <f>ROUND(-0.054,10)</f>
        <v>-5.3999999999999999E-2</v>
      </c>
      <c r="BN13" s="7">
        <f>ROUND(-0.062,10)</f>
        <v>-6.2E-2</v>
      </c>
      <c r="BO13" s="7">
        <f>ROUND(-0.064,10)</f>
        <v>-6.4000000000000001E-2</v>
      </c>
      <c r="BP13" s="7">
        <f>ROUND(-0.064,10)</f>
        <v>-6.4000000000000001E-2</v>
      </c>
      <c r="BQ13" s="7">
        <f>ROUND(-0.069,10)</f>
        <v>-6.9000000000000006E-2</v>
      </c>
      <c r="BR13" s="7">
        <f>ROUND(-0.072,10)</f>
        <v>-7.1999999999999995E-2</v>
      </c>
      <c r="BS13" s="7">
        <f>ROUND(-0.075,10)</f>
        <v>-7.4999999999999997E-2</v>
      </c>
      <c r="BT13" s="7">
        <f>ROUND(-0.081,10)</f>
        <v>-8.1000000000000003E-2</v>
      </c>
      <c r="BU13" s="7">
        <f>ROUND(-0.088,10)</f>
        <v>-8.7999999999999995E-2</v>
      </c>
      <c r="BV13" s="7">
        <f>ROUND(-0.092,10)</f>
        <v>-9.1999999999999998E-2</v>
      </c>
      <c r="BW13" s="7">
        <f>ROUND(-0.093,10)</f>
        <v>-9.2999999999999999E-2</v>
      </c>
      <c r="BX13" s="7">
        <f>ROUND(-0.091,10)</f>
        <v>-9.0999999999999998E-2</v>
      </c>
      <c r="BY13" s="7">
        <f>ROUND(-0.091,10)</f>
        <v>-9.0999999999999998E-2</v>
      </c>
      <c r="BZ13" s="7">
        <f>ROUND(-0.085,10)</f>
        <v>-8.5000000000000006E-2</v>
      </c>
      <c r="CA13" s="7">
        <f>ROUND(-0.082,10)</f>
        <v>-8.2000000000000003E-2</v>
      </c>
      <c r="CB13" s="7">
        <f>ROUND(-0.082,10)</f>
        <v>-8.2000000000000003E-2</v>
      </c>
      <c r="CC13" s="7">
        <f>ROUND(-0.082,10)</f>
        <v>-8.2000000000000003E-2</v>
      </c>
      <c r="CD13" s="7">
        <f>ROUND(-0.08,10)</f>
        <v>-0.08</v>
      </c>
      <c r="CE13" s="7">
        <f>ROUND(-0.089,10)</f>
        <v>-8.8999999999999996E-2</v>
      </c>
      <c r="CF13" s="7">
        <f>ROUND(-0.093,10)</f>
        <v>-9.2999999999999999E-2</v>
      </c>
      <c r="CG13" s="7">
        <f>ROUND(-0.095,10)</f>
        <v>-9.5000000000000001E-2</v>
      </c>
      <c r="CH13" s="7">
        <f>ROUND(-0.098,10)</f>
        <v>-9.8000000000000004E-2</v>
      </c>
      <c r="CI13" s="7">
        <f>ROUND(-0.102,10)</f>
        <v>-0.10199999999999999</v>
      </c>
      <c r="CJ13" s="7">
        <f>ROUND(-0.105,10)</f>
        <v>-0.105</v>
      </c>
      <c r="CK13" s="7">
        <f>ROUND(-0.107,10)</f>
        <v>-0.107</v>
      </c>
      <c r="CL13" s="7">
        <f>ROUND(-0.108,10)</f>
        <v>-0.108</v>
      </c>
      <c r="CM13" s="7">
        <f>ROUND(-0.109,10)</f>
        <v>-0.109</v>
      </c>
      <c r="CN13" s="7">
        <f>ROUND(-0.111,10)</f>
        <v>-0.111</v>
      </c>
      <c r="CO13" s="7">
        <f>ROUND(-0.115,10)</f>
        <v>-0.115</v>
      </c>
      <c r="CP13" s="7">
        <f>ROUND(-0.12,10)</f>
        <v>-0.12</v>
      </c>
      <c r="CQ13" s="7">
        <f>ROUND(-0.122,10)</f>
        <v>-0.122</v>
      </c>
      <c r="CR13" s="7">
        <f>ROUND(-0.119,10)</f>
        <v>-0.11899999999999999</v>
      </c>
      <c r="CS13" s="7">
        <f>ROUND(-0.119,10)</f>
        <v>-0.11899999999999999</v>
      </c>
      <c r="CT13" s="7">
        <f>ROUND(-0.109,10)</f>
        <v>-0.109</v>
      </c>
      <c r="CU13" s="7">
        <f>ROUND(-0.108,10)</f>
        <v>-0.108</v>
      </c>
      <c r="CV13" s="7">
        <f>ROUND(-0.11,10)</f>
        <v>-0.11</v>
      </c>
      <c r="CW13" s="7">
        <f>ROUND(-0.111,10)</f>
        <v>-0.111</v>
      </c>
      <c r="CX13" s="7">
        <f>ROUND(-0.109,10)</f>
        <v>-0.109</v>
      </c>
      <c r="CY13" s="7">
        <f>ROUND(-0.12,10)</f>
        <v>-0.12</v>
      </c>
      <c r="CZ13" s="7">
        <f>ROUND(-0.122,10)</f>
        <v>-0.122</v>
      </c>
      <c r="DA13" s="7">
        <f>ROUND(-0.122,10)</f>
        <v>-0.122</v>
      </c>
      <c r="DB13" s="7">
        <f>ROUND(-0.124,10)</f>
        <v>-0.124</v>
      </c>
      <c r="DC13" s="7">
        <f>ROUND(-0.124,10)</f>
        <v>-0.124</v>
      </c>
      <c r="DD13" s="7">
        <f>ROUND(-0.124,10)</f>
        <v>-0.124</v>
      </c>
      <c r="DE13" s="7">
        <f>ROUND(-0.124,10)</f>
        <v>-0.124</v>
      </c>
      <c r="DF13" s="7">
        <f>ROUND(-0.126,10)</f>
        <v>-0.126</v>
      </c>
      <c r="DG13" s="7">
        <f>ROUND(-0.123,10)</f>
        <v>-0.123</v>
      </c>
      <c r="DH13" s="7">
        <f>ROUND(-0.125,10)</f>
        <v>-0.125</v>
      </c>
      <c r="DI13" s="7">
        <f>ROUND(-0.128,10)</f>
        <v>-0.128</v>
      </c>
      <c r="DJ13" s="7">
        <f>ROUND(-0.129,10)</f>
        <v>-0.129</v>
      </c>
      <c r="DK13" s="7">
        <f>ROUND(-0.129,10)</f>
        <v>-0.129</v>
      </c>
      <c r="DL13" s="7">
        <f>ROUND(-0.13,10)</f>
        <v>-0.13</v>
      </c>
      <c r="DM13" s="7">
        <f>ROUND(-0.131,10)</f>
        <v>-0.13100000000000001</v>
      </c>
      <c r="DN13" s="7">
        <f>ROUND(-0.131,10)</f>
        <v>-0.13100000000000001</v>
      </c>
      <c r="DO13" s="7">
        <f>ROUND(-0.131,10)</f>
        <v>-0.13100000000000001</v>
      </c>
      <c r="DP13" s="7">
        <f>ROUND(-0.119,10)</f>
        <v>-0.11899999999999999</v>
      </c>
      <c r="DQ13" s="7">
        <f>ROUND(-0.119,10)</f>
        <v>-0.11899999999999999</v>
      </c>
      <c r="DR13" s="7">
        <f>ROUND(-0.12,10)</f>
        <v>-0.12</v>
      </c>
      <c r="DS13" s="7">
        <f>ROUND(-0.119,10)</f>
        <v>-0.11899999999999999</v>
      </c>
      <c r="DT13" s="7">
        <f>ROUND(-0.118,10)</f>
        <v>-0.11799999999999999</v>
      </c>
      <c r="DU13" s="7">
        <f>ROUND(-0.12,10)</f>
        <v>-0.12</v>
      </c>
      <c r="DV13" s="7">
        <f>ROUND(-0.12,10)</f>
        <v>-0.12</v>
      </c>
      <c r="DW13" s="7">
        <f>ROUND(-0.123,10)</f>
        <v>-0.123</v>
      </c>
      <c r="DX13" s="7">
        <f>ROUND(-0.124,10)</f>
        <v>-0.124</v>
      </c>
      <c r="DY13" s="7">
        <f>ROUND(-0.127,10)</f>
        <v>-0.127</v>
      </c>
      <c r="DZ13" s="7">
        <f>ROUND(-0.129,10)</f>
        <v>-0.129</v>
      </c>
      <c r="EA13" s="7">
        <f>ROUND(-0.129,10)</f>
        <v>-0.129</v>
      </c>
      <c r="EB13" s="7">
        <f>ROUND(-0.131,10)</f>
        <v>-0.13100000000000001</v>
      </c>
      <c r="EC13" s="7">
        <f>ROUND(-0.131,10)</f>
        <v>-0.13100000000000001</v>
      </c>
      <c r="ED13" s="7">
        <f>ROUND(-0.133,10)</f>
        <v>-0.13300000000000001</v>
      </c>
      <c r="EE13" s="7">
        <f>ROUND(-0.131,10)</f>
        <v>-0.13100000000000001</v>
      </c>
      <c r="EF13" s="7">
        <f>ROUND(-0.131,10)</f>
        <v>-0.13100000000000001</v>
      </c>
      <c r="EG13" s="7">
        <f>ROUND(-0.132,10)</f>
        <v>-0.13200000000000001</v>
      </c>
      <c r="EH13" s="7">
        <f>ROUND(-0.132,10)</f>
        <v>-0.13200000000000001</v>
      </c>
      <c r="EI13" s="7">
        <f>ROUND(-0.133,10)</f>
        <v>-0.13300000000000001</v>
      </c>
      <c r="EJ13" s="7">
        <f>ROUND(-0.134,10)</f>
        <v>-0.13400000000000001</v>
      </c>
      <c r="EK13" s="7">
        <f>ROUND(-0.133,10)</f>
        <v>-0.13300000000000001</v>
      </c>
      <c r="EL13" s="7">
        <f>ROUND(-0.133,10)</f>
        <v>-0.13300000000000001</v>
      </c>
      <c r="EM13" s="7">
        <f>ROUND(-0.13,10)</f>
        <v>-0.13</v>
      </c>
      <c r="EN13" s="7">
        <f>ROUND(-0.129,10)</f>
        <v>-0.129</v>
      </c>
      <c r="EO13" s="7">
        <f>ROUND(-0.128,10)</f>
        <v>-0.128</v>
      </c>
      <c r="EP13" s="7">
        <f>ROUND(-0.127,10)</f>
        <v>-0.127</v>
      </c>
      <c r="EQ13" s="7">
        <f>ROUND(-0.129,10)</f>
        <v>-0.129</v>
      </c>
      <c r="ER13" s="7">
        <f>ROUND(-0.131,10)</f>
        <v>-0.13100000000000001</v>
      </c>
      <c r="ES13" s="7">
        <f>ROUND(-0.132,10)</f>
        <v>-0.13200000000000001</v>
      </c>
      <c r="ET13" s="7">
        <f>ROUND(-0.133,10)</f>
        <v>-0.13300000000000001</v>
      </c>
      <c r="EU13" s="7">
        <f>ROUND(-0.133,10)</f>
        <v>-0.13300000000000001</v>
      </c>
      <c r="EV13" s="7">
        <f>ROUND(-0.134,10)</f>
        <v>-0.13400000000000001</v>
      </c>
      <c r="EW13" s="7">
        <f>ROUND(-0.133,10)</f>
        <v>-0.13300000000000001</v>
      </c>
      <c r="EX13" s="7">
        <f>ROUND(-0.135,10)</f>
        <v>-0.13500000000000001</v>
      </c>
      <c r="EY13" s="7">
        <f>ROUND(-0.137,10)</f>
        <v>-0.13700000000000001</v>
      </c>
      <c r="EZ13" s="7">
        <f>ROUND(-0.139,10)</f>
        <v>-0.13900000000000001</v>
      </c>
      <c r="FA13" s="7">
        <f>ROUND(-0.139,10)</f>
        <v>-0.13900000000000001</v>
      </c>
      <c r="FB13" s="7">
        <f>ROUND(-0.14,10)</f>
        <v>-0.14000000000000001</v>
      </c>
      <c r="FC13" s="7">
        <f>ROUND(-0.141,10)</f>
        <v>-0.14099999999999999</v>
      </c>
      <c r="FD13" s="7">
        <f>ROUND(-0.142,10)</f>
        <v>-0.14199999999999999</v>
      </c>
      <c r="FE13" s="7">
        <f>ROUND(-0.143,10)</f>
        <v>-0.14299999999999999</v>
      </c>
      <c r="FF13" s="7">
        <f>ROUND(-0.143,10)</f>
        <v>-0.14299999999999999</v>
      </c>
      <c r="FG13" s="7">
        <f>ROUND(-0.143,10)</f>
        <v>-0.14299999999999999</v>
      </c>
      <c r="FH13" s="7">
        <f>ROUND(-0.142,10)</f>
        <v>-0.14199999999999999</v>
      </c>
      <c r="FI13" s="7">
        <f>ROUND(-0.139,10)</f>
        <v>-0.13900000000000001</v>
      </c>
      <c r="FJ13" s="7">
        <f>ROUND(-0.138,10)</f>
        <v>-0.13800000000000001</v>
      </c>
      <c r="FK13" s="7">
        <f>ROUND(-0.138,10)</f>
        <v>-0.13800000000000001</v>
      </c>
      <c r="FL13" s="7">
        <f>ROUND(-0.141,10)</f>
        <v>-0.14099999999999999</v>
      </c>
      <c r="FM13" s="7">
        <f>ROUND(-0.139,10)</f>
        <v>-0.13900000000000001</v>
      </c>
      <c r="FN13" s="7">
        <f>ROUND(-0.143,10)</f>
        <v>-0.14299999999999999</v>
      </c>
      <c r="FO13" s="7">
        <f>ROUND(-0.143,10)</f>
        <v>-0.14299999999999999</v>
      </c>
      <c r="FP13" s="7">
        <f>ROUND(-0.143,10)</f>
        <v>-0.14299999999999999</v>
      </c>
      <c r="FQ13" s="7">
        <f>ROUND(-0.142,10)</f>
        <v>-0.14199999999999999</v>
      </c>
      <c r="FR13" s="7">
        <f>ROUND(-0.144,10)</f>
        <v>-0.14399999999999999</v>
      </c>
      <c r="FS13" s="7">
        <f>ROUND(-0.146,10)</f>
        <v>-0.14599999999999999</v>
      </c>
      <c r="FT13" s="7">
        <f>ROUND(-0.149,10)</f>
        <v>-0.14899999999999999</v>
      </c>
      <c r="FU13" s="7">
        <f>ROUND(-0.149,10)</f>
        <v>-0.14899999999999999</v>
      </c>
      <c r="FV13" s="7">
        <f>ROUND(-0.149,10)</f>
        <v>-0.14899999999999999</v>
      </c>
      <c r="FW13" s="7">
        <f>ROUND(-0.148,10)</f>
        <v>-0.14799999999999999</v>
      </c>
      <c r="FX13" s="7">
        <f>ROUND(-0.148,10)</f>
        <v>-0.14799999999999999</v>
      </c>
      <c r="FY13" s="7">
        <f>ROUND(-0.148,10)</f>
        <v>-0.14799999999999999</v>
      </c>
      <c r="FZ13" s="7">
        <f>ROUND(-0.148,10)</f>
        <v>-0.14799999999999999</v>
      </c>
      <c r="GA13" s="7">
        <f>ROUND(-0.149,10)</f>
        <v>-0.14899999999999999</v>
      </c>
      <c r="GB13" s="7">
        <f>ROUND(-0.148,10)</f>
        <v>-0.14799999999999999</v>
      </c>
      <c r="GC13" s="7">
        <f>ROUND(-0.148,10)</f>
        <v>-0.14799999999999999</v>
      </c>
      <c r="GD13" s="7">
        <f>ROUND(-0.144,10)</f>
        <v>-0.14399999999999999</v>
      </c>
      <c r="GE13" s="7">
        <f>ROUND(-0.141,10)</f>
        <v>-0.14099999999999999</v>
      </c>
      <c r="GF13" s="7">
        <f>ROUND(-0.141,10)</f>
        <v>-0.14099999999999999</v>
      </c>
      <c r="GG13" s="7">
        <f>ROUND(-0.141,10)</f>
        <v>-0.14099999999999999</v>
      </c>
      <c r="GH13" s="7">
        <f>ROUND(-0.141,10)</f>
        <v>-0.14099999999999999</v>
      </c>
      <c r="GI13" s="7">
        <f>ROUND(-0.144,10)</f>
        <v>-0.14399999999999999</v>
      </c>
      <c r="GJ13" s="7">
        <f>ROUND(-0.145,10)</f>
        <v>-0.14499999999999999</v>
      </c>
      <c r="GK13" s="7">
        <f>ROUND(-0.146,10)</f>
        <v>-0.14599999999999999</v>
      </c>
      <c r="GL13" s="7">
        <f>ROUND(-0.147,10)</f>
        <v>-0.14699999999999999</v>
      </c>
      <c r="GM13" s="7">
        <f>ROUND(-0.149,10)</f>
        <v>-0.14899999999999999</v>
      </c>
      <c r="GN13" s="7">
        <f>ROUND(-0.149,10)</f>
        <v>-0.14899999999999999</v>
      </c>
      <c r="GO13" s="7">
        <f>ROUND(-0.15,10)</f>
        <v>-0.15</v>
      </c>
      <c r="GP13" s="7">
        <f>ROUND(-0.15,10)</f>
        <v>-0.15</v>
      </c>
      <c r="GQ13" s="7">
        <f>ROUND(-0.149,10)</f>
        <v>-0.14899999999999999</v>
      </c>
      <c r="GR13" s="7">
        <f>ROUND(-0.149,10)</f>
        <v>-0.14899999999999999</v>
      </c>
      <c r="GS13" s="7">
        <f>ROUND(-0.149,10)</f>
        <v>-0.14899999999999999</v>
      </c>
      <c r="GT13" s="7">
        <f>ROUND(-0.148,10)</f>
        <v>-0.14799999999999999</v>
      </c>
      <c r="GU13" s="7">
        <f>ROUND(-0.149,10)</f>
        <v>-0.14899999999999999</v>
      </c>
      <c r="GV13" s="7">
        <f>ROUND(-0.149,10)</f>
        <v>-0.14899999999999999</v>
      </c>
      <c r="GW13" s="7">
        <f>ROUND(-0.149,10)</f>
        <v>-0.14899999999999999</v>
      </c>
      <c r="GX13" s="7">
        <f>ROUND(-0.148,10)</f>
        <v>-0.14799999999999999</v>
      </c>
      <c r="GY13" s="7">
        <f>ROUND(-0.149,10)</f>
        <v>-0.14899999999999999</v>
      </c>
      <c r="GZ13" s="7">
        <f>ROUND(-0.148,10)</f>
        <v>-0.14799999999999999</v>
      </c>
      <c r="HA13" s="7">
        <f>ROUND(-0.147,10)</f>
        <v>-0.14699999999999999</v>
      </c>
      <c r="HB13" s="7">
        <f>ROUND(-0.147,10)</f>
        <v>-0.14699999999999999</v>
      </c>
      <c r="HC13" s="7">
        <f>ROUND(-0.147,10)</f>
        <v>-0.14699999999999999</v>
      </c>
      <c r="HD13" s="7">
        <f>ROUND(-0.146,10)</f>
        <v>-0.14599999999999999</v>
      </c>
      <c r="HE13" s="7">
        <f t="shared" ref="HE13:HG14" si="0">ROUND(-0.148,10)</f>
        <v>-0.14799999999999999</v>
      </c>
      <c r="HF13" s="7">
        <f t="shared" si="0"/>
        <v>-0.14799999999999999</v>
      </c>
      <c r="HG13" s="7">
        <f t="shared" si="0"/>
        <v>-0.14799999999999999</v>
      </c>
      <c r="HH13" s="7">
        <f>ROUND(-0.15,10)</f>
        <v>-0.15</v>
      </c>
      <c r="HI13" s="7">
        <f>ROUND(-0.149,10)</f>
        <v>-0.14899999999999999</v>
      </c>
      <c r="HJ13" s="7">
        <f>ROUND(-0.151,10)</f>
        <v>-0.151</v>
      </c>
      <c r="HK13" s="7">
        <f>ROUND(-0.152,10)</f>
        <v>-0.152</v>
      </c>
      <c r="HL13" s="7">
        <f>ROUND(-0.151,10)</f>
        <v>-0.151</v>
      </c>
      <c r="HM13" s="7">
        <f>ROUND(-0.153,10)</f>
        <v>-0.153</v>
      </c>
      <c r="HN13" s="7">
        <f>ROUND(-0.154,10)</f>
        <v>-0.154</v>
      </c>
      <c r="HO13" s="7">
        <f>ROUND(-0.153,10)</f>
        <v>-0.153</v>
      </c>
      <c r="HP13" s="7">
        <f>ROUND(-0.155,10)</f>
        <v>-0.155</v>
      </c>
      <c r="HQ13" s="7">
        <f>ROUND(-0.154,10)</f>
        <v>-0.154</v>
      </c>
      <c r="HR13" s="7">
        <f>ROUND(-0.154,10)</f>
        <v>-0.154</v>
      </c>
      <c r="HS13" s="7">
        <f>ROUND(-0.157,10)</f>
        <v>-0.157</v>
      </c>
      <c r="HT13" s="7">
        <f>ROUND(-0.158,10)</f>
        <v>-0.158</v>
      </c>
      <c r="HU13" s="7">
        <f>ROUND(-0.158,10)</f>
        <v>-0.158</v>
      </c>
      <c r="HV13" s="7">
        <f>ROUND(-0.159,10)</f>
        <v>-0.159</v>
      </c>
      <c r="HW13" s="7">
        <f>ROUND(-0.162,10)</f>
        <v>-0.16200000000000001</v>
      </c>
      <c r="HX13" s="7">
        <f>ROUND(-0.161,10)</f>
        <v>-0.161</v>
      </c>
      <c r="HY13" s="7">
        <f>ROUND(-0.162,10)</f>
        <v>-0.16200000000000001</v>
      </c>
      <c r="HZ13" s="7">
        <f>ROUND(-0.166,10)</f>
        <v>-0.16600000000000001</v>
      </c>
      <c r="IA13" s="7">
        <f>ROUND(-0.166,10)</f>
        <v>-0.16600000000000001</v>
      </c>
      <c r="IB13" s="7">
        <f>ROUND(-0.171,10)</f>
        <v>-0.17100000000000001</v>
      </c>
      <c r="IC13" s="7">
        <f>ROUND(-0.177,10)</f>
        <v>-0.17699999999999999</v>
      </c>
      <c r="ID13" s="7">
        <f>ROUND(-0.187,10)</f>
        <v>-0.187</v>
      </c>
      <c r="IE13" s="7">
        <f>ROUND(-0.195,10)</f>
        <v>-0.19500000000000001</v>
      </c>
      <c r="IF13" s="7">
        <f>ROUND(-0.206,10)</f>
        <v>-0.20599999999999999</v>
      </c>
      <c r="IG13" s="7">
        <f>ROUND(-0.213,10)</f>
        <v>-0.21299999999999999</v>
      </c>
      <c r="IH13" s="7">
        <f>ROUND(-0.222,10)</f>
        <v>-0.222</v>
      </c>
      <c r="II13" s="7">
        <f>ROUND(-0.233,10)</f>
        <v>-0.23300000000000001</v>
      </c>
      <c r="IJ13" s="7">
        <f>ROUND(-0.239,10)</f>
        <v>-0.23899999999999999</v>
      </c>
      <c r="IK13" s="7">
        <f>ROUND(-0.241,10)</f>
        <v>-0.24099999999999999</v>
      </c>
      <c r="IL13" s="7">
        <f>ROUND(-0.244,10)</f>
        <v>-0.24399999999999999</v>
      </c>
      <c r="IM13" s="7">
        <f>ROUND(-0.248,10)</f>
        <v>-0.248</v>
      </c>
      <c r="IN13" s="7">
        <f>ROUND(-0.249,10)</f>
        <v>-0.249</v>
      </c>
      <c r="IO13" s="7">
        <f>ROUND(-0.252,10)</f>
        <v>-0.252</v>
      </c>
      <c r="IP13" s="7">
        <f>ROUND(-0.252,10)</f>
        <v>-0.252</v>
      </c>
      <c r="IQ13" s="7">
        <f>ROUND(-0.252,10)</f>
        <v>-0.252</v>
      </c>
      <c r="IR13" s="7">
        <f>ROUND(-0.232,10)</f>
        <v>-0.23200000000000001</v>
      </c>
      <c r="IS13" s="7">
        <f>ROUND(-0.228,10)</f>
        <v>-0.22800000000000001</v>
      </c>
      <c r="IT13" s="7">
        <f>ROUND(-0.23,10)</f>
        <v>-0.23</v>
      </c>
      <c r="IU13" s="7">
        <f>ROUND(-0.232,10)</f>
        <v>-0.23200000000000001</v>
      </c>
      <c r="IV13" s="7">
        <f>ROUND(-0.246,10)</f>
        <v>-0.246</v>
      </c>
      <c r="IW13" s="7">
        <f>ROUND(-0.249,10)</f>
        <v>-0.249</v>
      </c>
    </row>
    <row r="14" spans="1:257">
      <c r="A14" s="6" t="s">
        <v>36</v>
      </c>
      <c r="B14" s="7">
        <f>ROUND(-0.011,10)</f>
        <v>-1.0999999999999999E-2</v>
      </c>
      <c r="C14" s="7">
        <f>ROUND(-0.014,10)</f>
        <v>-1.4E-2</v>
      </c>
      <c r="D14" s="7">
        <f>ROUND(-0.018,10)</f>
        <v>-1.7999999999999999E-2</v>
      </c>
      <c r="E14" s="7">
        <f>ROUND(-0.024,10)</f>
        <v>-2.4E-2</v>
      </c>
      <c r="F14" s="7">
        <f>ROUND(-0.028,10)</f>
        <v>-2.8000000000000001E-2</v>
      </c>
      <c r="G14" s="7">
        <f>ROUND(-0.029,10)</f>
        <v>-2.9000000000000001E-2</v>
      </c>
      <c r="H14" s="7">
        <f>ROUND(-0.032,10)</f>
        <v>-3.2000000000000001E-2</v>
      </c>
      <c r="I14" s="7">
        <f>ROUND(-0.033,10)</f>
        <v>-3.3000000000000002E-2</v>
      </c>
      <c r="J14" s="7">
        <f>ROUND(-0.037,10)</f>
        <v>-3.6999999999999998E-2</v>
      </c>
      <c r="K14" s="7">
        <f>ROUND(-0.032,10)</f>
        <v>-3.2000000000000001E-2</v>
      </c>
      <c r="L14" s="7">
        <f>ROUND(-0.033,10)</f>
        <v>-3.3000000000000002E-2</v>
      </c>
      <c r="M14" s="7">
        <f>ROUND(-0.038,10)</f>
        <v>-3.7999999999999999E-2</v>
      </c>
      <c r="N14" s="7">
        <f>ROUND(-0.039,10)</f>
        <v>-3.9E-2</v>
      </c>
      <c r="O14" s="7">
        <f>ROUND(-0.036,10)</f>
        <v>-3.5999999999999997E-2</v>
      </c>
      <c r="P14" s="7">
        <f>ROUND(-0.025,10)</f>
        <v>-2.5000000000000001E-2</v>
      </c>
      <c r="Q14" s="7">
        <f>ROUND(-0.016,10)</f>
        <v>-1.6E-2</v>
      </c>
      <c r="R14" s="7">
        <f>ROUND(-0.012,10)</f>
        <v>-1.2E-2</v>
      </c>
      <c r="S14" s="7">
        <f>ROUND(-0.01,10)</f>
        <v>-0.01</v>
      </c>
      <c r="T14" s="7">
        <f>ROUND(-0.011,10)</f>
        <v>-1.0999999999999999E-2</v>
      </c>
      <c r="U14" s="7">
        <f>ROUND(-0.018,10)</f>
        <v>-1.7999999999999999E-2</v>
      </c>
      <c r="V14" s="7">
        <f>ROUND(-0.016,10)</f>
        <v>-1.6E-2</v>
      </c>
      <c r="W14" s="7">
        <f>ROUND(-0.017,10)</f>
        <v>-1.7000000000000001E-2</v>
      </c>
      <c r="X14" s="7">
        <f>ROUND(-0.021,10)</f>
        <v>-2.1000000000000001E-2</v>
      </c>
      <c r="Y14" s="7">
        <f>ROUND(-0.024,10)</f>
        <v>-2.4E-2</v>
      </c>
      <c r="Z14" s="7">
        <f>ROUND(-0.025,10)</f>
        <v>-2.5000000000000001E-2</v>
      </c>
      <c r="AA14" s="7">
        <f>ROUND(-0.024,10)</f>
        <v>-2.4E-2</v>
      </c>
      <c r="AB14" s="7">
        <f>ROUND(-0.024,10)</f>
        <v>-2.4E-2</v>
      </c>
      <c r="AC14" s="7">
        <f>ROUND(-0.024,10)</f>
        <v>-2.4E-2</v>
      </c>
      <c r="AD14" s="7">
        <f>ROUND(-0.025,10)</f>
        <v>-2.5000000000000001E-2</v>
      </c>
      <c r="AE14" s="7">
        <f>ROUND(-0.02,10)</f>
        <v>-0.02</v>
      </c>
      <c r="AF14" s="7">
        <f>ROUND(-0.019,10)</f>
        <v>-1.9E-2</v>
      </c>
      <c r="AG14" s="7">
        <f>ROUND(-0.02,10)</f>
        <v>-0.02</v>
      </c>
      <c r="AH14" s="7">
        <f>ROUND(-0.019,10)</f>
        <v>-1.9E-2</v>
      </c>
      <c r="AI14" s="7">
        <f>ROUND(-0.02,10)</f>
        <v>-0.02</v>
      </c>
      <c r="AJ14" s="7">
        <f>ROUND(-0.016,10)</f>
        <v>-1.6E-2</v>
      </c>
      <c r="AK14" s="7">
        <f>ROUND(-0.014,10)</f>
        <v>-1.4E-2</v>
      </c>
      <c r="AL14" s="7">
        <f>ROUND(-0.011,10)</f>
        <v>-1.0999999999999999E-2</v>
      </c>
      <c r="AM14" s="7">
        <f>ROUND(-0.009,10)</f>
        <v>-8.9999999999999993E-3</v>
      </c>
      <c r="AN14" s="7">
        <f>ROUND(-0.009,10)</f>
        <v>-8.9999999999999993E-3</v>
      </c>
      <c r="AO14" s="7">
        <f>ROUND(-0.019,10)</f>
        <v>-1.9E-2</v>
      </c>
      <c r="AP14" s="7">
        <f>ROUND(-0.026,10)</f>
        <v>-2.5999999999999999E-2</v>
      </c>
      <c r="AQ14" s="7">
        <f>ROUND(-0.028,10)</f>
        <v>-2.8000000000000001E-2</v>
      </c>
      <c r="AR14" s="7">
        <f>ROUND(-0.029,10)</f>
        <v>-2.9000000000000001E-2</v>
      </c>
      <c r="AS14" s="7">
        <f>ROUND(-0.029,10)</f>
        <v>-2.9000000000000001E-2</v>
      </c>
      <c r="AT14" s="7">
        <f>ROUND(-0.032,10)</f>
        <v>-3.2000000000000001E-2</v>
      </c>
      <c r="AU14" s="7">
        <f>ROUND(-0.032,10)</f>
        <v>-3.2000000000000001E-2</v>
      </c>
      <c r="AV14" s="7">
        <f>ROUND(-0.033,10)</f>
        <v>-3.3000000000000002E-2</v>
      </c>
      <c r="AW14" s="7">
        <f>ROUND(-0.035,10)</f>
        <v>-3.5000000000000003E-2</v>
      </c>
      <c r="AX14" s="7">
        <f>ROUND(-0.038,10)</f>
        <v>-3.7999999999999999E-2</v>
      </c>
      <c r="AY14" s="7">
        <f>ROUND(-0.041,10)</f>
        <v>-4.1000000000000002E-2</v>
      </c>
      <c r="AZ14" s="7">
        <f>ROUND(-0.046,10)</f>
        <v>-4.5999999999999999E-2</v>
      </c>
      <c r="BA14" s="7">
        <f>ROUND(-0.037,10)</f>
        <v>-3.6999999999999998E-2</v>
      </c>
      <c r="BB14" s="7">
        <f>ROUND(-0.035,10)</f>
        <v>-3.5000000000000003E-2</v>
      </c>
      <c r="BC14" s="7">
        <f>ROUND(-0.034,10)</f>
        <v>-3.4000000000000002E-2</v>
      </c>
      <c r="BD14" s="7">
        <f>ROUND(-0.034,10)</f>
        <v>-3.4000000000000002E-2</v>
      </c>
      <c r="BE14" s="7">
        <f>ROUND(-0.038,10)</f>
        <v>-3.7999999999999999E-2</v>
      </c>
      <c r="BF14" s="7">
        <f>ROUND(-0.035,10)</f>
        <v>-3.5000000000000003E-2</v>
      </c>
      <c r="BG14" s="7">
        <f>ROUND(-0.034,10)</f>
        <v>-3.4000000000000002E-2</v>
      </c>
      <c r="BH14" s="7">
        <f>ROUND(-0.033,10)</f>
        <v>-3.3000000000000002E-2</v>
      </c>
      <c r="BI14" s="7">
        <f>ROUND(-0.034,10)</f>
        <v>-3.4000000000000002E-2</v>
      </c>
      <c r="BJ14" s="7">
        <f>ROUND(-0.035,10)</f>
        <v>-3.5000000000000003E-2</v>
      </c>
      <c r="BK14" s="7">
        <f>ROUND(-0.042,10)</f>
        <v>-4.2000000000000003E-2</v>
      </c>
      <c r="BL14" s="7">
        <f>ROUND(-0.044,10)</f>
        <v>-4.3999999999999997E-2</v>
      </c>
      <c r="BM14" s="7">
        <f>ROUND(-0.047,10)</f>
        <v>-4.7E-2</v>
      </c>
      <c r="BN14" s="7">
        <f>ROUND(-0.051,10)</f>
        <v>-5.0999999999999997E-2</v>
      </c>
      <c r="BO14" s="7">
        <f>ROUND(-0.054,10)</f>
        <v>-5.3999999999999999E-2</v>
      </c>
      <c r="BP14" s="7">
        <f>ROUND(-0.056,10)</f>
        <v>-5.6000000000000001E-2</v>
      </c>
      <c r="BQ14" s="7">
        <f>ROUND(-0.06,10)</f>
        <v>-0.06</v>
      </c>
      <c r="BR14" s="7">
        <f>ROUND(-0.062,10)</f>
        <v>-6.2E-2</v>
      </c>
      <c r="BS14" s="7">
        <f>ROUND(-0.064,10)</f>
        <v>-6.4000000000000001E-2</v>
      </c>
      <c r="BT14" s="7">
        <f>ROUND(-0.07,10)</f>
        <v>-7.0000000000000007E-2</v>
      </c>
      <c r="BU14" s="7">
        <f>ROUND(-0.07,10)</f>
        <v>-7.0000000000000007E-2</v>
      </c>
      <c r="BV14" s="7">
        <f>ROUND(-0.069,10)</f>
        <v>-6.9000000000000006E-2</v>
      </c>
      <c r="BW14" s="7">
        <f>ROUND(-0.069,10)</f>
        <v>-6.9000000000000006E-2</v>
      </c>
      <c r="BX14" s="7">
        <f>ROUND(-0.069,10)</f>
        <v>-6.9000000000000006E-2</v>
      </c>
      <c r="BY14" s="7">
        <f>ROUND(-0.068,10)</f>
        <v>-6.8000000000000005E-2</v>
      </c>
      <c r="BZ14" s="7">
        <f>ROUND(-0.069,10)</f>
        <v>-6.9000000000000006E-2</v>
      </c>
      <c r="CA14" s="7">
        <f>ROUND(-0.071,10)</f>
        <v>-7.0999999999999994E-2</v>
      </c>
      <c r="CB14" s="7">
        <f>ROUND(-0.072,10)</f>
        <v>-7.1999999999999995E-2</v>
      </c>
      <c r="CC14" s="7">
        <f>ROUND(-0.074,10)</f>
        <v>-7.3999999999999996E-2</v>
      </c>
      <c r="CD14" s="7">
        <f>ROUND(-0.072,10)</f>
        <v>-7.1999999999999995E-2</v>
      </c>
      <c r="CE14" s="7">
        <f>ROUND(-0.079,10)</f>
        <v>-7.9000000000000001E-2</v>
      </c>
      <c r="CF14" s="7">
        <f>ROUND(-0.081,10)</f>
        <v>-8.1000000000000003E-2</v>
      </c>
      <c r="CG14" s="7">
        <f>ROUND(-0.083,10)</f>
        <v>-8.3000000000000004E-2</v>
      </c>
      <c r="CH14" s="7">
        <f>ROUND(-0.087,10)</f>
        <v>-8.6999999999999994E-2</v>
      </c>
      <c r="CI14" s="7">
        <f>ROUND(-0.091,10)</f>
        <v>-9.0999999999999998E-2</v>
      </c>
      <c r="CJ14" s="7">
        <f>ROUND(-0.091,10)</f>
        <v>-9.0999999999999998E-2</v>
      </c>
      <c r="CK14" s="7">
        <f>ROUND(-0.091,10)</f>
        <v>-9.0999999999999998E-2</v>
      </c>
      <c r="CL14" s="7">
        <f>ROUND(-0.093,10)</f>
        <v>-9.2999999999999999E-2</v>
      </c>
      <c r="CM14" s="7">
        <f>ROUND(-0.095,10)</f>
        <v>-9.5000000000000001E-2</v>
      </c>
      <c r="CN14" s="7">
        <f>ROUND(-0.097,10)</f>
        <v>-9.7000000000000003E-2</v>
      </c>
      <c r="CO14" s="7">
        <f>ROUND(-0.094,10)</f>
        <v>-9.4E-2</v>
      </c>
      <c r="CP14" s="7">
        <f>ROUND(-0.096,10)</f>
        <v>-9.6000000000000002E-2</v>
      </c>
      <c r="CQ14" s="7">
        <f>ROUND(-0.096,10)</f>
        <v>-9.6000000000000002E-2</v>
      </c>
      <c r="CR14" s="7">
        <f>ROUND(-0.098,10)</f>
        <v>-9.8000000000000004E-2</v>
      </c>
      <c r="CS14" s="7">
        <f>ROUND(-0.098,10)</f>
        <v>-9.8000000000000004E-2</v>
      </c>
      <c r="CT14" s="7">
        <f>ROUND(-0.098,10)</f>
        <v>-9.8000000000000004E-2</v>
      </c>
      <c r="CU14" s="7">
        <f>ROUND(-0.098,10)</f>
        <v>-9.8000000000000004E-2</v>
      </c>
      <c r="CV14" s="7">
        <f>ROUND(-0.1,10)</f>
        <v>-0.1</v>
      </c>
      <c r="CW14" s="7">
        <f>ROUND(-0.1,10)</f>
        <v>-0.1</v>
      </c>
      <c r="CX14" s="7">
        <f>ROUND(-0.101,10)</f>
        <v>-0.10100000000000001</v>
      </c>
      <c r="CY14" s="7">
        <f>ROUND(-0.108,10)</f>
        <v>-0.108</v>
      </c>
      <c r="CZ14" s="7">
        <f>ROUND(-0.109,10)</f>
        <v>-0.109</v>
      </c>
      <c r="DA14" s="7">
        <f>ROUND(-0.108,10)</f>
        <v>-0.108</v>
      </c>
      <c r="DB14" s="7">
        <f>ROUND(-0.109,10)</f>
        <v>-0.109</v>
      </c>
      <c r="DC14" s="7">
        <f>ROUND(-0.109,10)</f>
        <v>-0.109</v>
      </c>
      <c r="DD14" s="7">
        <f>ROUND(-0.109,10)</f>
        <v>-0.109</v>
      </c>
      <c r="DE14" s="7">
        <f>ROUND(-0.109,10)</f>
        <v>-0.109</v>
      </c>
      <c r="DF14" s="7">
        <f>ROUND(-0.11,10)</f>
        <v>-0.11</v>
      </c>
      <c r="DG14" s="7">
        <f>ROUND(-0.11,10)</f>
        <v>-0.11</v>
      </c>
      <c r="DH14" s="7">
        <f>ROUND(-0.111,10)</f>
        <v>-0.111</v>
      </c>
      <c r="DI14" s="7">
        <f>ROUND(-0.111,10)</f>
        <v>-0.111</v>
      </c>
      <c r="DJ14" s="7">
        <f>ROUND(-0.113,10)</f>
        <v>-0.113</v>
      </c>
      <c r="DK14" s="7">
        <f>ROUND(-0.108,10)</f>
        <v>-0.108</v>
      </c>
      <c r="DL14" s="7">
        <f>ROUND(-0.109,10)</f>
        <v>-0.109</v>
      </c>
      <c r="DM14" s="7">
        <f>ROUND(-0.109,10)</f>
        <v>-0.109</v>
      </c>
      <c r="DN14" s="7">
        <f>ROUND(-0.109,10)</f>
        <v>-0.109</v>
      </c>
      <c r="DO14" s="7">
        <f>ROUND(-0.108,10)</f>
        <v>-0.108</v>
      </c>
      <c r="DP14" s="7">
        <f>ROUND(-0.106,10)</f>
        <v>-0.106</v>
      </c>
      <c r="DQ14" s="7">
        <f>ROUND(-0.109,10)</f>
        <v>-0.109</v>
      </c>
      <c r="DR14" s="7">
        <f>ROUND(-0.109,10)</f>
        <v>-0.109</v>
      </c>
      <c r="DS14" s="7">
        <f>ROUND(-0.109,10)</f>
        <v>-0.109</v>
      </c>
      <c r="DT14" s="7">
        <f>ROUND(-0.111,10)</f>
        <v>-0.111</v>
      </c>
      <c r="DU14" s="7">
        <f>ROUND(-0.111,10)</f>
        <v>-0.111</v>
      </c>
      <c r="DV14" s="7">
        <f>ROUND(-0.11,10)</f>
        <v>-0.11</v>
      </c>
      <c r="DW14" s="7">
        <f>ROUND(-0.112,10)</f>
        <v>-0.112</v>
      </c>
      <c r="DX14" s="7">
        <f>ROUND(-0.113,10)</f>
        <v>-0.113</v>
      </c>
      <c r="DY14" s="7">
        <f>ROUND(-0.114,10)</f>
        <v>-0.114</v>
      </c>
      <c r="DZ14" s="7">
        <f>ROUND(-0.116,10)</f>
        <v>-0.11600000000000001</v>
      </c>
      <c r="EA14" s="7">
        <f t="shared" ref="EA14:EG14" si="1">ROUND(-0.118,10)</f>
        <v>-0.11799999999999999</v>
      </c>
      <c r="EB14" s="7">
        <f t="shared" si="1"/>
        <v>-0.11799999999999999</v>
      </c>
      <c r="EC14" s="7">
        <f t="shared" si="1"/>
        <v>-0.11799999999999999</v>
      </c>
      <c r="ED14" s="7">
        <f t="shared" si="1"/>
        <v>-0.11799999999999999</v>
      </c>
      <c r="EE14" s="7">
        <f t="shared" si="1"/>
        <v>-0.11799999999999999</v>
      </c>
      <c r="EF14" s="7">
        <f t="shared" si="1"/>
        <v>-0.11799999999999999</v>
      </c>
      <c r="EG14" s="7">
        <f t="shared" si="1"/>
        <v>-0.11799999999999999</v>
      </c>
      <c r="EH14" s="7">
        <f>ROUND(-0.116,10)</f>
        <v>-0.11600000000000001</v>
      </c>
      <c r="EI14" s="7">
        <f>ROUND(-0.116,10)</f>
        <v>-0.11600000000000001</v>
      </c>
      <c r="EJ14" s="7">
        <f>ROUND(-0.116,10)</f>
        <v>-0.11600000000000001</v>
      </c>
      <c r="EK14" s="7">
        <f>ROUND(-0.118,10)</f>
        <v>-0.11799999999999999</v>
      </c>
      <c r="EL14" s="7">
        <f>ROUND(-0.117,10)</f>
        <v>-0.11700000000000001</v>
      </c>
      <c r="EM14" s="7">
        <f>ROUND(-0.118,10)</f>
        <v>-0.11799999999999999</v>
      </c>
      <c r="EN14" s="7">
        <f>ROUND(-0.116,10)</f>
        <v>-0.11600000000000001</v>
      </c>
      <c r="EO14" s="7">
        <f>ROUND(-0.117,10)</f>
        <v>-0.11700000000000001</v>
      </c>
      <c r="EP14" s="7">
        <f>ROUND(-0.117,10)</f>
        <v>-0.11700000000000001</v>
      </c>
      <c r="EQ14" s="7">
        <f>ROUND(-0.118,10)</f>
        <v>-0.11799999999999999</v>
      </c>
      <c r="ER14" s="7">
        <f>ROUND(-0.122,10)</f>
        <v>-0.122</v>
      </c>
      <c r="ES14" s="7">
        <f>ROUND(-0.122,10)</f>
        <v>-0.122</v>
      </c>
      <c r="ET14" s="7">
        <f>ROUND(-0.124,10)</f>
        <v>-0.124</v>
      </c>
      <c r="EU14" s="7">
        <f>ROUND(-0.124,10)</f>
        <v>-0.124</v>
      </c>
      <c r="EV14" s="7">
        <f>ROUND(-0.126,10)</f>
        <v>-0.126</v>
      </c>
      <c r="EW14" s="7">
        <f>ROUND(-0.127,10)</f>
        <v>-0.127</v>
      </c>
      <c r="EX14" s="7">
        <f>ROUND(-0.129,10)</f>
        <v>-0.129</v>
      </c>
      <c r="EY14" s="7">
        <f>ROUND(-0.129,10)</f>
        <v>-0.129</v>
      </c>
      <c r="EZ14" s="7">
        <f>ROUND(-0.13,10)</f>
        <v>-0.13</v>
      </c>
      <c r="FA14" s="7">
        <f>ROUND(-0.131,10)</f>
        <v>-0.13100000000000001</v>
      </c>
      <c r="FB14" s="7">
        <f>ROUND(-0.132,10)</f>
        <v>-0.13200000000000001</v>
      </c>
      <c r="FC14" s="7">
        <f>ROUND(-0.131,10)</f>
        <v>-0.13100000000000001</v>
      </c>
      <c r="FD14" s="7">
        <f>ROUND(-0.13,10)</f>
        <v>-0.13</v>
      </c>
      <c r="FE14" s="7">
        <f>ROUND(-0.131,10)</f>
        <v>-0.13100000000000001</v>
      </c>
      <c r="FF14" s="7">
        <f>ROUND(-0.132,10)</f>
        <v>-0.13200000000000001</v>
      </c>
      <c r="FG14" s="7">
        <f>ROUND(-0.131,10)</f>
        <v>-0.13100000000000001</v>
      </c>
      <c r="FH14" s="7">
        <f>ROUND(-0.13,10)</f>
        <v>-0.13</v>
      </c>
      <c r="FI14" s="7">
        <f>ROUND(-0.131,10)</f>
        <v>-0.13100000000000001</v>
      </c>
      <c r="FJ14" s="7">
        <f>ROUND(-0.133,10)</f>
        <v>-0.13300000000000001</v>
      </c>
      <c r="FK14" s="7">
        <f>ROUND(-0.133,10)</f>
        <v>-0.13300000000000001</v>
      </c>
      <c r="FL14" s="7">
        <f>ROUND(-0.134,10)</f>
        <v>-0.13400000000000001</v>
      </c>
      <c r="FM14" s="7">
        <f>ROUND(-0.135,10)</f>
        <v>-0.13500000000000001</v>
      </c>
      <c r="FN14" s="7">
        <f>ROUND(-0.137,10)</f>
        <v>-0.13700000000000001</v>
      </c>
      <c r="FO14" s="7">
        <f>ROUND(-0.139,10)</f>
        <v>-0.13900000000000001</v>
      </c>
      <c r="FP14" s="7">
        <f>ROUND(-0.139,10)</f>
        <v>-0.13900000000000001</v>
      </c>
      <c r="FQ14" s="7">
        <f>ROUND(-0.14,10)</f>
        <v>-0.14000000000000001</v>
      </c>
      <c r="FR14" s="7">
        <f>ROUND(-0.141,10)</f>
        <v>-0.14099999999999999</v>
      </c>
      <c r="FS14" s="7">
        <f>ROUND(-0.14,10)</f>
        <v>-0.14000000000000001</v>
      </c>
      <c r="FT14" s="7">
        <f>ROUND(-0.141,10)</f>
        <v>-0.14099999999999999</v>
      </c>
      <c r="FU14" s="7">
        <f>ROUND(-0.141,10)</f>
        <v>-0.14099999999999999</v>
      </c>
      <c r="FV14" s="7">
        <f>ROUND(-0.142,10)</f>
        <v>-0.14199999999999999</v>
      </c>
      <c r="FW14" s="7">
        <f>ROUND(-0.141,10)</f>
        <v>-0.14099999999999999</v>
      </c>
      <c r="FX14" s="7">
        <f>ROUND(-0.142,10)</f>
        <v>-0.14199999999999999</v>
      </c>
      <c r="FY14" s="7">
        <f>ROUND(-0.139,10)</f>
        <v>-0.13900000000000001</v>
      </c>
      <c r="FZ14" s="7">
        <f>ROUND(-0.139,10)</f>
        <v>-0.13900000000000001</v>
      </c>
      <c r="GA14" s="7">
        <f>ROUND(-0.139,10)</f>
        <v>-0.13900000000000001</v>
      </c>
      <c r="GB14" s="7">
        <f>ROUND(-0.139,10)</f>
        <v>-0.13900000000000001</v>
      </c>
      <c r="GC14" s="7">
        <f>ROUND(-0.14,10)</f>
        <v>-0.14000000000000001</v>
      </c>
      <c r="GD14" s="7">
        <f>ROUND(-0.14,10)</f>
        <v>-0.14000000000000001</v>
      </c>
      <c r="GE14" s="7">
        <f>ROUND(-0.143,10)</f>
        <v>-0.14299999999999999</v>
      </c>
      <c r="GF14" s="7">
        <f>ROUND(-0.141,10)</f>
        <v>-0.14099999999999999</v>
      </c>
      <c r="GG14" s="7">
        <f>ROUND(-0.142,10)</f>
        <v>-0.14199999999999999</v>
      </c>
      <c r="GH14" s="7">
        <f>ROUND(-0.143,10)</f>
        <v>-0.14299999999999999</v>
      </c>
      <c r="GI14" s="7">
        <f>ROUND(-0.144,10)</f>
        <v>-0.14399999999999999</v>
      </c>
      <c r="GJ14" s="7">
        <f>ROUND(-0.143,10)</f>
        <v>-0.14299999999999999</v>
      </c>
      <c r="GK14" s="7">
        <f>ROUND(-0.143,10)</f>
        <v>-0.14299999999999999</v>
      </c>
      <c r="GL14" s="7">
        <f>ROUND(-0.143,10)</f>
        <v>-0.14299999999999999</v>
      </c>
      <c r="GM14" s="7">
        <f t="shared" ref="GM14:GT14" si="2">ROUND(-0.144,10)</f>
        <v>-0.14399999999999999</v>
      </c>
      <c r="GN14" s="7">
        <f t="shared" si="2"/>
        <v>-0.14399999999999999</v>
      </c>
      <c r="GO14" s="7">
        <f t="shared" si="2"/>
        <v>-0.14399999999999999</v>
      </c>
      <c r="GP14" s="7">
        <f t="shared" si="2"/>
        <v>-0.14399999999999999</v>
      </c>
      <c r="GQ14" s="7">
        <f t="shared" si="2"/>
        <v>-0.14399999999999999</v>
      </c>
      <c r="GR14" s="7">
        <f t="shared" si="2"/>
        <v>-0.14399999999999999</v>
      </c>
      <c r="GS14" s="7">
        <f t="shared" si="2"/>
        <v>-0.14399999999999999</v>
      </c>
      <c r="GT14" s="7">
        <f t="shared" si="2"/>
        <v>-0.14399999999999999</v>
      </c>
      <c r="GU14" s="7">
        <f>ROUND(-0.142,10)</f>
        <v>-0.14199999999999999</v>
      </c>
      <c r="GV14" s="7">
        <f>ROUND(-0.144,10)</f>
        <v>-0.14399999999999999</v>
      </c>
      <c r="GW14" s="7">
        <f>ROUND(-0.146,10)</f>
        <v>-0.14599999999999999</v>
      </c>
      <c r="GX14" s="7">
        <f>ROUND(-0.146,10)</f>
        <v>-0.14599999999999999</v>
      </c>
      <c r="GY14" s="7">
        <f>ROUND(-0.145,10)</f>
        <v>-0.14499999999999999</v>
      </c>
      <c r="GZ14" s="7">
        <f>ROUND(-0.145,10)</f>
        <v>-0.14499999999999999</v>
      </c>
      <c r="HA14" s="7">
        <f>ROUND(-0.145,10)</f>
        <v>-0.14499999999999999</v>
      </c>
      <c r="HB14" s="7">
        <f>ROUND(-0.146,10)</f>
        <v>-0.14599999999999999</v>
      </c>
      <c r="HC14" s="7">
        <f>ROUND(-0.147,10)</f>
        <v>-0.14699999999999999</v>
      </c>
      <c r="HD14" s="7">
        <f>ROUND(-0.146,10)</f>
        <v>-0.14599999999999999</v>
      </c>
      <c r="HE14" s="7">
        <f t="shared" si="0"/>
        <v>-0.14799999999999999</v>
      </c>
      <c r="HF14" s="7">
        <f t="shared" si="0"/>
        <v>-0.14799999999999999</v>
      </c>
      <c r="HG14" s="7">
        <f t="shared" si="0"/>
        <v>-0.14799999999999999</v>
      </c>
      <c r="HH14" s="7">
        <f>ROUND(-0.148,10)</f>
        <v>-0.14799999999999999</v>
      </c>
      <c r="HI14" s="7">
        <f>ROUND(-0.149,10)</f>
        <v>-0.14899999999999999</v>
      </c>
      <c r="HJ14" s="7">
        <f>ROUND(-0.149,10)</f>
        <v>-0.14899999999999999</v>
      </c>
      <c r="HK14" s="7">
        <f>ROUND(-0.15,10)</f>
        <v>-0.15</v>
      </c>
      <c r="HL14" s="7">
        <f>ROUND(-0.15,10)</f>
        <v>-0.15</v>
      </c>
      <c r="HM14" s="7">
        <f>ROUND(-0.151,10)</f>
        <v>-0.151</v>
      </c>
      <c r="HN14" s="7">
        <f>ROUND(-0.152,10)</f>
        <v>-0.152</v>
      </c>
      <c r="HO14" s="7">
        <f>ROUND(-0.153,10)</f>
        <v>-0.153</v>
      </c>
      <c r="HP14" s="7">
        <f>ROUND(-0.153,10)</f>
        <v>-0.153</v>
      </c>
      <c r="HQ14" s="7">
        <f>ROUND(-0.151,10)</f>
        <v>-0.151</v>
      </c>
      <c r="HR14" s="7">
        <f>ROUND(-0.152,10)</f>
        <v>-0.152</v>
      </c>
      <c r="HS14" s="7">
        <f>ROUND(-0.153,10)</f>
        <v>-0.153</v>
      </c>
      <c r="HT14" s="7">
        <f>ROUND(-0.153,10)</f>
        <v>-0.153</v>
      </c>
      <c r="HU14" s="7">
        <f>ROUND(-0.154,10)</f>
        <v>-0.154</v>
      </c>
      <c r="HV14" s="7">
        <f>ROUND(-0.155,10)</f>
        <v>-0.155</v>
      </c>
      <c r="HW14" s="7">
        <f>ROUND(-0.159,10)</f>
        <v>-0.159</v>
      </c>
      <c r="HX14" s="7">
        <f>ROUND(-0.159,10)</f>
        <v>-0.159</v>
      </c>
      <c r="HY14" s="7">
        <f>ROUND(-0.166,10)</f>
        <v>-0.16600000000000001</v>
      </c>
      <c r="HZ14" s="7">
        <f>ROUND(-0.17,10)</f>
        <v>-0.17</v>
      </c>
      <c r="IA14" s="7">
        <f>ROUND(-0.172,10)</f>
        <v>-0.17199999999999999</v>
      </c>
      <c r="IB14" s="7">
        <f>ROUND(-0.174,10)</f>
        <v>-0.17399999999999999</v>
      </c>
      <c r="IC14" s="7">
        <f>ROUND(-0.176,10)</f>
        <v>-0.17599999999999999</v>
      </c>
      <c r="ID14" s="7">
        <f>ROUND(-0.184,10)</f>
        <v>-0.184</v>
      </c>
      <c r="IE14" s="7">
        <f>ROUND(-0.194,10)</f>
        <v>-0.19400000000000001</v>
      </c>
      <c r="IF14" s="7">
        <f>ROUND(-0.205,10)</f>
        <v>-0.20499999999999999</v>
      </c>
      <c r="IG14" s="7">
        <f>ROUND(-0.211,10)</f>
        <v>-0.21099999999999999</v>
      </c>
      <c r="IH14" s="7">
        <f>ROUND(-0.219,10)</f>
        <v>-0.219</v>
      </c>
      <c r="II14" s="7">
        <f>ROUND(-0.225,10)</f>
        <v>-0.22500000000000001</v>
      </c>
      <c r="IJ14" s="7">
        <f>ROUND(-0.23,10)</f>
        <v>-0.23</v>
      </c>
      <c r="IK14" s="7">
        <f>ROUND(-0.232,10)</f>
        <v>-0.23200000000000001</v>
      </c>
      <c r="IL14" s="7">
        <f>ROUND(-0.234,10)</f>
        <v>-0.23400000000000001</v>
      </c>
      <c r="IM14" s="7">
        <f>ROUND(-0.229,10)</f>
        <v>-0.22900000000000001</v>
      </c>
      <c r="IN14" s="7">
        <f>ROUND(-0.229,10)</f>
        <v>-0.22900000000000001</v>
      </c>
      <c r="IO14" s="7">
        <f>ROUND(-0.228,10)</f>
        <v>-0.22800000000000001</v>
      </c>
      <c r="IP14" s="7">
        <f>ROUND(-0.227,10)</f>
        <v>-0.22700000000000001</v>
      </c>
      <c r="IQ14" s="7">
        <f>ROUND(-0.228,10)</f>
        <v>-0.22800000000000001</v>
      </c>
      <c r="IR14" s="7">
        <f>ROUND(-0.225,10)</f>
        <v>-0.22500000000000001</v>
      </c>
      <c r="IS14" s="7">
        <f>ROUND(-0.224,10)</f>
        <v>-0.224</v>
      </c>
      <c r="IT14" s="7">
        <f>ROUND(-0.226,10)</f>
        <v>-0.22600000000000001</v>
      </c>
      <c r="IU14" s="7">
        <f>ROUND(-0.227,10)</f>
        <v>-0.22700000000000001</v>
      </c>
      <c r="IV14" s="7">
        <f>ROUND(-0.235,10)</f>
        <v>-0.23499999999999999</v>
      </c>
      <c r="IW14" s="7">
        <f>ROUND(-0.236,10)</f>
        <v>-0.23599999999999999</v>
      </c>
    </row>
    <row r="15" spans="1:257">
      <c r="A15" s="6" t="s">
        <v>37</v>
      </c>
      <c r="B15" s="7">
        <f>ROUND(0.016,10)</f>
        <v>1.6E-2</v>
      </c>
      <c r="C15" s="7">
        <f>ROUND(0.015,10)</f>
        <v>1.4999999999999999E-2</v>
      </c>
      <c r="D15" s="7">
        <f>ROUND(0.015,10)</f>
        <v>1.4999999999999999E-2</v>
      </c>
      <c r="E15" s="7">
        <f>ROUND(0.012,10)</f>
        <v>1.2E-2</v>
      </c>
      <c r="F15" s="7">
        <f>ROUND(0.01,10)</f>
        <v>0.01</v>
      </c>
      <c r="G15" s="7">
        <f>ROUND(0.009,10)</f>
        <v>8.9999999999999993E-3</v>
      </c>
      <c r="H15" s="7">
        <f>ROUND(0.009,10)</f>
        <v>8.9999999999999993E-3</v>
      </c>
      <c r="I15" s="7">
        <f>ROUND(0.008,10)</f>
        <v>8.0000000000000002E-3</v>
      </c>
      <c r="J15" s="7">
        <f>ROUND(0.006,10)</f>
        <v>6.0000000000000001E-3</v>
      </c>
      <c r="K15" s="7">
        <f>ROUND(0.007,10)</f>
        <v>7.0000000000000001E-3</v>
      </c>
      <c r="L15" s="7">
        <f>ROUND(0.002,10)</f>
        <v>2E-3</v>
      </c>
      <c r="M15" s="7">
        <f>ROUND(-0.002,10)</f>
        <v>-2E-3</v>
      </c>
      <c r="N15" s="7">
        <f>ROUND(-0.005,10)</f>
        <v>-5.0000000000000001E-3</v>
      </c>
      <c r="O15" s="7">
        <f>ROUND(-0.004,10)</f>
        <v>-4.0000000000000001E-3</v>
      </c>
      <c r="P15" s="7">
        <f>ROUND(-0.001,10)</f>
        <v>-1E-3</v>
      </c>
      <c r="Q15" s="7">
        <f>ROUND(0.001,10)</f>
        <v>1E-3</v>
      </c>
      <c r="R15" s="7">
        <f>ROUND(0.002,10)</f>
        <v>2E-3</v>
      </c>
      <c r="S15" s="7">
        <f>ROUND(0.005,10)</f>
        <v>5.0000000000000001E-3</v>
      </c>
      <c r="T15" s="7">
        <f>ROUND(0.001,10)</f>
        <v>1E-3</v>
      </c>
      <c r="U15" s="7">
        <f>ROUND(0.001,10)</f>
        <v>1E-3</v>
      </c>
      <c r="V15" s="7">
        <f>ROUND(0.001,10)</f>
        <v>1E-3</v>
      </c>
      <c r="W15" s="7">
        <f>ROUND(0.003,10)</f>
        <v>3.0000000000000001E-3</v>
      </c>
      <c r="X15" s="7">
        <f>ROUND(0.001,10)</f>
        <v>1E-3</v>
      </c>
      <c r="Y15" s="7">
        <f>ROUND(0.001,10)</f>
        <v>1E-3</v>
      </c>
      <c r="Z15" s="7">
        <f>ROUND(0,10)</f>
        <v>0</v>
      </c>
      <c r="AA15" s="7">
        <f>ROUND(0.002,10)</f>
        <v>2E-3</v>
      </c>
      <c r="AB15" s="7">
        <f>ROUND(-0.001,10)</f>
        <v>-1E-3</v>
      </c>
      <c r="AC15" s="7">
        <f>ROUND(0,10)</f>
        <v>0</v>
      </c>
      <c r="AD15" s="7">
        <f>ROUND(0.001,10)</f>
        <v>1E-3</v>
      </c>
      <c r="AE15" s="7">
        <f>ROUND(0.002,10)</f>
        <v>2E-3</v>
      </c>
      <c r="AF15" s="7">
        <f>ROUND(0.002,10)</f>
        <v>2E-3</v>
      </c>
      <c r="AG15" s="7">
        <f>ROUND(0.001,10)</f>
        <v>1E-3</v>
      </c>
      <c r="AH15" s="7">
        <f>ROUND(0.001,10)</f>
        <v>1E-3</v>
      </c>
      <c r="AI15" s="7">
        <f>ROUND(0,10)</f>
        <v>0</v>
      </c>
      <c r="AJ15" s="7">
        <f>ROUND(0,10)</f>
        <v>0</v>
      </c>
      <c r="AK15" s="7">
        <f>ROUND(0.001,10)</f>
        <v>1E-3</v>
      </c>
      <c r="AL15" s="7">
        <f>ROUND(0.001,10)</f>
        <v>1E-3</v>
      </c>
      <c r="AM15" s="7">
        <f>ROUND(0.001,10)</f>
        <v>1E-3</v>
      </c>
      <c r="AN15" s="7">
        <f>ROUND(0.001,10)</f>
        <v>1E-3</v>
      </c>
      <c r="AO15" s="7">
        <f>ROUND(-0.004,10)</f>
        <v>-4.0000000000000001E-3</v>
      </c>
      <c r="AP15" s="7">
        <f>ROUND(-0.005,10)</f>
        <v>-5.0000000000000001E-3</v>
      </c>
      <c r="AQ15" s="7">
        <f>ROUND(-0.005,10)</f>
        <v>-5.0000000000000001E-3</v>
      </c>
      <c r="AR15" s="7">
        <f>ROUND(-0.006,10)</f>
        <v>-6.0000000000000001E-3</v>
      </c>
      <c r="AS15" s="7">
        <f>ROUND(-0.006,10)</f>
        <v>-6.0000000000000001E-3</v>
      </c>
      <c r="AT15" s="7">
        <f>ROUND(-0.007,10)</f>
        <v>-7.0000000000000001E-3</v>
      </c>
      <c r="AU15" s="7">
        <f>ROUND(-0.008,10)</f>
        <v>-8.0000000000000002E-3</v>
      </c>
      <c r="AV15" s="7">
        <f>ROUND(-0.008,10)</f>
        <v>-8.0000000000000002E-3</v>
      </c>
      <c r="AW15" s="7">
        <f>ROUND(-0.009,10)</f>
        <v>-8.9999999999999993E-3</v>
      </c>
      <c r="AX15" s="7">
        <f>ROUND(-0.011,10)</f>
        <v>-1.0999999999999999E-2</v>
      </c>
      <c r="AY15" s="7">
        <f>ROUND(-0.009,10)</f>
        <v>-8.9999999999999993E-3</v>
      </c>
      <c r="AZ15" s="7">
        <f>ROUND(-0.01,10)</f>
        <v>-0.01</v>
      </c>
      <c r="BA15" s="7">
        <f>ROUND(-0.011,10)</f>
        <v>-1.0999999999999999E-2</v>
      </c>
      <c r="BB15" s="7">
        <f>ROUND(-0.012,10)</f>
        <v>-1.2E-2</v>
      </c>
      <c r="BC15" s="7">
        <f>ROUND(-0.011,10)</f>
        <v>-1.0999999999999999E-2</v>
      </c>
      <c r="BD15" s="7">
        <f>ROUND(-0.011,10)</f>
        <v>-1.0999999999999999E-2</v>
      </c>
      <c r="BE15" s="7">
        <f>ROUND(-0.014,10)</f>
        <v>-1.4E-2</v>
      </c>
      <c r="BF15" s="7">
        <f>ROUND(-0.012,10)</f>
        <v>-1.2E-2</v>
      </c>
      <c r="BG15" s="7">
        <f>ROUND(-0.012,10)</f>
        <v>-1.2E-2</v>
      </c>
      <c r="BH15" s="7">
        <f>ROUND(-0.012,10)</f>
        <v>-1.2E-2</v>
      </c>
      <c r="BI15" s="7">
        <f>ROUND(-0.012,10)</f>
        <v>-1.2E-2</v>
      </c>
      <c r="BJ15" s="7">
        <f>ROUND(-0.012,10)</f>
        <v>-1.2E-2</v>
      </c>
      <c r="BK15" s="7">
        <f>ROUND(-0.014,10)</f>
        <v>-1.4E-2</v>
      </c>
      <c r="BL15" s="7">
        <f>ROUND(-0.015,10)</f>
        <v>-1.4999999999999999E-2</v>
      </c>
      <c r="BM15" s="7">
        <f>ROUND(-0.017,10)</f>
        <v>-1.7000000000000001E-2</v>
      </c>
      <c r="BN15" s="7">
        <f>ROUND(-0.019,10)</f>
        <v>-1.9E-2</v>
      </c>
      <c r="BO15" s="7">
        <f>ROUND(-0.021,10)</f>
        <v>-2.1000000000000001E-2</v>
      </c>
      <c r="BP15" s="7">
        <f>ROUND(-0.021,10)</f>
        <v>-2.1000000000000001E-2</v>
      </c>
      <c r="BQ15" s="7">
        <f>ROUND(-0.022,10)</f>
        <v>-2.1999999999999999E-2</v>
      </c>
      <c r="BR15" s="7">
        <f>ROUND(-0.022,10)</f>
        <v>-2.1999999999999999E-2</v>
      </c>
      <c r="BS15" s="7">
        <f>ROUND(-0.024,10)</f>
        <v>-2.4E-2</v>
      </c>
      <c r="BT15" s="7">
        <f>ROUND(-0.025,10)</f>
        <v>-2.5000000000000001E-2</v>
      </c>
      <c r="BU15" s="7">
        <f>ROUND(-0.029,10)</f>
        <v>-2.9000000000000001E-2</v>
      </c>
      <c r="BV15" s="7">
        <f>ROUND(-0.032,10)</f>
        <v>-3.2000000000000001E-2</v>
      </c>
      <c r="BW15" s="7">
        <f>ROUND(-0.033,10)</f>
        <v>-3.3000000000000002E-2</v>
      </c>
      <c r="BX15" s="7">
        <f>ROUND(-0.032,10)</f>
        <v>-3.2000000000000001E-2</v>
      </c>
      <c r="BY15" s="7">
        <f t="shared" ref="BY15:CD15" si="3">ROUND(-0.034,10)</f>
        <v>-3.4000000000000002E-2</v>
      </c>
      <c r="BZ15" s="7">
        <f t="shared" si="3"/>
        <v>-3.4000000000000002E-2</v>
      </c>
      <c r="CA15" s="7">
        <f t="shared" si="3"/>
        <v>-3.4000000000000002E-2</v>
      </c>
      <c r="CB15" s="7">
        <f t="shared" si="3"/>
        <v>-3.4000000000000002E-2</v>
      </c>
      <c r="CC15" s="7">
        <f t="shared" si="3"/>
        <v>-3.4000000000000002E-2</v>
      </c>
      <c r="CD15" s="7">
        <f t="shared" si="3"/>
        <v>-3.4000000000000002E-2</v>
      </c>
      <c r="CE15" s="7">
        <f>ROUND(-0.038,10)</f>
        <v>-3.7999999999999999E-2</v>
      </c>
      <c r="CF15" s="7">
        <f>ROUND(-0.04,10)</f>
        <v>-0.04</v>
      </c>
      <c r="CG15" s="7">
        <f>ROUND(-0.042,10)</f>
        <v>-4.2000000000000003E-2</v>
      </c>
      <c r="CH15" s="7">
        <f>ROUND(-0.043,10)</f>
        <v>-4.2999999999999997E-2</v>
      </c>
      <c r="CI15" s="7">
        <f>ROUND(-0.043,10)</f>
        <v>-4.2999999999999997E-2</v>
      </c>
      <c r="CJ15" s="7">
        <f>ROUND(-0.043,10)</f>
        <v>-4.2999999999999997E-2</v>
      </c>
      <c r="CK15" s="7">
        <f>ROUND(-0.044,10)</f>
        <v>-4.3999999999999997E-2</v>
      </c>
      <c r="CL15" s="7">
        <f>ROUND(-0.045,10)</f>
        <v>-4.4999999999999998E-2</v>
      </c>
      <c r="CM15" s="7">
        <f>ROUND(-0.048,10)</f>
        <v>-4.8000000000000001E-2</v>
      </c>
      <c r="CN15" s="7">
        <f>ROUND(-0.048,10)</f>
        <v>-4.8000000000000001E-2</v>
      </c>
      <c r="CO15" s="7">
        <f>ROUND(-0.049,10)</f>
        <v>-4.9000000000000002E-2</v>
      </c>
      <c r="CP15" s="7">
        <f>ROUND(-0.05,10)</f>
        <v>-0.05</v>
      </c>
      <c r="CQ15" s="7">
        <f>ROUND(-0.051,10)</f>
        <v>-5.0999999999999997E-2</v>
      </c>
      <c r="CR15" s="7">
        <f>ROUND(-0.052,10)</f>
        <v>-5.1999999999999998E-2</v>
      </c>
      <c r="CS15" s="7">
        <f>ROUND(-0.052,10)</f>
        <v>-5.1999999999999998E-2</v>
      </c>
      <c r="CT15" s="7">
        <f>ROUND(-0.052,10)</f>
        <v>-5.1999999999999998E-2</v>
      </c>
      <c r="CU15" s="7">
        <f>ROUND(-0.052,10)</f>
        <v>-5.1999999999999998E-2</v>
      </c>
      <c r="CV15" s="7">
        <f>ROUND(-0.053,10)</f>
        <v>-5.2999999999999999E-2</v>
      </c>
      <c r="CW15" s="7">
        <f>ROUND(-0.054,10)</f>
        <v>-5.3999999999999999E-2</v>
      </c>
      <c r="CX15" s="7">
        <f>ROUND(-0.054,10)</f>
        <v>-5.3999999999999999E-2</v>
      </c>
      <c r="CY15" s="7">
        <f>ROUND(-0.058,10)</f>
        <v>-5.8000000000000003E-2</v>
      </c>
      <c r="CZ15" s="7">
        <f>ROUND(-0.059,10)</f>
        <v>-5.8999999999999997E-2</v>
      </c>
      <c r="DA15" s="7">
        <f>ROUND(-0.057,10)</f>
        <v>-5.7000000000000002E-2</v>
      </c>
      <c r="DB15" s="7">
        <f>ROUND(-0.06,10)</f>
        <v>-0.06</v>
      </c>
      <c r="DC15" s="7">
        <f>ROUND(-0.061,10)</f>
        <v>-6.0999999999999999E-2</v>
      </c>
      <c r="DD15" s="7">
        <f>ROUND(-0.062,10)</f>
        <v>-6.2E-2</v>
      </c>
      <c r="DE15" s="7">
        <f>ROUND(-0.063,10)</f>
        <v>-6.3E-2</v>
      </c>
      <c r="DF15" s="7">
        <f>ROUND(-0.063,10)</f>
        <v>-6.3E-2</v>
      </c>
      <c r="DG15" s="7">
        <f>ROUND(-0.063,10)</f>
        <v>-6.3E-2</v>
      </c>
      <c r="DH15" s="7">
        <f>ROUND(-0.063,10)</f>
        <v>-6.3E-2</v>
      </c>
      <c r="DI15" s="7">
        <f>ROUND(-0.062,10)</f>
        <v>-6.2E-2</v>
      </c>
      <c r="DJ15" s="7">
        <f>ROUND(-0.064,10)</f>
        <v>-6.4000000000000001E-2</v>
      </c>
      <c r="DK15" s="7">
        <f>ROUND(-0.064,10)</f>
        <v>-6.4000000000000001E-2</v>
      </c>
      <c r="DL15" s="7">
        <f>ROUND(-0.064,10)</f>
        <v>-6.4000000000000001E-2</v>
      </c>
      <c r="DM15" s="7">
        <f>ROUND(-0.064,10)</f>
        <v>-6.4000000000000001E-2</v>
      </c>
      <c r="DN15" s="7">
        <f>ROUND(-0.063,10)</f>
        <v>-6.3E-2</v>
      </c>
      <c r="DO15" s="7">
        <f>ROUND(-0.064,10)</f>
        <v>-6.4000000000000001E-2</v>
      </c>
      <c r="DP15" s="7">
        <f>ROUND(-0.065,10)</f>
        <v>-6.5000000000000002E-2</v>
      </c>
      <c r="DQ15" s="7">
        <f>ROUND(-0.066,10)</f>
        <v>-6.6000000000000003E-2</v>
      </c>
      <c r="DR15" s="7">
        <f>ROUND(-0.066,10)</f>
        <v>-6.6000000000000003E-2</v>
      </c>
      <c r="DS15" s="7">
        <f>ROUND(-0.066,10)</f>
        <v>-6.6000000000000003E-2</v>
      </c>
      <c r="DT15" s="7">
        <f>ROUND(-0.066,10)</f>
        <v>-6.6000000000000003E-2</v>
      </c>
      <c r="DU15" s="7">
        <f>ROUND(-0.064,10)</f>
        <v>-6.4000000000000001E-2</v>
      </c>
      <c r="DV15" s="7">
        <f>ROUND(-0.064,10)</f>
        <v>-6.4000000000000001E-2</v>
      </c>
      <c r="DW15" s="7">
        <f>ROUND(-0.064,10)</f>
        <v>-6.4000000000000001E-2</v>
      </c>
      <c r="DX15" s="7">
        <f>ROUND(-0.066,10)</f>
        <v>-6.6000000000000003E-2</v>
      </c>
      <c r="DY15" s="7">
        <f>ROUND(-0.067,10)</f>
        <v>-6.7000000000000004E-2</v>
      </c>
      <c r="DZ15" s="7">
        <f>ROUND(-0.068,10)</f>
        <v>-6.8000000000000005E-2</v>
      </c>
      <c r="EA15" s="7">
        <f>ROUND(-0.069,10)</f>
        <v>-6.9000000000000006E-2</v>
      </c>
      <c r="EB15" s="7">
        <f>ROUND(-0.071,10)</f>
        <v>-7.0999999999999994E-2</v>
      </c>
      <c r="EC15" s="7">
        <f>ROUND(-0.071,10)</f>
        <v>-7.0999999999999994E-2</v>
      </c>
      <c r="ED15" s="7">
        <f>ROUND(-0.071,10)</f>
        <v>-7.0999999999999994E-2</v>
      </c>
      <c r="EE15" s="7">
        <f>ROUND(-0.071,10)</f>
        <v>-7.0999999999999994E-2</v>
      </c>
      <c r="EF15" s="7">
        <f>ROUND(-0.071,10)</f>
        <v>-7.0999999999999994E-2</v>
      </c>
      <c r="EG15" s="7">
        <f>ROUND(-0.072,10)</f>
        <v>-7.1999999999999995E-2</v>
      </c>
      <c r="EH15" s="7">
        <f>ROUND(-0.071,10)</f>
        <v>-7.0999999999999994E-2</v>
      </c>
      <c r="EI15" s="7">
        <f>ROUND(-0.072,10)</f>
        <v>-7.1999999999999995E-2</v>
      </c>
      <c r="EJ15" s="7">
        <f>ROUND(-0.073,10)</f>
        <v>-7.2999999999999995E-2</v>
      </c>
      <c r="EK15" s="7">
        <f>ROUND(-0.073,10)</f>
        <v>-7.2999999999999995E-2</v>
      </c>
      <c r="EL15" s="7">
        <f>ROUND(-0.073,10)</f>
        <v>-7.2999999999999995E-2</v>
      </c>
      <c r="EM15" s="7">
        <f>ROUND(-0.073,10)</f>
        <v>-7.2999999999999995E-2</v>
      </c>
      <c r="EN15" s="7">
        <f>ROUND(-0.074,10)</f>
        <v>-7.3999999999999996E-2</v>
      </c>
      <c r="EO15" s="7">
        <f>ROUND(-0.074,10)</f>
        <v>-7.3999999999999996E-2</v>
      </c>
      <c r="EP15" s="7">
        <f>ROUND(-0.073,10)</f>
        <v>-7.2999999999999995E-2</v>
      </c>
      <c r="EQ15" s="7">
        <f>ROUND(-0.074,10)</f>
        <v>-7.3999999999999996E-2</v>
      </c>
      <c r="ER15" s="7">
        <f>ROUND(-0.074,10)</f>
        <v>-7.3999999999999996E-2</v>
      </c>
      <c r="ES15" s="7">
        <f>ROUND(-0.075,10)</f>
        <v>-7.4999999999999997E-2</v>
      </c>
      <c r="ET15" s="7">
        <f>ROUND(-0.078,10)</f>
        <v>-7.8E-2</v>
      </c>
      <c r="EU15" s="7">
        <f>ROUND(-0.079,10)</f>
        <v>-7.9000000000000001E-2</v>
      </c>
      <c r="EV15" s="7">
        <f>ROUND(-0.079,10)</f>
        <v>-7.9000000000000001E-2</v>
      </c>
      <c r="EW15" s="7">
        <f>ROUND(-0.08,10)</f>
        <v>-0.08</v>
      </c>
      <c r="EX15" s="7">
        <f>ROUND(-0.081,10)</f>
        <v>-8.1000000000000003E-2</v>
      </c>
      <c r="EY15" s="7">
        <f>ROUND(-0.082,10)</f>
        <v>-8.2000000000000003E-2</v>
      </c>
      <c r="EZ15" s="7">
        <f>ROUND(-0.082,10)</f>
        <v>-8.2000000000000003E-2</v>
      </c>
      <c r="FA15" s="7">
        <f>ROUND(-0.083,10)</f>
        <v>-8.3000000000000004E-2</v>
      </c>
      <c r="FB15" s="7">
        <f>ROUND(-0.084,10)</f>
        <v>-8.4000000000000005E-2</v>
      </c>
      <c r="FC15" s="7">
        <f>ROUND(-0.085,10)</f>
        <v>-8.5000000000000006E-2</v>
      </c>
      <c r="FD15" s="7">
        <f>ROUND(-0.088,10)</f>
        <v>-8.7999999999999995E-2</v>
      </c>
      <c r="FE15" s="7">
        <f>ROUND(-0.089,10)</f>
        <v>-8.8999999999999996E-2</v>
      </c>
      <c r="FF15" s="7">
        <f>ROUND(-0.089,10)</f>
        <v>-8.8999999999999996E-2</v>
      </c>
      <c r="FG15" s="7">
        <f>ROUND(-0.091,10)</f>
        <v>-9.0999999999999998E-2</v>
      </c>
      <c r="FH15" s="7">
        <f>ROUND(-0.092,10)</f>
        <v>-9.1999999999999998E-2</v>
      </c>
      <c r="FI15" s="7">
        <f>ROUND(-0.094,10)</f>
        <v>-9.4E-2</v>
      </c>
      <c r="FJ15" s="7">
        <f>ROUND(-0.096,10)</f>
        <v>-9.6000000000000002E-2</v>
      </c>
      <c r="FK15" s="7">
        <f>ROUND(-0.098,10)</f>
        <v>-9.8000000000000004E-2</v>
      </c>
      <c r="FL15" s="7">
        <f>ROUND(-0.099,10)</f>
        <v>-9.9000000000000005E-2</v>
      </c>
      <c r="FM15" s="7">
        <f>ROUND(-0.098,10)</f>
        <v>-9.8000000000000004E-2</v>
      </c>
      <c r="FN15" s="7">
        <f>ROUND(-0.098,10)</f>
        <v>-9.8000000000000004E-2</v>
      </c>
      <c r="FO15" s="7">
        <f>ROUND(-0.099,10)</f>
        <v>-9.9000000000000005E-2</v>
      </c>
      <c r="FP15" s="7">
        <f>ROUND(-0.102,10)</f>
        <v>-0.10199999999999999</v>
      </c>
      <c r="FQ15" s="7">
        <f>ROUND(-0.103,10)</f>
        <v>-0.10299999999999999</v>
      </c>
      <c r="FR15" s="7">
        <f>ROUND(-0.104,10)</f>
        <v>-0.104</v>
      </c>
      <c r="FS15" s="7">
        <f>ROUND(-0.104,10)</f>
        <v>-0.104</v>
      </c>
      <c r="FT15" s="7">
        <f>ROUND(-0.104,10)</f>
        <v>-0.104</v>
      </c>
      <c r="FU15" s="7">
        <f>ROUND(-0.104,10)</f>
        <v>-0.104</v>
      </c>
      <c r="FV15" s="7">
        <f>ROUND(-0.103,10)</f>
        <v>-0.10299999999999999</v>
      </c>
      <c r="FW15" s="7">
        <f>ROUND(-0.104,10)</f>
        <v>-0.104</v>
      </c>
      <c r="FX15" s="7">
        <f>ROUND(-0.104,10)</f>
        <v>-0.104</v>
      </c>
      <c r="FY15" s="7">
        <f>ROUND(-0.104,10)</f>
        <v>-0.104</v>
      </c>
      <c r="FZ15" s="7">
        <f>ROUND(-0.103,10)</f>
        <v>-0.10299999999999999</v>
      </c>
      <c r="GA15" s="7">
        <f>ROUND(-0.103,10)</f>
        <v>-0.10299999999999999</v>
      </c>
      <c r="GB15" s="7">
        <f>ROUND(-0.102,10)</f>
        <v>-0.10199999999999999</v>
      </c>
      <c r="GC15" s="7">
        <f>ROUND(-0.104,10)</f>
        <v>-0.104</v>
      </c>
      <c r="GD15" s="7">
        <f>ROUND(-0.103,10)</f>
        <v>-0.10299999999999999</v>
      </c>
      <c r="GE15" s="7">
        <f>ROUND(-0.107,10)</f>
        <v>-0.107</v>
      </c>
      <c r="GF15" s="7">
        <f>ROUND(-0.109,10)</f>
        <v>-0.109</v>
      </c>
      <c r="GG15" s="7">
        <f>ROUND(-0.111,10)</f>
        <v>-0.111</v>
      </c>
      <c r="GH15" s="7">
        <f>ROUND(-0.111,10)</f>
        <v>-0.111</v>
      </c>
      <c r="GI15" s="7">
        <f>ROUND(-0.113,10)</f>
        <v>-0.113</v>
      </c>
      <c r="GJ15" s="7">
        <f>ROUND(-0.113,10)</f>
        <v>-0.113</v>
      </c>
      <c r="GK15" s="7">
        <f>ROUND(-0.113,10)</f>
        <v>-0.113</v>
      </c>
      <c r="GL15" s="7">
        <f>ROUND(-0.113,10)</f>
        <v>-0.113</v>
      </c>
      <c r="GM15" s="7">
        <f>ROUND(-0.113,10)</f>
        <v>-0.113</v>
      </c>
      <c r="GN15" s="7">
        <f>ROUND(-0.112,10)</f>
        <v>-0.112</v>
      </c>
      <c r="GO15" s="7">
        <f>ROUND(-0.113,10)</f>
        <v>-0.113</v>
      </c>
      <c r="GP15" s="7">
        <f>ROUND(-0.114,10)</f>
        <v>-0.114</v>
      </c>
      <c r="GQ15" s="7">
        <f>ROUND(-0.113,10)</f>
        <v>-0.113</v>
      </c>
      <c r="GR15" s="7">
        <f>ROUND(-0.113,10)</f>
        <v>-0.113</v>
      </c>
      <c r="GS15" s="7">
        <f>ROUND(-0.113,10)</f>
        <v>-0.113</v>
      </c>
      <c r="GT15" s="7">
        <f>ROUND(-0.113,10)</f>
        <v>-0.113</v>
      </c>
      <c r="GU15" s="7">
        <f>ROUND(-0.114,10)</f>
        <v>-0.114</v>
      </c>
      <c r="GV15" s="7">
        <f>ROUND(-0.116,10)</f>
        <v>-0.11600000000000001</v>
      </c>
      <c r="GW15" s="7">
        <f>ROUND(-0.117,10)</f>
        <v>-0.11700000000000001</v>
      </c>
      <c r="GX15" s="7">
        <f>ROUND(-0.117,10)</f>
        <v>-0.11700000000000001</v>
      </c>
      <c r="GY15" s="7">
        <f>ROUND(-0.118,10)</f>
        <v>-0.11799999999999999</v>
      </c>
      <c r="GZ15" s="7">
        <f>ROUND(-0.118,10)</f>
        <v>-0.11799999999999999</v>
      </c>
      <c r="HA15" s="7">
        <f t="shared" ref="HA15:HG15" si="4">ROUND(-0.119,10)</f>
        <v>-0.11899999999999999</v>
      </c>
      <c r="HB15" s="7">
        <f t="shared" si="4"/>
        <v>-0.11899999999999999</v>
      </c>
      <c r="HC15" s="7">
        <f t="shared" si="4"/>
        <v>-0.11899999999999999</v>
      </c>
      <c r="HD15" s="7">
        <f t="shared" si="4"/>
        <v>-0.11899999999999999</v>
      </c>
      <c r="HE15" s="7">
        <f t="shared" si="4"/>
        <v>-0.11899999999999999</v>
      </c>
      <c r="HF15" s="7">
        <f t="shared" si="4"/>
        <v>-0.11899999999999999</v>
      </c>
      <c r="HG15" s="7">
        <f t="shared" si="4"/>
        <v>-0.11899999999999999</v>
      </c>
      <c r="HH15" s="7">
        <f>ROUND(-0.121,10)</f>
        <v>-0.121</v>
      </c>
      <c r="HI15" s="7">
        <f>ROUND(-0.122,10)</f>
        <v>-0.122</v>
      </c>
      <c r="HJ15" s="7">
        <f>ROUND(-0.123,10)</f>
        <v>-0.123</v>
      </c>
      <c r="HK15" s="7">
        <f>ROUND(-0.124,10)</f>
        <v>-0.124</v>
      </c>
      <c r="HL15" s="7">
        <f>ROUND(-0.125,10)</f>
        <v>-0.125</v>
      </c>
      <c r="HM15" s="7">
        <f>ROUND(-0.129,10)</f>
        <v>-0.129</v>
      </c>
      <c r="HN15" s="7">
        <f>ROUND(-0.132,10)</f>
        <v>-0.13200000000000001</v>
      </c>
      <c r="HO15" s="7">
        <f>ROUND(-0.136,10)</f>
        <v>-0.13600000000000001</v>
      </c>
      <c r="HP15" s="7">
        <f>ROUND(-0.137,10)</f>
        <v>-0.13700000000000001</v>
      </c>
      <c r="HQ15" s="7">
        <f>ROUND(-0.139,10)</f>
        <v>-0.13900000000000001</v>
      </c>
      <c r="HR15" s="7">
        <f>ROUND(-0.144,10)</f>
        <v>-0.14399999999999999</v>
      </c>
      <c r="HS15" s="7">
        <f>ROUND(-0.146,10)</f>
        <v>-0.14599999999999999</v>
      </c>
      <c r="HT15" s="7">
        <f>ROUND(-0.149,10)</f>
        <v>-0.14899999999999999</v>
      </c>
      <c r="HU15" s="7">
        <f>ROUND(-0.151,10)</f>
        <v>-0.151</v>
      </c>
      <c r="HV15" s="7">
        <f>ROUND(-0.155,10)</f>
        <v>-0.155</v>
      </c>
      <c r="HW15" s="7">
        <f>ROUND(-0.157,10)</f>
        <v>-0.157</v>
      </c>
      <c r="HX15" s="7">
        <f>ROUND(-0.156,10)</f>
        <v>-0.156</v>
      </c>
      <c r="HY15" s="7">
        <f>ROUND(-0.161,10)</f>
        <v>-0.161</v>
      </c>
      <c r="HZ15" s="7">
        <f>ROUND(-0.16,10)</f>
        <v>-0.16</v>
      </c>
      <c r="IA15" s="7">
        <f>ROUND(-0.161,10)</f>
        <v>-0.161</v>
      </c>
      <c r="IB15" s="7">
        <f>ROUND(-0.161,10)</f>
        <v>-0.161</v>
      </c>
      <c r="IC15" s="7">
        <f>ROUND(-0.164,10)</f>
        <v>-0.16400000000000001</v>
      </c>
      <c r="ID15" s="7">
        <f>ROUND(-0.171,10)</f>
        <v>-0.17100000000000001</v>
      </c>
      <c r="IE15" s="7">
        <f>ROUND(-0.171,10)</f>
        <v>-0.17100000000000001</v>
      </c>
      <c r="IF15" s="7">
        <f>ROUND(-0.175,10)</f>
        <v>-0.17499999999999999</v>
      </c>
      <c r="IG15" s="7">
        <f>ROUND(-0.178,10)</f>
        <v>-0.17799999999999999</v>
      </c>
      <c r="IH15" s="7">
        <f>ROUND(-0.181,10)</f>
        <v>-0.18099999999999999</v>
      </c>
      <c r="II15" s="7">
        <f>ROUND(-0.186,10)</f>
        <v>-0.186</v>
      </c>
      <c r="IJ15" s="7">
        <f>ROUND(-0.189,10)</f>
        <v>-0.189</v>
      </c>
      <c r="IK15" s="7">
        <f>ROUND(-0.191,10)</f>
        <v>-0.191</v>
      </c>
      <c r="IL15" s="7">
        <f>ROUND(-0.194,10)</f>
        <v>-0.19400000000000001</v>
      </c>
      <c r="IM15" s="7">
        <f>ROUND(-0.196,10)</f>
        <v>-0.19600000000000001</v>
      </c>
      <c r="IN15" s="7">
        <f>ROUND(-0.198,10)</f>
        <v>-0.19800000000000001</v>
      </c>
      <c r="IO15" s="7">
        <f>ROUND(-0.199,10)</f>
        <v>-0.19900000000000001</v>
      </c>
      <c r="IP15" s="7">
        <f>ROUND(-0.2,10)</f>
        <v>-0.2</v>
      </c>
      <c r="IQ15" s="7">
        <f>ROUND(-0.201,10)</f>
        <v>-0.20100000000000001</v>
      </c>
      <c r="IR15" s="7">
        <f>ROUND(-0.201,10)</f>
        <v>-0.20100000000000001</v>
      </c>
      <c r="IS15" s="7">
        <f>ROUND(-0.201,10)</f>
        <v>-0.20100000000000001</v>
      </c>
      <c r="IT15" s="7">
        <f>ROUND(-0.199,10)</f>
        <v>-0.19900000000000001</v>
      </c>
      <c r="IU15" s="7">
        <f>ROUND(-0.202,10)</f>
        <v>-0.20200000000000001</v>
      </c>
      <c r="IV15" s="7">
        <f>ROUND(-0.206,10)</f>
        <v>-0.20599999999999999</v>
      </c>
      <c r="IW15" s="7">
        <f>ROUND(-0.205,10)</f>
        <v>-0.20499999999999999</v>
      </c>
    </row>
    <row r="16" spans="1:257">
      <c r="A16" s="6" t="s">
        <v>38</v>
      </c>
      <c r="B16" s="7">
        <f>ROUND(0.044,10)</f>
        <v>4.3999999999999997E-2</v>
      </c>
      <c r="C16" s="7">
        <f>ROUND(0.043,10)</f>
        <v>4.2999999999999997E-2</v>
      </c>
      <c r="D16" s="7">
        <f>ROUND(0.04,10)</f>
        <v>0.04</v>
      </c>
      <c r="E16" s="7">
        <f>ROUND(0.038,10)</f>
        <v>3.7999999999999999E-2</v>
      </c>
      <c r="F16" s="7">
        <f>ROUND(0.038,10)</f>
        <v>3.7999999999999999E-2</v>
      </c>
      <c r="G16" s="7">
        <f>ROUND(0.038,10)</f>
        <v>3.7999999999999999E-2</v>
      </c>
      <c r="H16" s="7">
        <f>ROUND(0.039,10)</f>
        <v>3.9E-2</v>
      </c>
      <c r="I16" s="7">
        <f>ROUND(0.039,10)</f>
        <v>3.9E-2</v>
      </c>
      <c r="J16" s="7">
        <f>ROUND(0.038,10)</f>
        <v>3.7999999999999999E-2</v>
      </c>
      <c r="K16" s="7">
        <f>ROUND(0.038,10)</f>
        <v>3.7999999999999999E-2</v>
      </c>
      <c r="L16" s="7">
        <f>ROUND(0.031,10)</f>
        <v>3.1E-2</v>
      </c>
      <c r="M16" s="7">
        <f>ROUND(0.026,10)</f>
        <v>2.5999999999999999E-2</v>
      </c>
      <c r="N16" s="7">
        <f>ROUND(0.024,10)</f>
        <v>2.4E-2</v>
      </c>
      <c r="O16" s="7">
        <f>ROUND(0.022,10)</f>
        <v>2.1999999999999999E-2</v>
      </c>
      <c r="P16" s="7">
        <f>ROUND(0.023,10)</f>
        <v>2.3E-2</v>
      </c>
      <c r="Q16" s="7">
        <f>ROUND(0.024,10)</f>
        <v>2.4E-2</v>
      </c>
      <c r="R16" s="7">
        <f>ROUND(0.026,10)</f>
        <v>2.5999999999999999E-2</v>
      </c>
      <c r="S16" s="7">
        <f>ROUND(0.028,10)</f>
        <v>2.8000000000000001E-2</v>
      </c>
      <c r="T16" s="7">
        <f>ROUND(0.025,10)</f>
        <v>2.5000000000000001E-2</v>
      </c>
      <c r="U16" s="7">
        <f>ROUND(0.023,10)</f>
        <v>2.3E-2</v>
      </c>
      <c r="V16" s="7">
        <f>ROUND(0.023,10)</f>
        <v>2.3E-2</v>
      </c>
      <c r="W16" s="7">
        <f>ROUND(0.024,10)</f>
        <v>2.4E-2</v>
      </c>
      <c r="X16" s="7">
        <f>ROUND(0.024,10)</f>
        <v>2.4E-2</v>
      </c>
      <c r="Y16" s="7">
        <f>ROUND(0.023,10)</f>
        <v>2.3E-2</v>
      </c>
      <c r="Z16" s="7">
        <f>ROUND(0.022,10)</f>
        <v>2.1999999999999999E-2</v>
      </c>
      <c r="AA16" s="7">
        <f>ROUND(0.024,10)</f>
        <v>2.4E-2</v>
      </c>
      <c r="AB16" s="7">
        <f>ROUND(0.022,10)</f>
        <v>2.1999999999999999E-2</v>
      </c>
      <c r="AC16" s="7">
        <f>ROUND(0.022,10)</f>
        <v>2.1999999999999999E-2</v>
      </c>
      <c r="AD16" s="7">
        <f>ROUND(0.022,10)</f>
        <v>2.1999999999999999E-2</v>
      </c>
      <c r="AE16" s="7">
        <f t="shared" ref="AE16:AK16" si="5">ROUND(0.021,10)</f>
        <v>2.1000000000000001E-2</v>
      </c>
      <c r="AF16" s="7">
        <f t="shared" si="5"/>
        <v>2.1000000000000001E-2</v>
      </c>
      <c r="AG16" s="7">
        <f t="shared" si="5"/>
        <v>2.1000000000000001E-2</v>
      </c>
      <c r="AH16" s="7">
        <f t="shared" si="5"/>
        <v>2.1000000000000001E-2</v>
      </c>
      <c r="AI16" s="7">
        <f t="shared" si="5"/>
        <v>2.1000000000000001E-2</v>
      </c>
      <c r="AJ16" s="7">
        <f t="shared" si="5"/>
        <v>2.1000000000000001E-2</v>
      </c>
      <c r="AK16" s="7">
        <f t="shared" si="5"/>
        <v>2.1000000000000001E-2</v>
      </c>
      <c r="AL16" s="7">
        <f>ROUND(0.019,10)</f>
        <v>1.9E-2</v>
      </c>
      <c r="AM16" s="7">
        <f>ROUND(0.02,10)</f>
        <v>0.02</v>
      </c>
      <c r="AN16" s="7">
        <f>ROUND(0.019,10)</f>
        <v>1.9E-2</v>
      </c>
      <c r="AO16" s="7">
        <f>ROUND(0.016,10)</f>
        <v>1.6E-2</v>
      </c>
      <c r="AP16" s="7">
        <f>ROUND(0.018,10)</f>
        <v>1.7999999999999999E-2</v>
      </c>
      <c r="AQ16" s="7">
        <f>ROUND(0.019,10)</f>
        <v>1.9E-2</v>
      </c>
      <c r="AR16" s="7">
        <f>ROUND(0.018,10)</f>
        <v>1.7999999999999999E-2</v>
      </c>
      <c r="AS16" s="7">
        <f>ROUND(0.017,10)</f>
        <v>1.7000000000000001E-2</v>
      </c>
      <c r="AT16" s="7">
        <f>ROUND(0.016,10)</f>
        <v>1.6E-2</v>
      </c>
      <c r="AU16" s="7">
        <f>ROUND(0.015,10)</f>
        <v>1.4999999999999999E-2</v>
      </c>
      <c r="AV16" s="7">
        <f>ROUND(0.014,10)</f>
        <v>1.4E-2</v>
      </c>
      <c r="AW16" s="7">
        <f>ROUND(0.012,10)</f>
        <v>1.2E-2</v>
      </c>
      <c r="AX16" s="7">
        <f>ROUND(0.009,10)</f>
        <v>8.9999999999999993E-3</v>
      </c>
      <c r="AY16" s="7">
        <f>ROUND(0.007,10)</f>
        <v>7.0000000000000001E-3</v>
      </c>
      <c r="AZ16" s="7">
        <f>ROUND(0.007,10)</f>
        <v>7.0000000000000001E-3</v>
      </c>
      <c r="BA16" s="7">
        <f>ROUND(0.006,10)</f>
        <v>6.0000000000000001E-3</v>
      </c>
      <c r="BB16" s="7">
        <f>ROUND(0.007,10)</f>
        <v>7.0000000000000001E-3</v>
      </c>
      <c r="BC16" s="7">
        <f>ROUND(0.008,10)</f>
        <v>8.0000000000000002E-3</v>
      </c>
      <c r="BD16" s="7">
        <f>ROUND(0.008,10)</f>
        <v>8.0000000000000002E-3</v>
      </c>
      <c r="BE16" s="7">
        <f>ROUND(0.006,10)</f>
        <v>6.0000000000000001E-3</v>
      </c>
      <c r="BF16" s="7">
        <f>ROUND(0.008,10)</f>
        <v>8.0000000000000002E-3</v>
      </c>
      <c r="BG16" s="7">
        <f>ROUND(0.008,10)</f>
        <v>8.0000000000000002E-3</v>
      </c>
      <c r="BH16" s="7">
        <f>ROUND(0.007,10)</f>
        <v>7.0000000000000001E-3</v>
      </c>
      <c r="BI16" s="7">
        <f>ROUND(0.006,10)</f>
        <v>6.0000000000000001E-3</v>
      </c>
      <c r="BJ16" s="7">
        <f>ROUND(0.006,10)</f>
        <v>6.0000000000000001E-3</v>
      </c>
      <c r="BK16" s="7">
        <f>ROUND(0.005,10)</f>
        <v>5.0000000000000001E-3</v>
      </c>
      <c r="BL16" s="7">
        <f>ROUND(0.004,10)</f>
        <v>4.0000000000000001E-3</v>
      </c>
      <c r="BM16" s="7">
        <f>ROUND(0.002,10)</f>
        <v>2E-3</v>
      </c>
      <c r="BN16" s="7">
        <f>ROUND(0,10)</f>
        <v>0</v>
      </c>
      <c r="BO16" s="7">
        <f>ROUND(-0.002,10)</f>
        <v>-2E-3</v>
      </c>
      <c r="BP16" s="7">
        <f>ROUND(-0.003,10)</f>
        <v>-3.0000000000000001E-3</v>
      </c>
      <c r="BQ16" s="7">
        <f>ROUND(-0.004,10)</f>
        <v>-4.0000000000000001E-3</v>
      </c>
      <c r="BR16" s="7">
        <f>ROUND(-0.002,10)</f>
        <v>-2E-3</v>
      </c>
      <c r="BS16" s="7">
        <f>ROUND(-0.004,10)</f>
        <v>-4.0000000000000001E-3</v>
      </c>
      <c r="BT16" s="7">
        <f>ROUND(-0.007,10)</f>
        <v>-7.0000000000000001E-3</v>
      </c>
      <c r="BU16" s="7">
        <f>ROUND(-0.011,10)</f>
        <v>-1.0999999999999999E-2</v>
      </c>
      <c r="BV16" s="7">
        <f>ROUND(-0.014,10)</f>
        <v>-1.4E-2</v>
      </c>
      <c r="BW16" s="7">
        <f>ROUND(-0.016,10)</f>
        <v>-1.6E-2</v>
      </c>
      <c r="BX16" s="7">
        <f>ROUND(-0.016,10)</f>
        <v>-1.6E-2</v>
      </c>
      <c r="BY16" s="7">
        <f>ROUND(-0.018,10)</f>
        <v>-1.7999999999999999E-2</v>
      </c>
      <c r="BZ16" s="7">
        <f>ROUND(-0.018,10)</f>
        <v>-1.7999999999999999E-2</v>
      </c>
      <c r="CA16" s="7">
        <f>ROUND(-0.018,10)</f>
        <v>-1.7999999999999999E-2</v>
      </c>
      <c r="CB16" s="7">
        <f>ROUND(-0.016,10)</f>
        <v>-1.6E-2</v>
      </c>
      <c r="CC16" s="7">
        <f>ROUND(-0.017,10)</f>
        <v>-1.7000000000000001E-2</v>
      </c>
      <c r="CD16" s="7">
        <f>ROUND(-0.019,10)</f>
        <v>-1.9E-2</v>
      </c>
      <c r="CE16" s="7">
        <f>ROUND(-0.022,10)</f>
        <v>-2.1999999999999999E-2</v>
      </c>
      <c r="CF16" s="7">
        <f>ROUND(-0.022,10)</f>
        <v>-2.1999999999999999E-2</v>
      </c>
      <c r="CG16" s="7">
        <f>ROUND(-0.023,10)</f>
        <v>-2.3E-2</v>
      </c>
      <c r="CH16" s="7">
        <f>ROUND(-0.024,10)</f>
        <v>-2.4E-2</v>
      </c>
      <c r="CI16" s="7">
        <f>ROUND(-0.024,10)</f>
        <v>-2.4E-2</v>
      </c>
      <c r="CJ16" s="7">
        <f>ROUND(-0.024,10)</f>
        <v>-2.4E-2</v>
      </c>
      <c r="CK16" s="7">
        <f>ROUND(-0.025,10)</f>
        <v>-2.5000000000000001E-2</v>
      </c>
      <c r="CL16" s="7">
        <f>ROUND(-0.026,10)</f>
        <v>-2.5999999999999999E-2</v>
      </c>
      <c r="CM16" s="7">
        <f>ROUND(-0.028,10)</f>
        <v>-2.8000000000000001E-2</v>
      </c>
      <c r="CN16" s="7">
        <f>ROUND(-0.028,10)</f>
        <v>-2.8000000000000001E-2</v>
      </c>
      <c r="CO16" s="7">
        <f>ROUND(-0.029,10)</f>
        <v>-2.9000000000000001E-2</v>
      </c>
      <c r="CP16" s="7">
        <f>ROUND(-0.028,10)</f>
        <v>-2.8000000000000001E-2</v>
      </c>
      <c r="CQ16" s="7">
        <f>ROUND(-0.029,10)</f>
        <v>-2.9000000000000001E-2</v>
      </c>
      <c r="CR16" s="7">
        <f>ROUND(-0.031,10)</f>
        <v>-3.1E-2</v>
      </c>
      <c r="CS16" s="7">
        <f>ROUND(-0.031,10)</f>
        <v>-3.1E-2</v>
      </c>
      <c r="CT16" s="7">
        <f>ROUND(-0.031,10)</f>
        <v>-3.1E-2</v>
      </c>
      <c r="CU16" s="7">
        <f>ROUND(-0.031,10)</f>
        <v>-3.1E-2</v>
      </c>
      <c r="CV16" s="7">
        <f>ROUND(-0.031,10)</f>
        <v>-3.1E-2</v>
      </c>
      <c r="CW16" s="7">
        <f>ROUND(-0.032,10)</f>
        <v>-3.2000000000000001E-2</v>
      </c>
      <c r="CX16" s="7">
        <f>ROUND(-0.032,10)</f>
        <v>-3.2000000000000001E-2</v>
      </c>
      <c r="CY16" s="7">
        <f>ROUND(-0.032,10)</f>
        <v>-3.2000000000000001E-2</v>
      </c>
      <c r="CZ16" s="7">
        <f>ROUND(-0.032,10)</f>
        <v>-3.2000000000000001E-2</v>
      </c>
      <c r="DA16" s="7">
        <f>ROUND(-0.032,10)</f>
        <v>-3.2000000000000001E-2</v>
      </c>
      <c r="DB16" s="7">
        <f>ROUND(-0.033,10)</f>
        <v>-3.3000000000000002E-2</v>
      </c>
      <c r="DC16" s="7">
        <f>ROUND(-0.033,10)</f>
        <v>-3.3000000000000002E-2</v>
      </c>
      <c r="DD16" s="7">
        <f>ROUND(-0.034,10)</f>
        <v>-3.4000000000000002E-2</v>
      </c>
      <c r="DE16" s="7">
        <f>ROUND(-0.034,10)</f>
        <v>-3.4000000000000002E-2</v>
      </c>
      <c r="DF16" s="7">
        <f>ROUND(-0.034,10)</f>
        <v>-3.4000000000000002E-2</v>
      </c>
      <c r="DG16" s="7">
        <f>ROUND(-0.034,10)</f>
        <v>-3.4000000000000002E-2</v>
      </c>
      <c r="DH16" s="7">
        <f>ROUND(-0.034,10)</f>
        <v>-3.4000000000000002E-2</v>
      </c>
      <c r="DI16" s="7">
        <f>ROUND(-0.033,10)</f>
        <v>-3.3000000000000002E-2</v>
      </c>
      <c r="DJ16" s="7">
        <f>ROUND(-0.036,10)</f>
        <v>-3.5999999999999997E-2</v>
      </c>
      <c r="DK16" s="7">
        <f>ROUND(-0.037,10)</f>
        <v>-3.6999999999999998E-2</v>
      </c>
      <c r="DL16" s="7">
        <f>ROUND(-0.038,10)</f>
        <v>-3.7999999999999999E-2</v>
      </c>
      <c r="DM16" s="7">
        <f>ROUND(-0.038,10)</f>
        <v>-3.7999999999999999E-2</v>
      </c>
      <c r="DN16" s="7">
        <f>ROUND(-0.039,10)</f>
        <v>-3.9E-2</v>
      </c>
      <c r="DO16" s="7">
        <f>ROUND(-0.039,10)</f>
        <v>-3.9E-2</v>
      </c>
      <c r="DP16" s="7">
        <f>ROUND(-0.039,10)</f>
        <v>-3.9E-2</v>
      </c>
      <c r="DQ16" s="7">
        <f>ROUND(-0.039,10)</f>
        <v>-3.9E-2</v>
      </c>
      <c r="DR16" s="7">
        <f t="shared" ref="DR16:DW16" si="6">ROUND(-0.038,10)</f>
        <v>-3.7999999999999999E-2</v>
      </c>
      <c r="DS16" s="7">
        <f t="shared" si="6"/>
        <v>-3.7999999999999999E-2</v>
      </c>
      <c r="DT16" s="7">
        <f t="shared" si="6"/>
        <v>-3.7999999999999999E-2</v>
      </c>
      <c r="DU16" s="7">
        <f t="shared" si="6"/>
        <v>-3.7999999999999999E-2</v>
      </c>
      <c r="DV16" s="7">
        <f t="shared" si="6"/>
        <v>-3.7999999999999999E-2</v>
      </c>
      <c r="DW16" s="7">
        <f t="shared" si="6"/>
        <v>-3.7999999999999999E-2</v>
      </c>
      <c r="DX16" s="7">
        <f>ROUND(-0.039,10)</f>
        <v>-3.9E-2</v>
      </c>
      <c r="DY16" s="7">
        <f>ROUND(-0.039,10)</f>
        <v>-3.9E-2</v>
      </c>
      <c r="DZ16" s="7">
        <f>ROUND(-0.038,10)</f>
        <v>-3.7999999999999999E-2</v>
      </c>
      <c r="EA16" s="7">
        <f>ROUND(-0.039,10)</f>
        <v>-3.9E-2</v>
      </c>
      <c r="EB16" s="7">
        <f>ROUND(-0.038,10)</f>
        <v>-3.7999999999999999E-2</v>
      </c>
      <c r="EC16" s="7">
        <f>ROUND(-0.039,10)</f>
        <v>-3.9E-2</v>
      </c>
      <c r="ED16" s="7">
        <f>ROUND(-0.039,10)</f>
        <v>-3.9E-2</v>
      </c>
      <c r="EE16" s="7">
        <f>ROUND(-0.038,10)</f>
        <v>-3.7999999999999999E-2</v>
      </c>
      <c r="EF16" s="7">
        <f>ROUND(-0.039,10)</f>
        <v>-3.9E-2</v>
      </c>
      <c r="EG16" s="7">
        <f>ROUND(-0.039,10)</f>
        <v>-3.9E-2</v>
      </c>
      <c r="EH16" s="7">
        <f>ROUND(-0.039,10)</f>
        <v>-3.9E-2</v>
      </c>
      <c r="EI16" s="7">
        <f>ROUND(-0.039,10)</f>
        <v>-3.9E-2</v>
      </c>
      <c r="EJ16" s="7">
        <f>ROUND(-0.038,10)</f>
        <v>-3.7999999999999999E-2</v>
      </c>
      <c r="EK16" s="7">
        <f>ROUND(-0.039,10)</f>
        <v>-3.9E-2</v>
      </c>
      <c r="EL16" s="7">
        <f>ROUND(-0.039,10)</f>
        <v>-3.9E-2</v>
      </c>
      <c r="EM16" s="7">
        <f>ROUND(-0.041,10)</f>
        <v>-4.1000000000000002E-2</v>
      </c>
      <c r="EN16" s="7">
        <f>ROUND(-0.042,10)</f>
        <v>-4.2000000000000003E-2</v>
      </c>
      <c r="EO16" s="7">
        <f>ROUND(-0.043,10)</f>
        <v>-4.2999999999999997E-2</v>
      </c>
      <c r="EP16" s="7">
        <f>ROUND(-0.042,10)</f>
        <v>-4.2000000000000003E-2</v>
      </c>
      <c r="EQ16" s="7">
        <f>ROUND(-0.041,10)</f>
        <v>-4.1000000000000002E-2</v>
      </c>
      <c r="ER16" s="7">
        <f>ROUND(-0.043,10)</f>
        <v>-4.2999999999999997E-2</v>
      </c>
      <c r="ES16" s="7">
        <f>ROUND(-0.044,10)</f>
        <v>-4.3999999999999997E-2</v>
      </c>
      <c r="ET16" s="7">
        <f>ROUND(-0.046,10)</f>
        <v>-4.5999999999999999E-2</v>
      </c>
      <c r="EU16" s="7">
        <f>ROUND(-0.048,10)</f>
        <v>-4.8000000000000001E-2</v>
      </c>
      <c r="EV16" s="7">
        <f>ROUND(-0.049,10)</f>
        <v>-4.9000000000000002E-2</v>
      </c>
      <c r="EW16" s="7">
        <f>ROUND(-0.049,10)</f>
        <v>-4.9000000000000002E-2</v>
      </c>
      <c r="EX16" s="7">
        <f>ROUND(-0.049,10)</f>
        <v>-4.9000000000000002E-2</v>
      </c>
      <c r="EY16" s="7">
        <f>ROUND(-0.049,10)</f>
        <v>-4.9000000000000002E-2</v>
      </c>
      <c r="EZ16" s="7">
        <f>ROUND(-0.05,10)</f>
        <v>-0.05</v>
      </c>
      <c r="FA16" s="7">
        <f>ROUND(-0.051,10)</f>
        <v>-5.0999999999999997E-2</v>
      </c>
      <c r="FB16" s="7">
        <f>ROUND(-0.05,10)</f>
        <v>-0.05</v>
      </c>
      <c r="FC16" s="7">
        <f>ROUND(-0.052,10)</f>
        <v>-5.1999999999999998E-2</v>
      </c>
      <c r="FD16" s="7">
        <f>ROUND(-0.052,10)</f>
        <v>-5.1999999999999998E-2</v>
      </c>
      <c r="FE16" s="7">
        <f>ROUND(-0.053,10)</f>
        <v>-5.2999999999999999E-2</v>
      </c>
      <c r="FF16" s="7">
        <f>ROUND(-0.054,10)</f>
        <v>-5.3999999999999999E-2</v>
      </c>
      <c r="FG16" s="7">
        <f>ROUND(-0.054,10)</f>
        <v>-5.3999999999999999E-2</v>
      </c>
      <c r="FH16" s="7">
        <f>ROUND(-0.054,10)</f>
        <v>-5.3999999999999999E-2</v>
      </c>
      <c r="FI16" s="7">
        <f>ROUND(-0.056,10)</f>
        <v>-5.6000000000000001E-2</v>
      </c>
      <c r="FJ16" s="7">
        <f>ROUND(-0.058,10)</f>
        <v>-5.8000000000000003E-2</v>
      </c>
      <c r="FK16" s="7">
        <f>ROUND(-0.059,10)</f>
        <v>-5.8999999999999997E-2</v>
      </c>
      <c r="FL16" s="7">
        <f>ROUND(-0.059,10)</f>
        <v>-5.8999999999999997E-2</v>
      </c>
      <c r="FM16" s="7">
        <f>ROUND(-0.06,10)</f>
        <v>-0.06</v>
      </c>
      <c r="FN16" s="7">
        <f>ROUND(-0.059,10)</f>
        <v>-5.8999999999999997E-2</v>
      </c>
      <c r="FO16" s="7">
        <f>ROUND(-0.059,10)</f>
        <v>-5.8999999999999997E-2</v>
      </c>
      <c r="FP16" s="7">
        <f>ROUND(-0.061,10)</f>
        <v>-6.0999999999999999E-2</v>
      </c>
      <c r="FQ16" s="7">
        <f>ROUND(-0.061,10)</f>
        <v>-6.0999999999999999E-2</v>
      </c>
      <c r="FR16" s="7">
        <f>ROUND(-0.061,10)</f>
        <v>-6.0999999999999999E-2</v>
      </c>
      <c r="FS16" s="7">
        <f t="shared" ref="FS16:GA16" si="7">ROUND(-0.063,10)</f>
        <v>-6.3E-2</v>
      </c>
      <c r="FT16" s="7">
        <f t="shared" si="7"/>
        <v>-6.3E-2</v>
      </c>
      <c r="FU16" s="7">
        <f t="shared" si="7"/>
        <v>-6.3E-2</v>
      </c>
      <c r="FV16" s="7">
        <f t="shared" si="7"/>
        <v>-6.3E-2</v>
      </c>
      <c r="FW16" s="7">
        <f t="shared" si="7"/>
        <v>-6.3E-2</v>
      </c>
      <c r="FX16" s="7">
        <f t="shared" si="7"/>
        <v>-6.3E-2</v>
      </c>
      <c r="FY16" s="7">
        <f t="shared" si="7"/>
        <v>-6.3E-2</v>
      </c>
      <c r="FZ16" s="7">
        <f t="shared" si="7"/>
        <v>-6.3E-2</v>
      </c>
      <c r="GA16" s="7">
        <f t="shared" si="7"/>
        <v>-6.3E-2</v>
      </c>
      <c r="GB16" s="7">
        <f>ROUND(-0.064,10)</f>
        <v>-6.4000000000000001E-2</v>
      </c>
      <c r="GC16" s="7">
        <f>ROUND(-0.063,10)</f>
        <v>-6.3E-2</v>
      </c>
      <c r="GD16" s="7">
        <f>ROUND(-0.064,10)</f>
        <v>-6.4000000000000001E-2</v>
      </c>
      <c r="GE16" s="7">
        <f>ROUND(-0.066,10)</f>
        <v>-6.6000000000000003E-2</v>
      </c>
      <c r="GF16" s="7">
        <f>ROUND(-0.069,10)</f>
        <v>-6.9000000000000006E-2</v>
      </c>
      <c r="GG16" s="7">
        <f>ROUND(-0.07,10)</f>
        <v>-7.0000000000000007E-2</v>
      </c>
      <c r="GH16" s="7">
        <f>ROUND(-0.07,10)</f>
        <v>-7.0000000000000007E-2</v>
      </c>
      <c r="GI16" s="7">
        <f>ROUND(-0.072,10)</f>
        <v>-7.1999999999999995E-2</v>
      </c>
      <c r="GJ16" s="7">
        <f>ROUND(-0.07,10)</f>
        <v>-7.0000000000000007E-2</v>
      </c>
      <c r="GK16" s="7">
        <f>ROUND(-0.071,10)</f>
        <v>-7.0999999999999994E-2</v>
      </c>
      <c r="GL16" s="7">
        <f>ROUND(-0.071,10)</f>
        <v>-7.0999999999999994E-2</v>
      </c>
      <c r="GM16" s="7">
        <f>ROUND(-0.072,10)</f>
        <v>-7.1999999999999995E-2</v>
      </c>
      <c r="GN16" s="7">
        <f>ROUND(-0.072,10)</f>
        <v>-7.1999999999999995E-2</v>
      </c>
      <c r="GO16" s="7">
        <f>ROUND(-0.072,10)</f>
        <v>-7.1999999999999995E-2</v>
      </c>
      <c r="GP16" s="7">
        <f>ROUND(-0.074,10)</f>
        <v>-7.3999999999999996E-2</v>
      </c>
      <c r="GQ16" s="7">
        <f>ROUND(-0.073,10)</f>
        <v>-7.2999999999999995E-2</v>
      </c>
      <c r="GR16" s="7">
        <f>ROUND(-0.073,10)</f>
        <v>-7.2999999999999995E-2</v>
      </c>
      <c r="GS16" s="7">
        <f>ROUND(-0.073,10)</f>
        <v>-7.2999999999999995E-2</v>
      </c>
      <c r="GT16" s="7">
        <f>ROUND(-0.073,10)</f>
        <v>-7.2999999999999995E-2</v>
      </c>
      <c r="GU16" s="7">
        <f>ROUND(-0.074,10)</f>
        <v>-7.3999999999999996E-2</v>
      </c>
      <c r="GV16" s="7">
        <f>ROUND(-0.076,10)</f>
        <v>-7.5999999999999998E-2</v>
      </c>
      <c r="GW16" s="7">
        <f>ROUND(-0.077,10)</f>
        <v>-7.6999999999999999E-2</v>
      </c>
      <c r="GX16" s="7">
        <f>ROUND(-0.078,10)</f>
        <v>-7.8E-2</v>
      </c>
      <c r="GY16" s="7">
        <f>ROUND(-0.079,10)</f>
        <v>-7.9000000000000001E-2</v>
      </c>
      <c r="GZ16" s="7">
        <f>ROUND(-0.078,10)</f>
        <v>-7.8E-2</v>
      </c>
      <c r="HA16" s="7">
        <f>ROUND(-0.082,10)</f>
        <v>-8.2000000000000003E-2</v>
      </c>
      <c r="HB16" s="7">
        <f>ROUND(-0.083,10)</f>
        <v>-8.3000000000000004E-2</v>
      </c>
      <c r="HC16" s="7">
        <f>ROUND(-0.084,10)</f>
        <v>-8.4000000000000005E-2</v>
      </c>
      <c r="HD16" s="7">
        <f>ROUND(-0.085,10)</f>
        <v>-8.5000000000000006E-2</v>
      </c>
      <c r="HE16" s="7">
        <f>ROUND(-0.085,10)</f>
        <v>-8.5000000000000006E-2</v>
      </c>
      <c r="HF16" s="7">
        <f>ROUND(-0.084,10)</f>
        <v>-8.4000000000000005E-2</v>
      </c>
      <c r="HG16" s="7">
        <f>ROUND(-0.084,10)</f>
        <v>-8.4000000000000005E-2</v>
      </c>
      <c r="HH16" s="7">
        <f>ROUND(-0.086,10)</f>
        <v>-8.5999999999999993E-2</v>
      </c>
      <c r="HI16" s="7">
        <f>ROUND(-0.088,10)</f>
        <v>-8.7999999999999995E-2</v>
      </c>
      <c r="HJ16" s="7">
        <f>ROUND(-0.089,10)</f>
        <v>-8.8999999999999996E-2</v>
      </c>
      <c r="HK16" s="7">
        <f>ROUND(-0.09,10)</f>
        <v>-0.09</v>
      </c>
      <c r="HL16" s="7">
        <f>ROUND(-0.091,10)</f>
        <v>-9.0999999999999998E-2</v>
      </c>
      <c r="HM16" s="7">
        <f>ROUND(-0.096,10)</f>
        <v>-9.6000000000000002E-2</v>
      </c>
      <c r="HN16" s="7">
        <f>ROUND(-0.099,10)</f>
        <v>-9.9000000000000005E-2</v>
      </c>
      <c r="HO16" s="7">
        <f>ROUND(-0.103,10)</f>
        <v>-0.10299999999999999</v>
      </c>
      <c r="HP16" s="7">
        <f>ROUND(-0.103,10)</f>
        <v>-0.10299999999999999</v>
      </c>
      <c r="HQ16" s="7">
        <f>ROUND(-0.103,10)</f>
        <v>-0.10299999999999999</v>
      </c>
      <c r="HR16" s="7">
        <f>ROUND(-0.104,10)</f>
        <v>-0.104</v>
      </c>
      <c r="HS16" s="7">
        <f>ROUND(-0.105,10)</f>
        <v>-0.105</v>
      </c>
      <c r="HT16" s="7">
        <f>ROUND(-0.108,10)</f>
        <v>-0.108</v>
      </c>
      <c r="HU16" s="7">
        <f>ROUND(-0.111,10)</f>
        <v>-0.111</v>
      </c>
      <c r="HV16" s="7">
        <f>ROUND(-0.114,10)</f>
        <v>-0.114</v>
      </c>
      <c r="HW16" s="7">
        <f>ROUND(-0.119,10)</f>
        <v>-0.11899999999999999</v>
      </c>
      <c r="HX16" s="7">
        <f>ROUND(-0.119,10)</f>
        <v>-0.11899999999999999</v>
      </c>
      <c r="HY16" s="7">
        <f>ROUND(-0.125,10)</f>
        <v>-0.125</v>
      </c>
      <c r="HZ16" s="7">
        <f>ROUND(-0.129,10)</f>
        <v>-0.129</v>
      </c>
      <c r="IA16" s="7">
        <f>ROUND(-0.131,10)</f>
        <v>-0.13100000000000001</v>
      </c>
      <c r="IB16" s="7">
        <f>ROUND(-0.133,10)</f>
        <v>-0.13300000000000001</v>
      </c>
      <c r="IC16" s="7">
        <f>ROUND(-0.133,10)</f>
        <v>-0.13300000000000001</v>
      </c>
      <c r="ID16" s="7">
        <f>ROUND(-0.14,10)</f>
        <v>-0.14000000000000001</v>
      </c>
      <c r="IE16" s="7">
        <f>ROUND(-0.137,10)</f>
        <v>-0.13700000000000001</v>
      </c>
      <c r="IF16" s="7">
        <f>ROUND(-0.14,10)</f>
        <v>-0.14000000000000001</v>
      </c>
      <c r="IG16" s="7">
        <f>ROUND(-0.143,10)</f>
        <v>-0.14299999999999999</v>
      </c>
      <c r="IH16" s="7">
        <f>ROUND(-0.144,10)</f>
        <v>-0.14399999999999999</v>
      </c>
      <c r="II16" s="7">
        <f>ROUND(-0.15,10)</f>
        <v>-0.15</v>
      </c>
      <c r="IJ16" s="7">
        <f>ROUND(-0.153,10)</f>
        <v>-0.153</v>
      </c>
      <c r="IK16" s="7">
        <f>ROUND(-0.153,10)</f>
        <v>-0.153</v>
      </c>
      <c r="IL16" s="7">
        <f>ROUND(-0.153,10)</f>
        <v>-0.153</v>
      </c>
      <c r="IM16" s="7">
        <f>ROUND(-0.157,10)</f>
        <v>-0.157</v>
      </c>
      <c r="IN16" s="7">
        <f>ROUND(-0.159,10)</f>
        <v>-0.159</v>
      </c>
      <c r="IO16" s="7">
        <f>ROUND(-0.159,10)</f>
        <v>-0.159</v>
      </c>
      <c r="IP16" s="7">
        <f>ROUND(-0.161,10)</f>
        <v>-0.161</v>
      </c>
      <c r="IQ16" s="7">
        <f>ROUND(-0.162,10)</f>
        <v>-0.16200000000000001</v>
      </c>
      <c r="IR16" s="7">
        <f>ROUND(-0.162,10)</f>
        <v>-0.16200000000000001</v>
      </c>
      <c r="IS16" s="7">
        <f>ROUND(-0.162,10)</f>
        <v>-0.16200000000000001</v>
      </c>
      <c r="IT16" s="7">
        <f>ROUND(-0.162,10)</f>
        <v>-0.16200000000000001</v>
      </c>
      <c r="IU16" s="7">
        <f>ROUND(-0.164,10)</f>
        <v>-0.16400000000000001</v>
      </c>
      <c r="IV16" s="7">
        <f>ROUND(-0.165,10)</f>
        <v>-0.16500000000000001</v>
      </c>
      <c r="IW16" s="7">
        <f>ROUND(-0.165,10)</f>
        <v>-0.16500000000000001</v>
      </c>
    </row>
    <row r="17" spans="1:258">
      <c r="A17" s="6" t="s">
        <v>39</v>
      </c>
      <c r="B17" s="7">
        <f>ROUND(0.076,10)</f>
        <v>7.5999999999999998E-2</v>
      </c>
      <c r="C17" s="7">
        <f>ROUND(0.075,10)</f>
        <v>7.4999999999999997E-2</v>
      </c>
      <c r="D17" s="7">
        <f>ROUND(0.073,10)</f>
        <v>7.2999999999999995E-2</v>
      </c>
      <c r="E17" s="7">
        <f>ROUND(0.07,10)</f>
        <v>7.0000000000000007E-2</v>
      </c>
      <c r="F17" s="7">
        <f>ROUND(0.07,10)</f>
        <v>7.0000000000000007E-2</v>
      </c>
      <c r="G17" s="7">
        <f>ROUND(0.07,10)</f>
        <v>7.0000000000000007E-2</v>
      </c>
      <c r="H17" s="7">
        <f>ROUND(0.071,10)</f>
        <v>7.0999999999999994E-2</v>
      </c>
      <c r="I17" s="7">
        <f>ROUND(0.071,10)</f>
        <v>7.0999999999999994E-2</v>
      </c>
      <c r="J17" s="7">
        <f>ROUND(0.069,10)</f>
        <v>6.9000000000000006E-2</v>
      </c>
      <c r="K17" s="7">
        <f>ROUND(0.069,10)</f>
        <v>6.9000000000000006E-2</v>
      </c>
      <c r="L17" s="7">
        <f>ROUND(0.06,10)</f>
        <v>0.06</v>
      </c>
      <c r="M17" s="7">
        <f>ROUND(0.056,10)</f>
        <v>5.6000000000000001E-2</v>
      </c>
      <c r="N17" s="7">
        <f>ROUND(0.055,10)</f>
        <v>5.5E-2</v>
      </c>
      <c r="O17" s="7">
        <f>ROUND(0.055,10)</f>
        <v>5.5E-2</v>
      </c>
      <c r="P17" s="7">
        <f>ROUND(0.055,10)</f>
        <v>5.5E-2</v>
      </c>
      <c r="Q17" s="7">
        <f>ROUND(0.053,10)</f>
        <v>5.2999999999999999E-2</v>
      </c>
      <c r="R17" s="7">
        <f>ROUND(0.054,10)</f>
        <v>5.3999999999999999E-2</v>
      </c>
      <c r="S17" s="7">
        <f>ROUND(0.055,10)</f>
        <v>5.5E-2</v>
      </c>
      <c r="T17" s="7">
        <f>ROUND(0.053,10)</f>
        <v>5.2999999999999999E-2</v>
      </c>
      <c r="U17" s="7">
        <f>ROUND(0.052,10)</f>
        <v>5.1999999999999998E-2</v>
      </c>
      <c r="V17" s="7">
        <f>ROUND(0.054,10)</f>
        <v>5.3999999999999999E-2</v>
      </c>
      <c r="W17" s="7">
        <f>ROUND(0.055,10)</f>
        <v>5.5E-2</v>
      </c>
      <c r="X17" s="7">
        <f>ROUND(0.055,10)</f>
        <v>5.5E-2</v>
      </c>
      <c r="Y17" s="7">
        <f>ROUND(0.055,10)</f>
        <v>5.5E-2</v>
      </c>
      <c r="Z17" s="7">
        <f>ROUND(0.051,10)</f>
        <v>5.0999999999999997E-2</v>
      </c>
      <c r="AA17" s="7">
        <f>ROUND(0.053,10)</f>
        <v>5.2999999999999999E-2</v>
      </c>
      <c r="AB17" s="7">
        <f>ROUND(0.051,10)</f>
        <v>5.0999999999999997E-2</v>
      </c>
      <c r="AC17" s="7">
        <f>ROUND(0.05,10)</f>
        <v>0.05</v>
      </c>
      <c r="AD17" s="7">
        <f>ROUND(0.049,10)</f>
        <v>4.9000000000000002E-2</v>
      </c>
      <c r="AE17" s="7">
        <f>ROUND(0.048,10)</f>
        <v>4.8000000000000001E-2</v>
      </c>
      <c r="AF17" s="7">
        <f>ROUND(0.048,10)</f>
        <v>4.8000000000000001E-2</v>
      </c>
      <c r="AG17" s="7">
        <f>ROUND(0.048,10)</f>
        <v>4.8000000000000001E-2</v>
      </c>
      <c r="AH17" s="7">
        <f>ROUND(0.047,10)</f>
        <v>4.7E-2</v>
      </c>
      <c r="AI17" s="7">
        <f>ROUND(0.048,10)</f>
        <v>4.8000000000000001E-2</v>
      </c>
      <c r="AJ17" s="7">
        <f>ROUND(0.048,10)</f>
        <v>4.8000000000000001E-2</v>
      </c>
      <c r="AK17" s="7">
        <f>ROUND(0.048,10)</f>
        <v>4.8000000000000001E-2</v>
      </c>
      <c r="AL17" s="7">
        <f>ROUND(0.045,10)</f>
        <v>4.4999999999999998E-2</v>
      </c>
      <c r="AM17" s="7">
        <f>ROUND(0.044,10)</f>
        <v>4.3999999999999997E-2</v>
      </c>
      <c r="AN17" s="7">
        <f>ROUND(0.042,10)</f>
        <v>4.2000000000000003E-2</v>
      </c>
      <c r="AO17" s="7">
        <f>ROUND(0.04,10)</f>
        <v>0.04</v>
      </c>
      <c r="AP17" s="7">
        <f>ROUND(0.039,10)</f>
        <v>3.9E-2</v>
      </c>
      <c r="AQ17" s="7">
        <f>ROUND(0.039,10)</f>
        <v>3.9E-2</v>
      </c>
      <c r="AR17" s="7">
        <f>ROUND(0.038,10)</f>
        <v>3.7999999999999999E-2</v>
      </c>
      <c r="AS17" s="7">
        <f>ROUND(0.038,10)</f>
        <v>3.7999999999999999E-2</v>
      </c>
      <c r="AT17" s="7">
        <f>ROUND(0.036,10)</f>
        <v>3.5999999999999997E-2</v>
      </c>
      <c r="AU17" s="7">
        <f>ROUND(0.036,10)</f>
        <v>3.5999999999999997E-2</v>
      </c>
      <c r="AV17" s="7">
        <f>ROUND(0.035,10)</f>
        <v>3.5000000000000003E-2</v>
      </c>
      <c r="AW17" s="7">
        <f>ROUND(0.032,10)</f>
        <v>3.2000000000000001E-2</v>
      </c>
      <c r="AX17" s="7">
        <f>ROUND(0.029,10)</f>
        <v>2.9000000000000001E-2</v>
      </c>
      <c r="AY17" s="7">
        <f>ROUND(0.027,10)</f>
        <v>2.7E-2</v>
      </c>
      <c r="AZ17" s="7">
        <f>ROUND(0.025,10)</f>
        <v>2.5000000000000001E-2</v>
      </c>
      <c r="BA17" s="7">
        <f>ROUND(0.025,10)</f>
        <v>2.5000000000000001E-2</v>
      </c>
      <c r="BB17" s="7">
        <f>ROUND(0.025,10)</f>
        <v>2.5000000000000001E-2</v>
      </c>
      <c r="BC17" s="7">
        <f>ROUND(0.025,10)</f>
        <v>2.5000000000000001E-2</v>
      </c>
      <c r="BD17" s="7">
        <f>ROUND(0.024,10)</f>
        <v>2.4E-2</v>
      </c>
      <c r="BE17" s="7">
        <f>ROUND(0.021,10)</f>
        <v>2.1000000000000001E-2</v>
      </c>
      <c r="BF17" s="7">
        <f>ROUND(0.022,10)</f>
        <v>2.1999999999999999E-2</v>
      </c>
      <c r="BG17" s="7">
        <f>ROUND(0.021,10)</f>
        <v>2.1000000000000001E-2</v>
      </c>
      <c r="BH17" s="7">
        <f>ROUND(0.021,10)</f>
        <v>2.1000000000000001E-2</v>
      </c>
      <c r="BI17" s="7">
        <f>ROUND(0.021,10)</f>
        <v>2.1000000000000001E-2</v>
      </c>
      <c r="BJ17" s="7">
        <f>ROUND(0.021,10)</f>
        <v>2.1000000000000001E-2</v>
      </c>
      <c r="BK17" s="7">
        <f>ROUND(0.018,10)</f>
        <v>1.7999999999999999E-2</v>
      </c>
      <c r="BL17" s="7">
        <f>ROUND(0.019,10)</f>
        <v>1.9E-2</v>
      </c>
      <c r="BM17" s="7">
        <f>ROUND(0.018,10)</f>
        <v>1.7999999999999999E-2</v>
      </c>
      <c r="BN17" s="7">
        <f>ROUND(0.018,10)</f>
        <v>1.7999999999999999E-2</v>
      </c>
      <c r="BO17" s="7">
        <f>ROUND(0.016,10)</f>
        <v>1.6E-2</v>
      </c>
      <c r="BP17" s="7">
        <f>ROUND(0.014,10)</f>
        <v>1.4E-2</v>
      </c>
      <c r="BQ17" s="7">
        <f>ROUND(0.012,10)</f>
        <v>1.2E-2</v>
      </c>
      <c r="BR17" s="7">
        <f>ROUND(0.012,10)</f>
        <v>1.2E-2</v>
      </c>
      <c r="BS17" s="7">
        <f>ROUND(0.011,10)</f>
        <v>1.0999999999999999E-2</v>
      </c>
      <c r="BT17" s="7">
        <f>ROUND(0.008,10)</f>
        <v>8.0000000000000002E-3</v>
      </c>
      <c r="BU17" s="7">
        <f>ROUND(0.004,10)</f>
        <v>4.0000000000000001E-3</v>
      </c>
      <c r="BV17" s="7">
        <f>ROUND(0.002,10)</f>
        <v>2E-3</v>
      </c>
      <c r="BW17" s="7">
        <f>ROUND(0.001,10)</f>
        <v>1E-3</v>
      </c>
      <c r="BX17" s="7">
        <f>ROUND(0.001,10)</f>
        <v>1E-3</v>
      </c>
      <c r="BY17" s="7">
        <f>ROUND(-0.001,10)</f>
        <v>-1E-3</v>
      </c>
      <c r="BZ17" s="7">
        <f>ROUND(-0.002,10)</f>
        <v>-2E-3</v>
      </c>
      <c r="CA17" s="7">
        <f>ROUND(-0.002,10)</f>
        <v>-2E-3</v>
      </c>
      <c r="CB17" s="7">
        <f>ROUND(-0.001,10)</f>
        <v>-1E-3</v>
      </c>
      <c r="CC17" s="7">
        <f>ROUND(-0.002,10)</f>
        <v>-2E-3</v>
      </c>
      <c r="CD17" s="7">
        <f>ROUND(-0.005,10)</f>
        <v>-5.0000000000000001E-3</v>
      </c>
      <c r="CE17" s="7">
        <f>ROUND(-0.005,10)</f>
        <v>-5.0000000000000001E-3</v>
      </c>
      <c r="CF17" s="7">
        <f>ROUND(-0.005,10)</f>
        <v>-5.0000000000000001E-3</v>
      </c>
      <c r="CG17" s="7">
        <f>ROUND(-0.007,10)</f>
        <v>-7.0000000000000001E-3</v>
      </c>
      <c r="CH17" s="7">
        <f>ROUND(-0.008,10)</f>
        <v>-8.0000000000000002E-3</v>
      </c>
      <c r="CI17" s="7">
        <f>ROUND(-0.008,10)</f>
        <v>-8.0000000000000002E-3</v>
      </c>
      <c r="CJ17" s="7">
        <f t="shared" ref="CJ17:CO17" si="8">ROUND(-0.009,10)</f>
        <v>-8.9999999999999993E-3</v>
      </c>
      <c r="CK17" s="7">
        <f t="shared" si="8"/>
        <v>-8.9999999999999993E-3</v>
      </c>
      <c r="CL17" s="7">
        <f t="shared" si="8"/>
        <v>-8.9999999999999993E-3</v>
      </c>
      <c r="CM17" s="7">
        <f t="shared" si="8"/>
        <v>-8.9999999999999993E-3</v>
      </c>
      <c r="CN17" s="7">
        <f t="shared" si="8"/>
        <v>-8.9999999999999993E-3</v>
      </c>
      <c r="CO17" s="7">
        <f t="shared" si="8"/>
        <v>-8.9999999999999993E-3</v>
      </c>
      <c r="CP17" s="7">
        <f>ROUND(-0.01,10)</f>
        <v>-0.01</v>
      </c>
      <c r="CQ17" s="7">
        <f>ROUND(-0.011,10)</f>
        <v>-1.0999999999999999E-2</v>
      </c>
      <c r="CR17" s="7">
        <f>ROUND(-0.012,10)</f>
        <v>-1.2E-2</v>
      </c>
      <c r="CS17" s="7">
        <f>ROUND(-0.012,10)</f>
        <v>-1.2E-2</v>
      </c>
      <c r="CT17" s="7">
        <f>ROUND(-0.012,10)</f>
        <v>-1.2E-2</v>
      </c>
      <c r="CU17" s="7">
        <f>ROUND(-0.012,10)</f>
        <v>-1.2E-2</v>
      </c>
      <c r="CV17" s="7">
        <f>ROUND(-0.012,10)</f>
        <v>-1.2E-2</v>
      </c>
      <c r="CW17" s="7">
        <f>ROUND(-0.013,10)</f>
        <v>-1.2999999999999999E-2</v>
      </c>
      <c r="CX17" s="7">
        <f>ROUND(-0.013,10)</f>
        <v>-1.2999999999999999E-2</v>
      </c>
      <c r="CY17" s="7">
        <f>ROUND(-0.013,10)</f>
        <v>-1.2999999999999999E-2</v>
      </c>
      <c r="CZ17" s="7">
        <f>ROUND(-0.012,10)</f>
        <v>-1.2E-2</v>
      </c>
      <c r="DA17" s="7">
        <f>ROUND(-0.013,10)</f>
        <v>-1.2999999999999999E-2</v>
      </c>
      <c r="DB17" s="7">
        <f>ROUND(-0.013,10)</f>
        <v>-1.2999999999999999E-2</v>
      </c>
      <c r="DC17" s="7">
        <f>ROUND(-0.014,10)</f>
        <v>-1.4E-2</v>
      </c>
      <c r="DD17" s="7">
        <f>ROUND(-0.013,10)</f>
        <v>-1.2999999999999999E-2</v>
      </c>
      <c r="DE17" s="7">
        <f>ROUND(-0.013,10)</f>
        <v>-1.2999999999999999E-2</v>
      </c>
      <c r="DF17" s="7">
        <f>ROUND(-0.013,10)</f>
        <v>-1.2999999999999999E-2</v>
      </c>
      <c r="DG17" s="7">
        <f>ROUND(-0.013,10)</f>
        <v>-1.2999999999999999E-2</v>
      </c>
      <c r="DH17" s="7">
        <f t="shared" ref="DH17:DR17" si="9">ROUND(-0.014,10)</f>
        <v>-1.4E-2</v>
      </c>
      <c r="DI17" s="7">
        <f t="shared" si="9"/>
        <v>-1.4E-2</v>
      </c>
      <c r="DJ17" s="7">
        <f t="shared" si="9"/>
        <v>-1.4E-2</v>
      </c>
      <c r="DK17" s="7">
        <f t="shared" si="9"/>
        <v>-1.4E-2</v>
      </c>
      <c r="DL17" s="7">
        <f t="shared" si="9"/>
        <v>-1.4E-2</v>
      </c>
      <c r="DM17" s="7">
        <f t="shared" si="9"/>
        <v>-1.4E-2</v>
      </c>
      <c r="DN17" s="7">
        <f t="shared" si="9"/>
        <v>-1.4E-2</v>
      </c>
      <c r="DO17" s="7">
        <f t="shared" si="9"/>
        <v>-1.4E-2</v>
      </c>
      <c r="DP17" s="7">
        <f t="shared" si="9"/>
        <v>-1.4E-2</v>
      </c>
      <c r="DQ17" s="7">
        <f t="shared" si="9"/>
        <v>-1.4E-2</v>
      </c>
      <c r="DR17" s="7">
        <f t="shared" si="9"/>
        <v>-1.4E-2</v>
      </c>
      <c r="DS17" s="7">
        <f>ROUND(-0.015,10)</f>
        <v>-1.4999999999999999E-2</v>
      </c>
      <c r="DT17" s="7">
        <f>ROUND(-0.015,10)</f>
        <v>-1.4999999999999999E-2</v>
      </c>
      <c r="DU17" s="7">
        <f>ROUND(-0.016,10)</f>
        <v>-1.6E-2</v>
      </c>
      <c r="DV17" s="7">
        <f>ROUND(-0.014,10)</f>
        <v>-1.4E-2</v>
      </c>
      <c r="DW17" s="7">
        <f>ROUND(-0.014,10)</f>
        <v>-1.4E-2</v>
      </c>
      <c r="DX17" s="7">
        <f>ROUND(-0.015,10)</f>
        <v>-1.4999999999999999E-2</v>
      </c>
      <c r="DY17" s="7">
        <f>ROUND(-0.015,10)</f>
        <v>-1.4999999999999999E-2</v>
      </c>
      <c r="DZ17" s="7">
        <f>ROUND(-0.016,10)</f>
        <v>-1.6E-2</v>
      </c>
      <c r="EA17" s="7">
        <f>ROUND(-0.018,10)</f>
        <v>-1.7999999999999999E-2</v>
      </c>
      <c r="EB17" s="7">
        <f>ROUND(-0.018,10)</f>
        <v>-1.7999999999999999E-2</v>
      </c>
      <c r="EC17" s="7">
        <f>ROUND(-0.018,10)</f>
        <v>-1.7999999999999999E-2</v>
      </c>
      <c r="ED17" s="7">
        <f>ROUND(-0.018,10)</f>
        <v>-1.7999999999999999E-2</v>
      </c>
      <c r="EE17" s="7">
        <f t="shared" ref="EE17:EN17" si="10">ROUND(-0.019,10)</f>
        <v>-1.9E-2</v>
      </c>
      <c r="EF17" s="7">
        <f t="shared" si="10"/>
        <v>-1.9E-2</v>
      </c>
      <c r="EG17" s="7">
        <f t="shared" si="10"/>
        <v>-1.9E-2</v>
      </c>
      <c r="EH17" s="7">
        <f t="shared" si="10"/>
        <v>-1.9E-2</v>
      </c>
      <c r="EI17" s="7">
        <f t="shared" si="10"/>
        <v>-1.9E-2</v>
      </c>
      <c r="EJ17" s="7">
        <f t="shared" si="10"/>
        <v>-1.9E-2</v>
      </c>
      <c r="EK17" s="7">
        <f t="shared" si="10"/>
        <v>-1.9E-2</v>
      </c>
      <c r="EL17" s="7">
        <f t="shared" si="10"/>
        <v>-1.9E-2</v>
      </c>
      <c r="EM17" s="7">
        <f t="shared" si="10"/>
        <v>-1.9E-2</v>
      </c>
      <c r="EN17" s="7">
        <f t="shared" si="10"/>
        <v>-1.9E-2</v>
      </c>
      <c r="EO17" s="7">
        <f>ROUND(-0.02,10)</f>
        <v>-0.02</v>
      </c>
      <c r="EP17" s="7">
        <f>ROUND(-0.021,10)</f>
        <v>-2.1000000000000001E-2</v>
      </c>
      <c r="EQ17" s="7">
        <f>ROUND(-0.022,10)</f>
        <v>-2.1999999999999999E-2</v>
      </c>
      <c r="ER17" s="7">
        <f>ROUND(-0.023,10)</f>
        <v>-2.3E-2</v>
      </c>
      <c r="ES17" s="7">
        <f>ROUND(-0.023,10)</f>
        <v>-2.3E-2</v>
      </c>
      <c r="ET17" s="7">
        <f>ROUND(-0.023,10)</f>
        <v>-2.3E-2</v>
      </c>
      <c r="EU17" s="7">
        <f>ROUND(-0.023,10)</f>
        <v>-2.3E-2</v>
      </c>
      <c r="EV17" s="7">
        <f t="shared" ref="EV17:FB17" si="11">ROUND(-0.024,10)</f>
        <v>-2.4E-2</v>
      </c>
      <c r="EW17" s="7">
        <f t="shared" si="11"/>
        <v>-2.4E-2</v>
      </c>
      <c r="EX17" s="7">
        <f t="shared" si="11"/>
        <v>-2.4E-2</v>
      </c>
      <c r="EY17" s="7">
        <f t="shared" si="11"/>
        <v>-2.4E-2</v>
      </c>
      <c r="EZ17" s="7">
        <f t="shared" si="11"/>
        <v>-2.4E-2</v>
      </c>
      <c r="FA17" s="7">
        <f t="shared" si="11"/>
        <v>-2.4E-2</v>
      </c>
      <c r="FB17" s="7">
        <f t="shared" si="11"/>
        <v>-2.4E-2</v>
      </c>
      <c r="FC17" s="7">
        <f>ROUND(-0.025,10)</f>
        <v>-2.5000000000000001E-2</v>
      </c>
      <c r="FD17" s="7">
        <f>ROUND(-0.027,10)</f>
        <v>-2.7E-2</v>
      </c>
      <c r="FE17" s="7">
        <f>ROUND(-0.028,10)</f>
        <v>-2.8000000000000001E-2</v>
      </c>
      <c r="FF17" s="7">
        <f>ROUND(-0.029,10)</f>
        <v>-2.9000000000000001E-2</v>
      </c>
      <c r="FG17" s="7">
        <f>ROUND(-0.03,10)</f>
        <v>-0.03</v>
      </c>
      <c r="FH17" s="7">
        <f>ROUND(-0.031,10)</f>
        <v>-3.1E-2</v>
      </c>
      <c r="FI17" s="7">
        <f>ROUND(-0.032,10)</f>
        <v>-3.2000000000000001E-2</v>
      </c>
      <c r="FJ17" s="7">
        <f t="shared" ref="FJ17:FQ17" si="12">ROUND(-0.033,10)</f>
        <v>-3.3000000000000002E-2</v>
      </c>
      <c r="FK17" s="7">
        <f t="shared" si="12"/>
        <v>-3.3000000000000002E-2</v>
      </c>
      <c r="FL17" s="7">
        <f t="shared" si="12"/>
        <v>-3.3000000000000002E-2</v>
      </c>
      <c r="FM17" s="7">
        <f t="shared" si="12"/>
        <v>-3.3000000000000002E-2</v>
      </c>
      <c r="FN17" s="7">
        <f t="shared" si="12"/>
        <v>-3.3000000000000002E-2</v>
      </c>
      <c r="FO17" s="7">
        <f t="shared" si="12"/>
        <v>-3.3000000000000002E-2</v>
      </c>
      <c r="FP17" s="7">
        <f t="shared" si="12"/>
        <v>-3.3000000000000002E-2</v>
      </c>
      <c r="FQ17" s="7">
        <f t="shared" si="12"/>
        <v>-3.3000000000000002E-2</v>
      </c>
      <c r="FR17" s="7">
        <f>ROUND(-0.034,10)</f>
        <v>-3.4000000000000002E-2</v>
      </c>
      <c r="FS17" s="7">
        <f>ROUND(-0.034,10)</f>
        <v>-3.4000000000000002E-2</v>
      </c>
      <c r="FT17" s="7">
        <f>ROUND(-0.035,10)</f>
        <v>-3.5000000000000003E-2</v>
      </c>
      <c r="FU17" s="7">
        <f>ROUND(-0.035,10)</f>
        <v>-3.5000000000000003E-2</v>
      </c>
      <c r="FV17" s="7">
        <f>ROUND(-0.036,10)</f>
        <v>-3.5999999999999997E-2</v>
      </c>
      <c r="FW17" s="7">
        <f>ROUND(-0.038,10)</f>
        <v>-3.7999999999999999E-2</v>
      </c>
      <c r="FX17" s="7">
        <f>ROUND(-0.038,10)</f>
        <v>-3.7999999999999999E-2</v>
      </c>
      <c r="FY17" s="7">
        <f>ROUND(-0.036,10)</f>
        <v>-3.5999999999999997E-2</v>
      </c>
      <c r="FZ17" s="7">
        <f>ROUND(-0.037,10)</f>
        <v>-3.6999999999999998E-2</v>
      </c>
      <c r="GA17" s="7">
        <f>ROUND(-0.037,10)</f>
        <v>-3.6999999999999998E-2</v>
      </c>
      <c r="GB17" s="7">
        <f>ROUND(-0.037,10)</f>
        <v>-3.6999999999999998E-2</v>
      </c>
      <c r="GC17" s="7">
        <f>ROUND(-0.038,10)</f>
        <v>-3.7999999999999999E-2</v>
      </c>
      <c r="GD17" s="7">
        <f>ROUND(-0.039,10)</f>
        <v>-3.9E-2</v>
      </c>
      <c r="GE17" s="7">
        <f>ROUND(-0.039,10)</f>
        <v>-3.9E-2</v>
      </c>
      <c r="GF17" s="7">
        <f>ROUND(-0.04,10)</f>
        <v>-0.04</v>
      </c>
      <c r="GG17" s="7">
        <f>ROUND(-0.041,10)</f>
        <v>-4.1000000000000002E-2</v>
      </c>
      <c r="GH17" s="7">
        <f>ROUND(-0.041,10)</f>
        <v>-4.1000000000000002E-2</v>
      </c>
      <c r="GI17" s="7">
        <f>ROUND(-0.041,10)</f>
        <v>-4.1000000000000002E-2</v>
      </c>
      <c r="GJ17" s="7">
        <f>ROUND(-0.04,10)</f>
        <v>-0.04</v>
      </c>
      <c r="GK17" s="7">
        <f>ROUND(-0.043,10)</f>
        <v>-4.2999999999999997E-2</v>
      </c>
      <c r="GL17" s="7">
        <f>ROUND(-0.044,10)</f>
        <v>-4.3999999999999997E-2</v>
      </c>
      <c r="GM17" s="7">
        <f>ROUND(-0.046,10)</f>
        <v>-4.5999999999999999E-2</v>
      </c>
      <c r="GN17" s="7">
        <f>ROUND(-0.046,10)</f>
        <v>-4.5999999999999999E-2</v>
      </c>
      <c r="GO17" s="7">
        <f>ROUND(-0.046,10)</f>
        <v>-4.5999999999999999E-2</v>
      </c>
      <c r="GP17" s="7">
        <f>ROUND(-0.048,10)</f>
        <v>-4.8000000000000001E-2</v>
      </c>
      <c r="GQ17" s="7">
        <f>ROUND(-0.049,10)</f>
        <v>-4.9000000000000002E-2</v>
      </c>
      <c r="GR17" s="7">
        <f>ROUND(-0.049,10)</f>
        <v>-4.9000000000000002E-2</v>
      </c>
      <c r="GS17" s="7">
        <f>ROUND(-0.049,10)</f>
        <v>-4.9000000000000002E-2</v>
      </c>
      <c r="GT17" s="7">
        <f>ROUND(-0.049,10)</f>
        <v>-4.9000000000000002E-2</v>
      </c>
      <c r="GU17" s="7">
        <f>ROUND(-0.052,10)</f>
        <v>-5.1999999999999998E-2</v>
      </c>
      <c r="GV17" s="7">
        <f>ROUND(-0.051,10)</f>
        <v>-5.0999999999999997E-2</v>
      </c>
      <c r="GW17" s="7">
        <f>ROUND(-0.054,10)</f>
        <v>-5.3999999999999999E-2</v>
      </c>
      <c r="GX17" s="7">
        <f>ROUND(-0.053,10)</f>
        <v>-5.2999999999999999E-2</v>
      </c>
      <c r="GY17" s="7">
        <f>ROUND(-0.053,10)</f>
        <v>-5.2999999999999999E-2</v>
      </c>
      <c r="GZ17" s="7">
        <f>ROUND(-0.053,10)</f>
        <v>-5.2999999999999999E-2</v>
      </c>
      <c r="HA17" s="7">
        <f>ROUND(-0.061,10)</f>
        <v>-6.0999999999999999E-2</v>
      </c>
      <c r="HB17" s="7">
        <f>ROUND(-0.064,10)</f>
        <v>-6.4000000000000001E-2</v>
      </c>
      <c r="HC17" s="7">
        <f>ROUND(-0.066,10)</f>
        <v>-6.6000000000000003E-2</v>
      </c>
      <c r="HD17" s="7">
        <f>ROUND(-0.067,10)</f>
        <v>-6.7000000000000004E-2</v>
      </c>
      <c r="HE17" s="7">
        <f>ROUND(-0.068,10)</f>
        <v>-6.8000000000000005E-2</v>
      </c>
      <c r="HF17" s="7">
        <f>ROUND(-0.068,10)</f>
        <v>-6.8000000000000005E-2</v>
      </c>
      <c r="HG17" s="7">
        <f>ROUND(-0.066,10)</f>
        <v>-6.6000000000000003E-2</v>
      </c>
      <c r="HH17" s="7">
        <f>ROUND(-0.069,10)</f>
        <v>-6.9000000000000006E-2</v>
      </c>
      <c r="HI17" s="7">
        <f>ROUND(-0.069,10)</f>
        <v>-6.9000000000000006E-2</v>
      </c>
      <c r="HJ17" s="7">
        <f>ROUND(-0.071,10)</f>
        <v>-7.0999999999999994E-2</v>
      </c>
      <c r="HK17" s="7">
        <f>ROUND(-0.073,10)</f>
        <v>-7.2999999999999995E-2</v>
      </c>
      <c r="HL17" s="7">
        <f>ROUND(-0.073,10)</f>
        <v>-7.2999999999999995E-2</v>
      </c>
      <c r="HM17" s="7">
        <f>ROUND(-0.077,10)</f>
        <v>-7.6999999999999999E-2</v>
      </c>
      <c r="HN17" s="7">
        <f>ROUND(-0.079,10)</f>
        <v>-7.9000000000000001E-2</v>
      </c>
      <c r="HO17" s="7">
        <f>ROUND(-0.081,10)</f>
        <v>-8.1000000000000003E-2</v>
      </c>
      <c r="HP17" s="7">
        <f>ROUND(-0.083,10)</f>
        <v>-8.3000000000000004E-2</v>
      </c>
      <c r="HQ17" s="7">
        <f>ROUND(-0.086,10)</f>
        <v>-8.5999999999999993E-2</v>
      </c>
      <c r="HR17" s="7">
        <f>ROUND(-0.091,10)</f>
        <v>-9.0999999999999998E-2</v>
      </c>
      <c r="HS17" s="7">
        <f>ROUND(-0.092,10)</f>
        <v>-9.1999999999999998E-2</v>
      </c>
      <c r="HT17" s="7">
        <f>ROUND(-0.092,10)</f>
        <v>-9.1999999999999998E-2</v>
      </c>
      <c r="HU17" s="7">
        <f>ROUND(-0.095,10)</f>
        <v>-9.5000000000000001E-2</v>
      </c>
      <c r="HV17" s="7">
        <f>ROUND(-0.099,10)</f>
        <v>-9.9000000000000005E-2</v>
      </c>
      <c r="HW17" s="7">
        <f>ROUND(-0.104,10)</f>
        <v>-0.104</v>
      </c>
      <c r="HX17" s="7">
        <f>ROUND(-0.104,10)</f>
        <v>-0.104</v>
      </c>
      <c r="HY17" s="7">
        <f>ROUND(-0.109,10)</f>
        <v>-0.109</v>
      </c>
      <c r="HZ17" s="7">
        <f>ROUND(-0.113,10)</f>
        <v>-0.113</v>
      </c>
      <c r="IA17" s="7">
        <f>ROUND(-0.114,10)</f>
        <v>-0.114</v>
      </c>
      <c r="IB17" s="7">
        <f>ROUND(-0.116,10)</f>
        <v>-0.11600000000000001</v>
      </c>
      <c r="IC17" s="7">
        <f>ROUND(-0.118,10)</f>
        <v>-0.11799999999999999</v>
      </c>
      <c r="ID17" s="7">
        <f>ROUND(-0.124,10)</f>
        <v>-0.124</v>
      </c>
      <c r="IE17" s="7">
        <f>ROUND(-0.113,10)</f>
        <v>-0.113</v>
      </c>
      <c r="IF17" s="7">
        <f>ROUND(-0.113,10)</f>
        <v>-0.113</v>
      </c>
      <c r="IG17" s="7">
        <f>ROUND(-0.116,10)</f>
        <v>-0.11600000000000001</v>
      </c>
      <c r="IH17" s="7">
        <f>ROUND(-0.119,10)</f>
        <v>-0.11899999999999999</v>
      </c>
      <c r="II17" s="7">
        <f>ROUND(-0.125,10)</f>
        <v>-0.125</v>
      </c>
      <c r="IJ17" s="7">
        <f>ROUND(-0.128,10)</f>
        <v>-0.128</v>
      </c>
      <c r="IK17" s="7">
        <f>ROUND(-0.129,10)</f>
        <v>-0.129</v>
      </c>
      <c r="IL17" s="7">
        <f>ROUND(-0.132,10)</f>
        <v>-0.13200000000000001</v>
      </c>
      <c r="IM17" s="7">
        <f>ROUND(-0.133,10)</f>
        <v>-0.13300000000000001</v>
      </c>
      <c r="IN17" s="7">
        <f>ROUND(-0.133,10)</f>
        <v>-0.13300000000000001</v>
      </c>
      <c r="IO17" s="7">
        <f>ROUND(-0.131,10)</f>
        <v>-0.13100000000000001</v>
      </c>
      <c r="IP17" s="7">
        <f>ROUND(-0.13,10)</f>
        <v>-0.13</v>
      </c>
      <c r="IQ17" s="7">
        <f>ROUND(-0.131,10)</f>
        <v>-0.13100000000000001</v>
      </c>
      <c r="IR17" s="7">
        <f>ROUND(-0.131,10)</f>
        <v>-0.13100000000000001</v>
      </c>
      <c r="IS17" s="7">
        <f>ROUND(-0.131,10)</f>
        <v>-0.13100000000000001</v>
      </c>
      <c r="IT17" s="7">
        <f>ROUND(-0.131,10)</f>
        <v>-0.13100000000000001</v>
      </c>
      <c r="IU17" s="7">
        <f>ROUND(-0.132,10)</f>
        <v>-0.13200000000000001</v>
      </c>
      <c r="IV17" s="7">
        <f>ROUND(-0.132,10)</f>
        <v>-0.13200000000000001</v>
      </c>
      <c r="IW17" s="7">
        <f>ROUND(-0.131,10)</f>
        <v>-0.13100000000000001</v>
      </c>
    </row>
    <row r="18" spans="1:258">
      <c r="A18" s="6" t="s">
        <v>40</v>
      </c>
      <c r="B18" s="7">
        <f>ROUND(0.169,10)</f>
        <v>0.16900000000000001</v>
      </c>
      <c r="C18" s="7">
        <f>ROUND(0.169,10)</f>
        <v>0.16900000000000001</v>
      </c>
      <c r="D18" s="7">
        <f>ROUND(0.168,10)</f>
        <v>0.16800000000000001</v>
      </c>
      <c r="E18" s="7">
        <f>ROUND(0.168,10)</f>
        <v>0.16800000000000001</v>
      </c>
      <c r="F18" s="7">
        <f>ROUND(0.167,10)</f>
        <v>0.16700000000000001</v>
      </c>
      <c r="G18" s="7">
        <f>ROUND(0.168,10)</f>
        <v>0.16800000000000001</v>
      </c>
      <c r="H18" s="7">
        <f>ROUND(0.167,10)</f>
        <v>0.16700000000000001</v>
      </c>
      <c r="I18" s="7">
        <f>ROUND(0.166,10)</f>
        <v>0.16600000000000001</v>
      </c>
      <c r="J18" s="7">
        <f>ROUND(0.162,10)</f>
        <v>0.16200000000000001</v>
      </c>
      <c r="K18" s="7">
        <f>ROUND(0.161,10)</f>
        <v>0.161</v>
      </c>
      <c r="L18" s="7">
        <f>ROUND(0.152,10)</f>
        <v>0.152</v>
      </c>
      <c r="M18" s="7">
        <f>ROUND(0.145,10)</f>
        <v>0.14499999999999999</v>
      </c>
      <c r="N18" s="7">
        <f>ROUND(0.142,10)</f>
        <v>0.14199999999999999</v>
      </c>
      <c r="O18" s="7">
        <f>ROUND(0.141,10)</f>
        <v>0.14099999999999999</v>
      </c>
      <c r="P18" s="7">
        <f>ROUND(0.141,10)</f>
        <v>0.14099999999999999</v>
      </c>
      <c r="Q18" s="7">
        <f>ROUND(0.137,10)</f>
        <v>0.13700000000000001</v>
      </c>
      <c r="R18" s="7">
        <f>ROUND(0.138,10)</f>
        <v>0.13800000000000001</v>
      </c>
      <c r="S18" s="7">
        <f>ROUND(0.138,10)</f>
        <v>0.13800000000000001</v>
      </c>
      <c r="T18" s="7">
        <f>ROUND(0.135,10)</f>
        <v>0.13500000000000001</v>
      </c>
      <c r="U18" s="7">
        <f>ROUND(0.132,10)</f>
        <v>0.13200000000000001</v>
      </c>
      <c r="V18" s="7">
        <f>ROUND(0.132,10)</f>
        <v>0.13200000000000001</v>
      </c>
      <c r="W18" s="7">
        <f>ROUND(0.134,10)</f>
        <v>0.13400000000000001</v>
      </c>
      <c r="X18" s="7">
        <f>ROUND(0.132,10)</f>
        <v>0.13200000000000001</v>
      </c>
      <c r="Y18" s="7">
        <f>ROUND(0.132,10)</f>
        <v>0.13200000000000001</v>
      </c>
      <c r="Z18" s="7">
        <f>ROUND(0.132,10)</f>
        <v>0.13200000000000001</v>
      </c>
      <c r="AA18" s="7">
        <f>ROUND(0.132,10)</f>
        <v>0.13200000000000001</v>
      </c>
      <c r="AB18" s="7">
        <f>ROUND(0.131,10)</f>
        <v>0.13100000000000001</v>
      </c>
      <c r="AC18" s="7">
        <f>ROUND(0.13,10)</f>
        <v>0.13</v>
      </c>
      <c r="AD18" s="7">
        <f>ROUND(0.129,10)</f>
        <v>0.129</v>
      </c>
      <c r="AE18" s="7">
        <f>ROUND(0.128,10)</f>
        <v>0.128</v>
      </c>
      <c r="AF18" s="7">
        <f>ROUND(0.127,10)</f>
        <v>0.127</v>
      </c>
      <c r="AG18" s="7">
        <f>ROUND(0.128,10)</f>
        <v>0.128</v>
      </c>
      <c r="AH18" s="7">
        <f>ROUND(0.127,10)</f>
        <v>0.127</v>
      </c>
      <c r="AI18" s="7">
        <f>ROUND(0.126,10)</f>
        <v>0.126</v>
      </c>
      <c r="AJ18" s="7">
        <f>ROUND(0.125,10)</f>
        <v>0.125</v>
      </c>
      <c r="AK18" s="7">
        <f>ROUND(0.124,10)</f>
        <v>0.124</v>
      </c>
      <c r="AL18" s="7">
        <f>ROUND(0.119,10)</f>
        <v>0.11899999999999999</v>
      </c>
      <c r="AM18" s="7">
        <f>ROUND(0.119,10)</f>
        <v>0.11899999999999999</v>
      </c>
      <c r="AN18" s="7">
        <f>ROUND(0.118,10)</f>
        <v>0.11799999999999999</v>
      </c>
      <c r="AO18" s="7">
        <f>ROUND(0.114,10)</f>
        <v>0.114</v>
      </c>
      <c r="AP18" s="7">
        <f>ROUND(0.11,10)</f>
        <v>0.11</v>
      </c>
      <c r="AQ18" s="7">
        <f>ROUND(0.11,10)</f>
        <v>0.11</v>
      </c>
      <c r="AR18" s="7">
        <f>ROUND(0.109,10)</f>
        <v>0.109</v>
      </c>
      <c r="AS18" s="7">
        <f>ROUND(0.11,10)</f>
        <v>0.11</v>
      </c>
      <c r="AT18" s="7">
        <f>ROUND(0.108,10)</f>
        <v>0.108</v>
      </c>
      <c r="AU18" s="7">
        <f>ROUND(0.107,10)</f>
        <v>0.107</v>
      </c>
      <c r="AV18" s="7">
        <f>ROUND(0.105,10)</f>
        <v>0.105</v>
      </c>
      <c r="AW18" s="7">
        <f>ROUND(0.102,10)</f>
        <v>0.10199999999999999</v>
      </c>
      <c r="AX18" s="7">
        <f>ROUND(0.099,10)</f>
        <v>9.9000000000000005E-2</v>
      </c>
      <c r="AY18" s="7">
        <f>ROUND(0.098,10)</f>
        <v>9.8000000000000004E-2</v>
      </c>
      <c r="AZ18" s="7">
        <f>ROUND(0.096,10)</f>
        <v>9.6000000000000002E-2</v>
      </c>
      <c r="BA18" s="7">
        <f>ROUND(0.096,10)</f>
        <v>9.6000000000000002E-2</v>
      </c>
      <c r="BB18" s="7">
        <f>ROUND(0.095,10)</f>
        <v>9.5000000000000001E-2</v>
      </c>
      <c r="BC18" s="7">
        <f>ROUND(0.096,10)</f>
        <v>9.6000000000000002E-2</v>
      </c>
      <c r="BD18" s="7">
        <f>ROUND(0.094,10)</f>
        <v>9.4E-2</v>
      </c>
      <c r="BE18" s="7">
        <f>ROUND(0.089,10)</f>
        <v>8.8999999999999996E-2</v>
      </c>
      <c r="BF18" s="7">
        <f>ROUND(0.089,10)</f>
        <v>8.8999999999999996E-2</v>
      </c>
      <c r="BG18" s="7">
        <f>ROUND(0.089,10)</f>
        <v>8.8999999999999996E-2</v>
      </c>
      <c r="BH18" s="7">
        <f>ROUND(0.088,10)</f>
        <v>8.7999999999999995E-2</v>
      </c>
      <c r="BI18" s="7">
        <f>ROUND(0.089,10)</f>
        <v>8.8999999999999996E-2</v>
      </c>
      <c r="BJ18" s="7">
        <f>ROUND(0.088,10)</f>
        <v>8.7999999999999995E-2</v>
      </c>
      <c r="BK18" s="7">
        <f>ROUND(0.087,10)</f>
        <v>8.6999999999999994E-2</v>
      </c>
      <c r="BL18" s="7">
        <f>ROUND(0.087,10)</f>
        <v>8.6999999999999994E-2</v>
      </c>
      <c r="BM18" s="7">
        <f>ROUND(0.088,10)</f>
        <v>8.7999999999999995E-2</v>
      </c>
      <c r="BN18" s="7">
        <f>ROUND(0.086,10)</f>
        <v>8.5999999999999993E-2</v>
      </c>
      <c r="BO18" s="7">
        <f>ROUND(0.085,10)</f>
        <v>8.5000000000000006E-2</v>
      </c>
      <c r="BP18" s="7">
        <f>ROUND(0.081,10)</f>
        <v>8.1000000000000003E-2</v>
      </c>
      <c r="BQ18" s="7">
        <f>ROUND(0.081,10)</f>
        <v>8.1000000000000003E-2</v>
      </c>
      <c r="BR18" s="7">
        <f>ROUND(0.079,10)</f>
        <v>7.9000000000000001E-2</v>
      </c>
      <c r="BS18" s="7">
        <f>ROUND(0.078,10)</f>
        <v>7.8E-2</v>
      </c>
      <c r="BT18" s="7">
        <f>ROUND(0.076,10)</f>
        <v>7.5999999999999998E-2</v>
      </c>
      <c r="BU18" s="7">
        <f>ROUND(0.072,10)</f>
        <v>7.1999999999999995E-2</v>
      </c>
      <c r="BV18" s="7">
        <f>ROUND(0.07,10)</f>
        <v>7.0000000000000007E-2</v>
      </c>
      <c r="BW18" s="7">
        <f>ROUND(0.068,10)</f>
        <v>6.8000000000000005E-2</v>
      </c>
      <c r="BX18" s="7">
        <f>ROUND(0.069,10)</f>
        <v>6.9000000000000006E-2</v>
      </c>
      <c r="BY18" s="7">
        <f>ROUND(0.069,10)</f>
        <v>6.9000000000000006E-2</v>
      </c>
      <c r="BZ18" s="7">
        <f>ROUND(0.068,10)</f>
        <v>6.8000000000000005E-2</v>
      </c>
      <c r="CA18" s="7">
        <f>ROUND(0.066,10)</f>
        <v>6.6000000000000003E-2</v>
      </c>
      <c r="CB18" s="7">
        <f>ROUND(0.066,10)</f>
        <v>6.6000000000000003E-2</v>
      </c>
      <c r="CC18" s="7">
        <f>ROUND(0.067,10)</f>
        <v>6.7000000000000004E-2</v>
      </c>
      <c r="CD18" s="7">
        <f>ROUND(0.062,10)</f>
        <v>6.2E-2</v>
      </c>
      <c r="CE18" s="7">
        <f>ROUND(0.061,10)</f>
        <v>6.0999999999999999E-2</v>
      </c>
      <c r="CF18" s="7">
        <f>ROUND(0.064,10)</f>
        <v>6.4000000000000001E-2</v>
      </c>
      <c r="CG18" s="7">
        <f>ROUND(0.064,10)</f>
        <v>6.4000000000000001E-2</v>
      </c>
      <c r="CH18" s="7">
        <f>ROUND(0.061,10)</f>
        <v>6.0999999999999999E-2</v>
      </c>
      <c r="CI18" s="7">
        <f>ROUND(0.062,10)</f>
        <v>6.2E-2</v>
      </c>
      <c r="CJ18" s="7">
        <f>ROUND(0.061,10)</f>
        <v>6.0999999999999999E-2</v>
      </c>
      <c r="CK18" s="7">
        <f>ROUND(0.061,10)</f>
        <v>6.0999999999999999E-2</v>
      </c>
      <c r="CL18" s="7">
        <f>ROUND(0.061,10)</f>
        <v>6.0999999999999999E-2</v>
      </c>
      <c r="CM18" s="7">
        <f>ROUND(0.061,10)</f>
        <v>6.0999999999999999E-2</v>
      </c>
      <c r="CN18" s="7">
        <f>ROUND(0.06,10)</f>
        <v>0.06</v>
      </c>
      <c r="CO18" s="7">
        <f>ROUND(0.059,10)</f>
        <v>5.8999999999999997E-2</v>
      </c>
      <c r="CP18" s="7">
        <f>ROUND(0.058,10)</f>
        <v>5.8000000000000003E-2</v>
      </c>
      <c r="CQ18" s="7">
        <f>ROUND(0.056,10)</f>
        <v>5.6000000000000001E-2</v>
      </c>
      <c r="CR18" s="7">
        <f>ROUND(0.057,10)</f>
        <v>5.7000000000000002E-2</v>
      </c>
      <c r="CS18" s="7">
        <f>ROUND(0.055,10)</f>
        <v>5.5E-2</v>
      </c>
      <c r="CT18" s="7">
        <f>ROUND(0.054,10)</f>
        <v>5.3999999999999999E-2</v>
      </c>
      <c r="CU18" s="7">
        <f>ROUND(0.054,10)</f>
        <v>5.3999999999999999E-2</v>
      </c>
      <c r="CV18" s="7">
        <f>ROUND(0.054,10)</f>
        <v>5.3999999999999999E-2</v>
      </c>
      <c r="CW18" s="7">
        <f>ROUND(0.052,10)</f>
        <v>5.1999999999999998E-2</v>
      </c>
      <c r="CX18" s="7">
        <f>ROUND(0.05,10)</f>
        <v>0.05</v>
      </c>
      <c r="CY18" s="7">
        <f>ROUND(0.049,10)</f>
        <v>4.9000000000000002E-2</v>
      </c>
      <c r="CZ18" s="7">
        <f>ROUND(0.049,10)</f>
        <v>4.9000000000000002E-2</v>
      </c>
      <c r="DA18" s="7">
        <f>ROUND(0.049,10)</f>
        <v>4.9000000000000002E-2</v>
      </c>
      <c r="DB18" s="7">
        <f>ROUND(0.048,10)</f>
        <v>4.8000000000000001E-2</v>
      </c>
      <c r="DC18" s="7">
        <f>ROUND(0.048,10)</f>
        <v>4.8000000000000001E-2</v>
      </c>
      <c r="DD18" s="7">
        <f>ROUND(0.049,10)</f>
        <v>4.9000000000000002E-2</v>
      </c>
      <c r="DE18" s="7">
        <f>ROUND(0.05,10)</f>
        <v>0.05</v>
      </c>
      <c r="DF18" s="7">
        <f>ROUND(0.049,10)</f>
        <v>4.9000000000000002E-2</v>
      </c>
      <c r="DG18" s="7">
        <f>ROUND(0.049,10)</f>
        <v>4.9000000000000002E-2</v>
      </c>
      <c r="DH18" s="7">
        <f>ROUND(0.049,10)</f>
        <v>4.9000000000000002E-2</v>
      </c>
      <c r="DI18" s="7">
        <f>ROUND(0.049,10)</f>
        <v>4.9000000000000002E-2</v>
      </c>
      <c r="DJ18" s="7">
        <f>ROUND(0.05,10)</f>
        <v>0.05</v>
      </c>
      <c r="DK18" s="7">
        <f>ROUND(0.049,10)</f>
        <v>4.9000000000000002E-2</v>
      </c>
      <c r="DL18" s="7">
        <f>ROUND(0.051,10)</f>
        <v>5.0999999999999997E-2</v>
      </c>
      <c r="DM18" s="7">
        <f>ROUND(0.049,10)</f>
        <v>4.9000000000000002E-2</v>
      </c>
      <c r="DN18" s="7">
        <f>ROUND(0.049,10)</f>
        <v>4.9000000000000002E-2</v>
      </c>
      <c r="DO18" s="7">
        <f>ROUND(0.05,10)</f>
        <v>0.05</v>
      </c>
      <c r="DP18" s="7">
        <f>ROUND(0.048,10)</f>
        <v>4.8000000000000001E-2</v>
      </c>
      <c r="DQ18" s="7">
        <f>ROUND(0.048,10)</f>
        <v>4.8000000000000001E-2</v>
      </c>
      <c r="DR18" s="7">
        <f>ROUND(0.049,10)</f>
        <v>4.9000000000000002E-2</v>
      </c>
      <c r="DS18" s="7">
        <f>ROUND(0.049,10)</f>
        <v>4.9000000000000002E-2</v>
      </c>
      <c r="DT18" s="7">
        <f>ROUND(0.05,10)</f>
        <v>0.05</v>
      </c>
      <c r="DU18" s="7">
        <f>ROUND(0.05,10)</f>
        <v>0.05</v>
      </c>
      <c r="DV18" s="7">
        <f>ROUND(0.05,10)</f>
        <v>0.05</v>
      </c>
      <c r="DW18" s="7">
        <f>ROUND(0.049,10)</f>
        <v>4.9000000000000002E-2</v>
      </c>
      <c r="DX18" s="7">
        <f>ROUND(0.048,10)</f>
        <v>4.8000000000000001E-2</v>
      </c>
      <c r="DY18" s="7">
        <f t="shared" ref="DY18:EM18" si="13">ROUND(0.049,10)</f>
        <v>4.9000000000000002E-2</v>
      </c>
      <c r="DZ18" s="7">
        <f t="shared" si="13"/>
        <v>4.9000000000000002E-2</v>
      </c>
      <c r="EA18" s="7">
        <f t="shared" si="13"/>
        <v>4.9000000000000002E-2</v>
      </c>
      <c r="EB18" s="7">
        <f t="shared" si="13"/>
        <v>4.9000000000000002E-2</v>
      </c>
      <c r="EC18" s="7">
        <f t="shared" si="13"/>
        <v>4.9000000000000002E-2</v>
      </c>
      <c r="ED18" s="7">
        <f t="shared" si="13"/>
        <v>4.9000000000000002E-2</v>
      </c>
      <c r="EE18" s="7">
        <f t="shared" si="13"/>
        <v>4.9000000000000002E-2</v>
      </c>
      <c r="EF18" s="7">
        <f t="shared" si="13"/>
        <v>4.9000000000000002E-2</v>
      </c>
      <c r="EG18" s="7">
        <f t="shared" si="13"/>
        <v>4.9000000000000002E-2</v>
      </c>
      <c r="EH18" s="7">
        <f t="shared" si="13"/>
        <v>4.9000000000000002E-2</v>
      </c>
      <c r="EI18" s="7">
        <f t="shared" si="13"/>
        <v>4.9000000000000002E-2</v>
      </c>
      <c r="EJ18" s="7">
        <f t="shared" si="13"/>
        <v>4.9000000000000002E-2</v>
      </c>
      <c r="EK18" s="7">
        <f t="shared" si="13"/>
        <v>4.9000000000000002E-2</v>
      </c>
      <c r="EL18" s="7">
        <f t="shared" si="13"/>
        <v>4.9000000000000002E-2</v>
      </c>
      <c r="EM18" s="7">
        <f t="shared" si="13"/>
        <v>4.9000000000000002E-2</v>
      </c>
      <c r="EN18" s="7">
        <f>ROUND(0.048,10)</f>
        <v>4.8000000000000001E-2</v>
      </c>
      <c r="EO18" s="7">
        <f>ROUND(0.049,10)</f>
        <v>4.9000000000000002E-2</v>
      </c>
      <c r="EP18" s="7">
        <f>ROUND(0.048,10)</f>
        <v>4.8000000000000001E-2</v>
      </c>
      <c r="EQ18" s="7">
        <f>ROUND(0.048,10)</f>
        <v>4.8000000000000001E-2</v>
      </c>
      <c r="ER18" s="7">
        <f>ROUND(0.048,10)</f>
        <v>4.8000000000000001E-2</v>
      </c>
      <c r="ES18" s="7">
        <f>ROUND(0.048,10)</f>
        <v>4.8000000000000001E-2</v>
      </c>
      <c r="ET18" s="7">
        <f>ROUND(0.049,10)</f>
        <v>4.9000000000000002E-2</v>
      </c>
      <c r="EU18" s="7">
        <f>ROUND(0.048,10)</f>
        <v>4.8000000000000001E-2</v>
      </c>
      <c r="EV18" s="7">
        <f>ROUND(0.048,10)</f>
        <v>4.8000000000000001E-2</v>
      </c>
      <c r="EW18" s="7">
        <f>ROUND(0.047,10)</f>
        <v>4.7E-2</v>
      </c>
      <c r="EX18" s="7">
        <f>ROUND(0.046,10)</f>
        <v>4.5999999999999999E-2</v>
      </c>
      <c r="EY18" s="7">
        <f>ROUND(0.048,10)</f>
        <v>4.8000000000000001E-2</v>
      </c>
      <c r="EZ18" s="7">
        <f>ROUND(0.046,10)</f>
        <v>4.5999999999999999E-2</v>
      </c>
      <c r="FA18" s="7">
        <f>ROUND(0.046,10)</f>
        <v>4.5999999999999999E-2</v>
      </c>
      <c r="FB18" s="7">
        <f>ROUND(0.046,10)</f>
        <v>4.5999999999999999E-2</v>
      </c>
      <c r="FC18" s="7">
        <f>ROUND(0.046,10)</f>
        <v>4.5999999999999999E-2</v>
      </c>
      <c r="FD18" s="7">
        <f>ROUND(0.044,10)</f>
        <v>4.3999999999999997E-2</v>
      </c>
      <c r="FE18" s="7">
        <f>ROUND(0.043,10)</f>
        <v>4.2999999999999997E-2</v>
      </c>
      <c r="FF18" s="7">
        <f>ROUND(0.042,10)</f>
        <v>4.2000000000000003E-2</v>
      </c>
      <c r="FG18" s="7">
        <f>ROUND(0.042,10)</f>
        <v>4.2000000000000003E-2</v>
      </c>
      <c r="FH18" s="7">
        <f>ROUND(0.042,10)</f>
        <v>4.2000000000000003E-2</v>
      </c>
      <c r="FI18" s="7">
        <f>ROUND(0.041,10)</f>
        <v>4.1000000000000002E-2</v>
      </c>
      <c r="FJ18" s="7">
        <f>ROUND(0.041,10)</f>
        <v>4.1000000000000002E-2</v>
      </c>
      <c r="FK18" s="7">
        <f>ROUND(0.039,10)</f>
        <v>3.9E-2</v>
      </c>
      <c r="FL18" s="7">
        <f>ROUND(0.039,10)</f>
        <v>3.9E-2</v>
      </c>
      <c r="FM18" s="7">
        <f>ROUND(0.04,10)</f>
        <v>0.04</v>
      </c>
      <c r="FN18" s="7">
        <f>ROUND(0.039,10)</f>
        <v>3.9E-2</v>
      </c>
      <c r="FO18" s="7">
        <f>ROUND(0.039,10)</f>
        <v>3.9E-2</v>
      </c>
      <c r="FP18" s="7">
        <f>ROUND(0.039,10)</f>
        <v>3.9E-2</v>
      </c>
      <c r="FQ18" s="7">
        <f t="shared" ref="FQ18:FV18" si="14">ROUND(0.038,10)</f>
        <v>3.7999999999999999E-2</v>
      </c>
      <c r="FR18" s="7">
        <f t="shared" si="14"/>
        <v>3.7999999999999999E-2</v>
      </c>
      <c r="FS18" s="7">
        <f t="shared" si="14"/>
        <v>3.7999999999999999E-2</v>
      </c>
      <c r="FT18" s="7">
        <f t="shared" si="14"/>
        <v>3.7999999999999999E-2</v>
      </c>
      <c r="FU18" s="7">
        <f t="shared" si="14"/>
        <v>3.7999999999999999E-2</v>
      </c>
      <c r="FV18" s="7">
        <f t="shared" si="14"/>
        <v>3.7999999999999999E-2</v>
      </c>
      <c r="FW18" s="7">
        <f>ROUND(0.037,10)</f>
        <v>3.6999999999999998E-2</v>
      </c>
      <c r="FX18" s="7">
        <f>ROUND(0.037,10)</f>
        <v>3.6999999999999998E-2</v>
      </c>
      <c r="FY18" s="7">
        <f>ROUND(0.036,10)</f>
        <v>3.5999999999999997E-2</v>
      </c>
      <c r="FZ18" s="7">
        <f>ROUND(0.036,10)</f>
        <v>3.5999999999999997E-2</v>
      </c>
      <c r="GA18" s="7">
        <f>ROUND(0.036,10)</f>
        <v>3.5999999999999997E-2</v>
      </c>
      <c r="GB18" s="7">
        <f>ROUND(0.036,10)</f>
        <v>3.5999999999999997E-2</v>
      </c>
      <c r="GC18" s="7">
        <f>ROUND(0.036,10)</f>
        <v>3.5999999999999997E-2</v>
      </c>
      <c r="GD18" s="7">
        <f>ROUND(0.034,10)</f>
        <v>3.4000000000000002E-2</v>
      </c>
      <c r="GE18" s="7">
        <f>ROUND(0.033,10)</f>
        <v>3.3000000000000002E-2</v>
      </c>
      <c r="GF18" s="7">
        <f>ROUND(0.032,10)</f>
        <v>3.2000000000000001E-2</v>
      </c>
      <c r="GG18" s="7">
        <f>ROUND(0.03,10)</f>
        <v>0.03</v>
      </c>
      <c r="GH18" s="7">
        <f>ROUND(0.029,10)</f>
        <v>2.9000000000000001E-2</v>
      </c>
      <c r="GI18" s="7">
        <f>ROUND(0.029,10)</f>
        <v>2.9000000000000001E-2</v>
      </c>
      <c r="GJ18" s="7">
        <f>ROUND(0.029,10)</f>
        <v>2.9000000000000001E-2</v>
      </c>
      <c r="GK18" s="7">
        <f>ROUND(0.027,10)</f>
        <v>2.7E-2</v>
      </c>
      <c r="GL18" s="7">
        <f>ROUND(0.026,10)</f>
        <v>2.5999999999999999E-2</v>
      </c>
      <c r="GM18" s="7">
        <f>ROUND(0.027,10)</f>
        <v>2.7E-2</v>
      </c>
      <c r="GN18" s="7">
        <f>ROUND(0.027,10)</f>
        <v>2.7E-2</v>
      </c>
      <c r="GO18" s="7">
        <f>ROUND(0.028,10)</f>
        <v>2.8000000000000001E-2</v>
      </c>
      <c r="GP18" s="7">
        <f>ROUND(0.028,10)</f>
        <v>2.8000000000000001E-2</v>
      </c>
      <c r="GQ18" s="7">
        <f>ROUND(0.028,10)</f>
        <v>2.8000000000000001E-2</v>
      </c>
      <c r="GR18" s="7">
        <f>ROUND(0.027,10)</f>
        <v>2.7E-2</v>
      </c>
      <c r="GS18" s="7">
        <f>ROUND(0.026,10)</f>
        <v>2.5999999999999999E-2</v>
      </c>
      <c r="GT18" s="7">
        <f>ROUND(0.027,10)</f>
        <v>2.7E-2</v>
      </c>
      <c r="GU18" s="7">
        <f>ROUND(0.024,10)</f>
        <v>2.4E-2</v>
      </c>
      <c r="GV18" s="7">
        <f>ROUND(0.021,10)</f>
        <v>2.1000000000000001E-2</v>
      </c>
      <c r="GW18" s="7">
        <f>ROUND(0.019,10)</f>
        <v>1.9E-2</v>
      </c>
      <c r="GX18" s="7">
        <f>ROUND(0.018,10)</f>
        <v>1.7999999999999999E-2</v>
      </c>
      <c r="GY18" s="7">
        <f>ROUND(0.019,10)</f>
        <v>1.9E-2</v>
      </c>
      <c r="GZ18" s="7">
        <f>ROUND(0.019,10)</f>
        <v>1.9E-2</v>
      </c>
      <c r="HA18" s="7">
        <f>ROUND(0.01,10)</f>
        <v>0.01</v>
      </c>
      <c r="HB18" s="7">
        <f>ROUND(0.008,10)</f>
        <v>8.0000000000000002E-3</v>
      </c>
      <c r="HC18" s="7">
        <f>ROUND(0.008,10)</f>
        <v>8.0000000000000002E-3</v>
      </c>
      <c r="HD18" s="7">
        <f>ROUND(0.006,10)</f>
        <v>6.0000000000000001E-3</v>
      </c>
      <c r="HE18" s="7">
        <f>ROUND(0.004,10)</f>
        <v>4.0000000000000001E-3</v>
      </c>
      <c r="HF18" s="7">
        <f>ROUND(0.006,10)</f>
        <v>6.0000000000000001E-3</v>
      </c>
      <c r="HG18" s="7">
        <f>ROUND(0.007,10)</f>
        <v>7.0000000000000001E-3</v>
      </c>
      <c r="HH18" s="7">
        <f>ROUND(0.003,10)</f>
        <v>3.0000000000000001E-3</v>
      </c>
      <c r="HI18" s="7">
        <f>ROUND(0,10)</f>
        <v>0</v>
      </c>
      <c r="HJ18" s="7">
        <f>ROUND(0.001,10)</f>
        <v>1E-3</v>
      </c>
      <c r="HK18" s="7">
        <f>ROUND(-0.002,10)</f>
        <v>-2E-3</v>
      </c>
      <c r="HL18" s="7">
        <f>ROUND(0.001,10)</f>
        <v>1E-3</v>
      </c>
      <c r="HM18" s="7">
        <f>ROUND(-0.004,10)</f>
        <v>-4.0000000000000001E-3</v>
      </c>
      <c r="HN18" s="7">
        <f>ROUND(-0.006,10)</f>
        <v>-6.0000000000000001E-3</v>
      </c>
      <c r="HO18" s="7">
        <f>ROUND(-0.011,10)</f>
        <v>-1.0999999999999999E-2</v>
      </c>
      <c r="HP18" s="7">
        <f>ROUND(-0.011,10)</f>
        <v>-1.0999999999999999E-2</v>
      </c>
      <c r="HQ18" s="7">
        <f>ROUND(-0.013,10)</f>
        <v>-1.2999999999999999E-2</v>
      </c>
      <c r="HR18" s="7">
        <f>ROUND(-0.015,10)</f>
        <v>-1.4999999999999999E-2</v>
      </c>
      <c r="HS18" s="7">
        <f>ROUND(-0.015,10)</f>
        <v>-1.4999999999999999E-2</v>
      </c>
      <c r="HT18" s="7">
        <f>ROUND(-0.019,10)</f>
        <v>-1.9E-2</v>
      </c>
      <c r="HU18" s="7">
        <f>ROUND(-0.024,10)</f>
        <v>-2.4E-2</v>
      </c>
      <c r="HV18" s="7">
        <f>ROUND(-0.03,10)</f>
        <v>-0.03</v>
      </c>
      <c r="HW18" s="7">
        <f>ROUND(-0.033,10)</f>
        <v>-3.3000000000000002E-2</v>
      </c>
      <c r="HX18" s="7">
        <f>ROUND(-0.031,10)</f>
        <v>-3.1E-2</v>
      </c>
      <c r="HY18" s="7">
        <f>ROUND(-0.039,10)</f>
        <v>-3.9E-2</v>
      </c>
      <c r="HZ18" s="7">
        <f>ROUND(-0.04,10)</f>
        <v>-0.04</v>
      </c>
      <c r="IA18" s="7">
        <f>ROUND(-0.043,10)</f>
        <v>-4.2999999999999997E-2</v>
      </c>
      <c r="IB18" s="7">
        <f>ROUND(-0.045,10)</f>
        <v>-4.4999999999999998E-2</v>
      </c>
      <c r="IC18" s="7">
        <f>ROUND(-0.048,10)</f>
        <v>-4.8000000000000001E-2</v>
      </c>
      <c r="ID18" s="7">
        <f>ROUND(-0.051,10)</f>
        <v>-5.0999999999999997E-2</v>
      </c>
      <c r="IE18" s="7">
        <f>ROUND(-0.03,10)</f>
        <v>-0.03</v>
      </c>
      <c r="IF18" s="7">
        <f>ROUND(-0.031,10)</f>
        <v>-3.1E-2</v>
      </c>
      <c r="IG18" s="7">
        <f>ROUND(-0.033,10)</f>
        <v>-3.3000000000000002E-2</v>
      </c>
      <c r="IH18" s="7">
        <f>ROUND(-0.034,10)</f>
        <v>-3.4000000000000002E-2</v>
      </c>
      <c r="II18" s="7">
        <f>ROUND(-0.036,10)</f>
        <v>-3.5999999999999997E-2</v>
      </c>
      <c r="IJ18" s="7">
        <f>ROUND(-0.038,10)</f>
        <v>-3.7999999999999999E-2</v>
      </c>
      <c r="IK18" s="7">
        <f>ROUND(-0.039,10)</f>
        <v>-3.9E-2</v>
      </c>
      <c r="IL18" s="7">
        <f t="shared" ref="IL18:IR18" si="15">ROUND(-0.041,10)</f>
        <v>-4.1000000000000002E-2</v>
      </c>
      <c r="IM18" s="7">
        <f t="shared" si="15"/>
        <v>-4.1000000000000002E-2</v>
      </c>
      <c r="IN18" s="7">
        <f t="shared" si="15"/>
        <v>-4.1000000000000002E-2</v>
      </c>
      <c r="IO18" s="7">
        <f t="shared" si="15"/>
        <v>-4.1000000000000002E-2</v>
      </c>
      <c r="IP18" s="7">
        <f t="shared" si="15"/>
        <v>-4.1000000000000002E-2</v>
      </c>
      <c r="IQ18" s="7">
        <f t="shared" si="15"/>
        <v>-4.1000000000000002E-2</v>
      </c>
      <c r="IR18" s="7">
        <f t="shared" si="15"/>
        <v>-4.1000000000000002E-2</v>
      </c>
      <c r="IS18" s="7">
        <f>ROUND(-0.04,10)</f>
        <v>-0.04</v>
      </c>
      <c r="IT18" s="7">
        <f>ROUND(-0.04,10)</f>
        <v>-0.04</v>
      </c>
      <c r="IU18" s="7">
        <f>ROUND(-0.042,10)</f>
        <v>-4.2000000000000003E-2</v>
      </c>
      <c r="IV18" s="7">
        <f>ROUND(-0.041,10)</f>
        <v>-4.1000000000000002E-2</v>
      </c>
      <c r="IW18" s="7">
        <f>ROUND(-0.04,10)</f>
        <v>-0.04</v>
      </c>
    </row>
    <row r="19" spans="1:258">
      <c r="A19" s="6" t="s">
        <v>41</v>
      </c>
      <c r="B19" s="7">
        <f>ROUND(0.243,10)</f>
        <v>0.24299999999999999</v>
      </c>
      <c r="C19" s="7">
        <f>ROUND(0.241,10)</f>
        <v>0.24099999999999999</v>
      </c>
      <c r="D19" s="7">
        <f>ROUND(0.24,10)</f>
        <v>0.24</v>
      </c>
      <c r="E19" s="7">
        <f>ROUND(0.241,10)</f>
        <v>0.24099999999999999</v>
      </c>
      <c r="F19" s="7">
        <f>ROUND(0.241,10)</f>
        <v>0.24099999999999999</v>
      </c>
      <c r="G19" s="7">
        <f>ROUND(0.24,10)</f>
        <v>0.24</v>
      </c>
      <c r="H19" s="7">
        <f>ROUND(0.238,10)</f>
        <v>0.23799999999999999</v>
      </c>
      <c r="I19" s="7">
        <f>ROUND(0.237,10)</f>
        <v>0.23699999999999999</v>
      </c>
      <c r="J19" s="7">
        <f>ROUND(0.238,10)</f>
        <v>0.23799999999999999</v>
      </c>
      <c r="K19" s="7">
        <f>ROUND(0.235,10)</f>
        <v>0.23499999999999999</v>
      </c>
      <c r="L19" s="7">
        <f>ROUND(0.224,10)</f>
        <v>0.224</v>
      </c>
      <c r="M19" s="7">
        <f>ROUND(0.217,10)</f>
        <v>0.217</v>
      </c>
      <c r="N19" s="7">
        <f>ROUND(0.214,10)</f>
        <v>0.214</v>
      </c>
      <c r="O19" s="7">
        <f>ROUND(0.213,10)</f>
        <v>0.21299999999999999</v>
      </c>
      <c r="P19" s="7">
        <f>ROUND(0.212,10)</f>
        <v>0.21199999999999999</v>
      </c>
      <c r="Q19" s="7">
        <f>ROUND(0.206,10)</f>
        <v>0.20599999999999999</v>
      </c>
      <c r="R19" s="7">
        <f>ROUND(0.207,10)</f>
        <v>0.20699999999999999</v>
      </c>
      <c r="S19" s="7">
        <f>ROUND(0.208,10)</f>
        <v>0.20799999999999999</v>
      </c>
      <c r="T19" s="7">
        <f>ROUND(0.204,10)</f>
        <v>0.20399999999999999</v>
      </c>
      <c r="U19" s="7">
        <f>ROUND(0.203,10)</f>
        <v>0.20300000000000001</v>
      </c>
      <c r="V19" s="7">
        <f>ROUND(0.202,10)</f>
        <v>0.20200000000000001</v>
      </c>
      <c r="W19" s="7">
        <f>ROUND(0.202,10)</f>
        <v>0.20200000000000001</v>
      </c>
      <c r="X19" s="7">
        <f>ROUND(0.199,10)</f>
        <v>0.19900000000000001</v>
      </c>
      <c r="Y19" s="7">
        <f>ROUND(0.195,10)</f>
        <v>0.19500000000000001</v>
      </c>
      <c r="Z19" s="7">
        <f>ROUND(0.196,10)</f>
        <v>0.19600000000000001</v>
      </c>
      <c r="AA19" s="7">
        <f>ROUND(0.196,10)</f>
        <v>0.19600000000000001</v>
      </c>
      <c r="AB19" s="7">
        <f>ROUND(0.195,10)</f>
        <v>0.19500000000000001</v>
      </c>
      <c r="AC19" s="7">
        <f>ROUND(0.193,10)</f>
        <v>0.193</v>
      </c>
      <c r="AD19" s="7">
        <f>ROUND(0.191,10)</f>
        <v>0.191</v>
      </c>
      <c r="AE19" s="7">
        <f>ROUND(0.189,10)</f>
        <v>0.189</v>
      </c>
      <c r="AF19" s="7">
        <f>ROUND(0.188,10)</f>
        <v>0.188</v>
      </c>
      <c r="AG19" s="7">
        <f>ROUND(0.186,10)</f>
        <v>0.186</v>
      </c>
      <c r="AH19" s="7">
        <f>ROUND(0.186,10)</f>
        <v>0.186</v>
      </c>
      <c r="AI19" s="7">
        <f>ROUND(0.184,10)</f>
        <v>0.184</v>
      </c>
      <c r="AJ19" s="7">
        <f>ROUND(0.181,10)</f>
        <v>0.18099999999999999</v>
      </c>
      <c r="AK19" s="7">
        <f>ROUND(0.18,10)</f>
        <v>0.18</v>
      </c>
      <c r="AL19" s="7">
        <f>ROUND(0.175,10)</f>
        <v>0.17499999999999999</v>
      </c>
      <c r="AM19" s="7">
        <f>ROUND(0.174,10)</f>
        <v>0.17399999999999999</v>
      </c>
      <c r="AN19" s="7">
        <f>ROUND(0.169,10)</f>
        <v>0.16900000000000001</v>
      </c>
      <c r="AO19" s="7">
        <f>ROUND(0.166,10)</f>
        <v>0.16600000000000001</v>
      </c>
      <c r="AP19" s="7">
        <f>ROUND(0.161,10)</f>
        <v>0.161</v>
      </c>
      <c r="AQ19" s="7">
        <f>ROUND(0.161,10)</f>
        <v>0.161</v>
      </c>
      <c r="AR19" s="7">
        <f>ROUND(0.159,10)</f>
        <v>0.159</v>
      </c>
      <c r="AS19" s="7">
        <f>ROUND(0.158,10)</f>
        <v>0.158</v>
      </c>
      <c r="AT19" s="7">
        <f>ROUND(0.158,10)</f>
        <v>0.158</v>
      </c>
      <c r="AU19" s="7">
        <f>ROUND(0.158,10)</f>
        <v>0.158</v>
      </c>
      <c r="AV19" s="7">
        <f>ROUND(0.155,10)</f>
        <v>0.155</v>
      </c>
      <c r="AW19" s="7">
        <f>ROUND(0.152,10)</f>
        <v>0.152</v>
      </c>
      <c r="AX19" s="7">
        <f>ROUND(0.149,10)</f>
        <v>0.14899999999999999</v>
      </c>
      <c r="AY19" s="7">
        <f>ROUND(0.146,10)</f>
        <v>0.14599999999999999</v>
      </c>
      <c r="AZ19" s="7">
        <f>ROUND(0.144,10)</f>
        <v>0.14399999999999999</v>
      </c>
      <c r="BA19" s="7">
        <f>ROUND(0.141,10)</f>
        <v>0.14099999999999999</v>
      </c>
      <c r="BB19" s="7">
        <f>ROUND(0.139,10)</f>
        <v>0.13900000000000001</v>
      </c>
      <c r="BC19" s="7">
        <f>ROUND(0.142,10)</f>
        <v>0.14199999999999999</v>
      </c>
      <c r="BD19" s="7">
        <f>ROUND(0.141,10)</f>
        <v>0.14099999999999999</v>
      </c>
      <c r="BE19" s="7">
        <f>ROUND(0.138,10)</f>
        <v>0.13800000000000001</v>
      </c>
      <c r="BF19" s="7">
        <f>ROUND(0.138,10)</f>
        <v>0.13800000000000001</v>
      </c>
      <c r="BG19" s="7">
        <f>ROUND(0.139,10)</f>
        <v>0.13900000000000001</v>
      </c>
      <c r="BH19" s="7">
        <f>ROUND(0.138,10)</f>
        <v>0.13800000000000001</v>
      </c>
      <c r="BI19" s="7">
        <f>ROUND(0.138,10)</f>
        <v>0.13800000000000001</v>
      </c>
      <c r="BJ19" s="7">
        <f>ROUND(0.138,10)</f>
        <v>0.13800000000000001</v>
      </c>
      <c r="BK19" s="7">
        <f>ROUND(0.138,10)</f>
        <v>0.13800000000000001</v>
      </c>
      <c r="BL19" s="7">
        <f>ROUND(0.138,10)</f>
        <v>0.13800000000000001</v>
      </c>
      <c r="BM19" s="7">
        <f>ROUND(0.136,10)</f>
        <v>0.13600000000000001</v>
      </c>
      <c r="BN19" s="7">
        <f>ROUND(0.135,10)</f>
        <v>0.13500000000000001</v>
      </c>
      <c r="BO19" s="7">
        <f>ROUND(0.134,10)</f>
        <v>0.13400000000000001</v>
      </c>
      <c r="BP19" s="7">
        <f>ROUND(0.131,10)</f>
        <v>0.13100000000000001</v>
      </c>
      <c r="BQ19" s="7">
        <f>ROUND(0.13,10)</f>
        <v>0.13</v>
      </c>
      <c r="BR19" s="7">
        <f>ROUND(0.129,10)</f>
        <v>0.129</v>
      </c>
      <c r="BS19" s="7">
        <f>ROUND(0.127,10)</f>
        <v>0.127</v>
      </c>
      <c r="BT19" s="7">
        <f>ROUND(0.124,10)</f>
        <v>0.124</v>
      </c>
      <c r="BU19" s="7">
        <f>ROUND(0.121,10)</f>
        <v>0.121</v>
      </c>
      <c r="BV19" s="7">
        <f>ROUND(0.119,10)</f>
        <v>0.11899999999999999</v>
      </c>
      <c r="BW19" s="7">
        <f>ROUND(0.118,10)</f>
        <v>0.11799999999999999</v>
      </c>
      <c r="BX19" s="7">
        <f>ROUND(0.118,10)</f>
        <v>0.11799999999999999</v>
      </c>
      <c r="BY19" s="7">
        <f>ROUND(0.119,10)</f>
        <v>0.11899999999999999</v>
      </c>
      <c r="BZ19" s="7">
        <f>ROUND(0.118,10)</f>
        <v>0.11799999999999999</v>
      </c>
      <c r="CA19" s="7">
        <f>ROUND(0.116,10)</f>
        <v>0.11600000000000001</v>
      </c>
      <c r="CB19" s="7">
        <f>ROUND(0.115,10)</f>
        <v>0.115</v>
      </c>
      <c r="CC19" s="7">
        <f>ROUND(0.114,10)</f>
        <v>0.114</v>
      </c>
      <c r="CD19" s="7">
        <f>ROUND(0.11,10)</f>
        <v>0.11</v>
      </c>
      <c r="CE19" s="7">
        <f>ROUND(0.11,10)</f>
        <v>0.11</v>
      </c>
      <c r="CF19" s="7">
        <f>ROUND(0.111,10)</f>
        <v>0.111</v>
      </c>
      <c r="CG19" s="7">
        <f>ROUND(0.109,10)</f>
        <v>0.109</v>
      </c>
      <c r="CH19" s="7">
        <f>ROUND(0.108,10)</f>
        <v>0.108</v>
      </c>
      <c r="CI19" s="7">
        <f>ROUND(0.109,10)</f>
        <v>0.109</v>
      </c>
      <c r="CJ19" s="7">
        <f>ROUND(0.107,10)</f>
        <v>0.107</v>
      </c>
      <c r="CK19" s="7">
        <f>ROUND(0.108,10)</f>
        <v>0.108</v>
      </c>
      <c r="CL19" s="7">
        <f>ROUND(0.108,10)</f>
        <v>0.108</v>
      </c>
      <c r="CM19" s="7">
        <f>ROUND(0.108,10)</f>
        <v>0.108</v>
      </c>
      <c r="CN19" s="7">
        <f>ROUND(0.108,10)</f>
        <v>0.108</v>
      </c>
      <c r="CO19" s="7">
        <f>ROUND(0.106,10)</f>
        <v>0.106</v>
      </c>
      <c r="CP19" s="7">
        <f>ROUND(0.106,10)</f>
        <v>0.106</v>
      </c>
      <c r="CQ19" s="7">
        <f>ROUND(0.105,10)</f>
        <v>0.105</v>
      </c>
      <c r="CR19" s="7">
        <f>ROUND(0.103,10)</f>
        <v>0.10299999999999999</v>
      </c>
      <c r="CS19" s="7">
        <f>ROUND(0.101,10)</f>
        <v>0.10100000000000001</v>
      </c>
      <c r="CT19" s="7">
        <f>ROUND(0.101,10)</f>
        <v>0.10100000000000001</v>
      </c>
      <c r="CU19" s="7">
        <f>ROUND(0.102,10)</f>
        <v>0.10199999999999999</v>
      </c>
      <c r="CV19" s="7">
        <f>ROUND(0.102,10)</f>
        <v>0.10199999999999999</v>
      </c>
      <c r="CW19" s="7">
        <f>ROUND(0.101,10)</f>
        <v>0.10100000000000001</v>
      </c>
      <c r="CX19" s="7">
        <f>ROUND(0.1,10)</f>
        <v>0.1</v>
      </c>
      <c r="CY19" s="7">
        <f>ROUND(0.098,10)</f>
        <v>9.8000000000000004E-2</v>
      </c>
      <c r="CZ19" s="7">
        <f>ROUND(0.099,10)</f>
        <v>9.9000000000000005E-2</v>
      </c>
      <c r="DA19" s="7">
        <f>ROUND(0.099,10)</f>
        <v>9.9000000000000005E-2</v>
      </c>
      <c r="DB19" s="7">
        <f>ROUND(0.098,10)</f>
        <v>9.8000000000000004E-2</v>
      </c>
      <c r="DC19" s="7">
        <f>ROUND(0.098,10)</f>
        <v>9.8000000000000004E-2</v>
      </c>
      <c r="DD19" s="7">
        <f>ROUND(0.099,10)</f>
        <v>9.9000000000000005E-2</v>
      </c>
      <c r="DE19" s="7">
        <f>ROUND(0.1,10)</f>
        <v>0.1</v>
      </c>
      <c r="DF19" s="7">
        <f>ROUND(0.1,10)</f>
        <v>0.1</v>
      </c>
      <c r="DG19" s="7">
        <f>ROUND(0.099,10)</f>
        <v>9.9000000000000005E-2</v>
      </c>
      <c r="DH19" s="7">
        <f>ROUND(0.101,10)</f>
        <v>0.10100000000000001</v>
      </c>
      <c r="DI19" s="7">
        <f>ROUND(0.099,10)</f>
        <v>9.9000000000000005E-2</v>
      </c>
      <c r="DJ19" s="7">
        <f>ROUND(0.1,10)</f>
        <v>0.1</v>
      </c>
      <c r="DK19" s="7">
        <f>ROUND(0.101,10)</f>
        <v>0.10100000000000001</v>
      </c>
      <c r="DL19" s="7">
        <f>ROUND(0.102,10)</f>
        <v>0.10199999999999999</v>
      </c>
      <c r="DM19" s="7">
        <f>ROUND(0.1,10)</f>
        <v>0.1</v>
      </c>
      <c r="DN19" s="7">
        <f>ROUND(0.1,10)</f>
        <v>0.1</v>
      </c>
      <c r="DO19" s="7">
        <f>ROUND(0.101,10)</f>
        <v>0.10100000000000001</v>
      </c>
      <c r="DP19" s="7">
        <f>ROUND(0.099,10)</f>
        <v>9.9000000000000005E-2</v>
      </c>
      <c r="DQ19" s="7">
        <f>ROUND(0.099,10)</f>
        <v>9.9000000000000005E-2</v>
      </c>
      <c r="DR19" s="7">
        <f>ROUND(0.099,10)</f>
        <v>9.9000000000000005E-2</v>
      </c>
      <c r="DS19" s="7">
        <f>ROUND(0.1,10)</f>
        <v>0.1</v>
      </c>
      <c r="DT19" s="7">
        <f>ROUND(0.1,10)</f>
        <v>0.1</v>
      </c>
      <c r="DU19" s="7">
        <f>ROUND(0.1,10)</f>
        <v>0.1</v>
      </c>
      <c r="DV19" s="7">
        <f>ROUND(0.1,10)</f>
        <v>0.1</v>
      </c>
      <c r="DW19" s="7">
        <f>ROUND(0.101,10)</f>
        <v>0.10100000000000001</v>
      </c>
      <c r="DX19" s="7">
        <f>ROUND(0.099,10)</f>
        <v>9.9000000000000005E-2</v>
      </c>
      <c r="DY19" s="7">
        <f>ROUND(0.099,10)</f>
        <v>9.9000000000000005E-2</v>
      </c>
      <c r="DZ19" s="7">
        <f>ROUND(0.101,10)</f>
        <v>0.10100000000000001</v>
      </c>
      <c r="EA19" s="7">
        <f>ROUND(0.101,10)</f>
        <v>0.10100000000000001</v>
      </c>
      <c r="EB19" s="7">
        <f>ROUND(0.101,10)</f>
        <v>0.10100000000000001</v>
      </c>
      <c r="EC19" s="7">
        <f>ROUND(0.1,10)</f>
        <v>0.1</v>
      </c>
      <c r="ED19" s="7">
        <f>ROUND(0.101,10)</f>
        <v>0.10100000000000001</v>
      </c>
      <c r="EE19" s="7">
        <f>ROUND(0.102,10)</f>
        <v>0.10199999999999999</v>
      </c>
      <c r="EF19" s="7">
        <f>ROUND(0.101,10)</f>
        <v>0.10100000000000001</v>
      </c>
      <c r="EG19" s="7">
        <f>ROUND(0.101,10)</f>
        <v>0.10100000000000001</v>
      </c>
      <c r="EH19" s="7">
        <f>ROUND(0.101,10)</f>
        <v>0.10100000000000001</v>
      </c>
      <c r="EI19" s="7">
        <f>ROUND(0.101,10)</f>
        <v>0.10100000000000001</v>
      </c>
      <c r="EJ19" s="7">
        <f>ROUND(0.101,10)</f>
        <v>0.10100000000000001</v>
      </c>
      <c r="EK19" s="7">
        <f>ROUND(0.1,10)</f>
        <v>0.1</v>
      </c>
      <c r="EL19" s="7">
        <f>ROUND(0.101,10)</f>
        <v>0.10100000000000001</v>
      </c>
      <c r="EM19" s="7">
        <f>ROUND(0.1,10)</f>
        <v>0.1</v>
      </c>
      <c r="EN19" s="7">
        <f>ROUND(0.101,10)</f>
        <v>0.10100000000000001</v>
      </c>
      <c r="EO19" s="7">
        <f>ROUND(0.099,10)</f>
        <v>9.9000000000000005E-2</v>
      </c>
      <c r="EP19" s="7">
        <f>ROUND(0.101,10)</f>
        <v>0.10100000000000001</v>
      </c>
      <c r="EQ19" s="7">
        <f t="shared" ref="EQ19:EX19" si="16">ROUND(0.098,10)</f>
        <v>9.8000000000000004E-2</v>
      </c>
      <c r="ER19" s="7">
        <f t="shared" si="16"/>
        <v>9.8000000000000004E-2</v>
      </c>
      <c r="ES19" s="7">
        <f t="shared" si="16"/>
        <v>9.8000000000000004E-2</v>
      </c>
      <c r="ET19" s="7">
        <f t="shared" si="16"/>
        <v>9.8000000000000004E-2</v>
      </c>
      <c r="EU19" s="7">
        <f t="shared" si="16"/>
        <v>9.8000000000000004E-2</v>
      </c>
      <c r="EV19" s="7">
        <f t="shared" si="16"/>
        <v>9.8000000000000004E-2</v>
      </c>
      <c r="EW19" s="7">
        <f t="shared" si="16"/>
        <v>9.8000000000000004E-2</v>
      </c>
      <c r="EX19" s="7">
        <f t="shared" si="16"/>
        <v>9.8000000000000004E-2</v>
      </c>
      <c r="EY19" s="7">
        <f>ROUND(0.099,10)</f>
        <v>9.9000000000000005E-2</v>
      </c>
      <c r="EZ19" s="7">
        <f>ROUND(0.098,10)</f>
        <v>9.8000000000000004E-2</v>
      </c>
      <c r="FA19" s="7">
        <f>ROUND(0.098,10)</f>
        <v>9.8000000000000004E-2</v>
      </c>
      <c r="FB19" s="7">
        <f>ROUND(0.098,10)</f>
        <v>9.8000000000000004E-2</v>
      </c>
      <c r="FC19" s="7">
        <f>ROUND(0.097,10)</f>
        <v>9.7000000000000003E-2</v>
      </c>
      <c r="FD19" s="7">
        <f>ROUND(0.096,10)</f>
        <v>9.6000000000000002E-2</v>
      </c>
      <c r="FE19" s="7">
        <f>ROUND(0.093,10)</f>
        <v>9.2999999999999999E-2</v>
      </c>
      <c r="FF19" s="7">
        <f>ROUND(0.091,10)</f>
        <v>9.0999999999999998E-2</v>
      </c>
      <c r="FG19" s="7">
        <f>ROUND(0.09,10)</f>
        <v>0.09</v>
      </c>
      <c r="FH19" s="7">
        <f t="shared" ref="FH19:FO19" si="17">ROUND(0.091,10)</f>
        <v>9.0999999999999998E-2</v>
      </c>
      <c r="FI19" s="7">
        <f t="shared" si="17"/>
        <v>9.0999999999999998E-2</v>
      </c>
      <c r="FJ19" s="7">
        <f t="shared" si="17"/>
        <v>9.0999999999999998E-2</v>
      </c>
      <c r="FK19" s="7">
        <f t="shared" si="17"/>
        <v>9.0999999999999998E-2</v>
      </c>
      <c r="FL19" s="7">
        <f t="shared" si="17"/>
        <v>9.0999999999999998E-2</v>
      </c>
      <c r="FM19" s="7">
        <f t="shared" si="17"/>
        <v>9.0999999999999998E-2</v>
      </c>
      <c r="FN19" s="7">
        <f t="shared" si="17"/>
        <v>9.0999999999999998E-2</v>
      </c>
      <c r="FO19" s="7">
        <f t="shared" si="17"/>
        <v>9.0999999999999998E-2</v>
      </c>
      <c r="FP19" s="7">
        <f>ROUND(0.09,10)</f>
        <v>0.09</v>
      </c>
      <c r="FQ19" s="7">
        <f>ROUND(0.09,10)</f>
        <v>0.09</v>
      </c>
      <c r="FR19" s="7">
        <f>ROUND(0.087,10)</f>
        <v>8.6999999999999994E-2</v>
      </c>
      <c r="FS19" s="7">
        <f t="shared" ref="FS19:FX19" si="18">ROUND(0.088,10)</f>
        <v>8.7999999999999995E-2</v>
      </c>
      <c r="FT19" s="7">
        <f t="shared" si="18"/>
        <v>8.7999999999999995E-2</v>
      </c>
      <c r="FU19" s="7">
        <f t="shared" si="18"/>
        <v>8.7999999999999995E-2</v>
      </c>
      <c r="FV19" s="7">
        <f t="shared" si="18"/>
        <v>8.7999999999999995E-2</v>
      </c>
      <c r="FW19" s="7">
        <f t="shared" si="18"/>
        <v>8.7999999999999995E-2</v>
      </c>
      <c r="FX19" s="7">
        <f t="shared" si="18"/>
        <v>8.7999999999999995E-2</v>
      </c>
      <c r="FY19" s="7">
        <f>ROUND(0.086,10)</f>
        <v>8.5999999999999993E-2</v>
      </c>
      <c r="FZ19" s="7">
        <f>ROUND(0.088,10)</f>
        <v>8.7999999999999995E-2</v>
      </c>
      <c r="GA19" s="7">
        <f>ROUND(0.088,10)</f>
        <v>8.7999999999999995E-2</v>
      </c>
      <c r="GB19" s="7">
        <f>ROUND(0.088,10)</f>
        <v>8.7999999999999995E-2</v>
      </c>
      <c r="GC19" s="7">
        <f>ROUND(0.086,10)</f>
        <v>8.5999999999999993E-2</v>
      </c>
      <c r="GD19" s="7">
        <f>ROUND(0.085,10)</f>
        <v>8.5000000000000006E-2</v>
      </c>
      <c r="GE19" s="7">
        <f>ROUND(0.083,10)</f>
        <v>8.3000000000000004E-2</v>
      </c>
      <c r="GF19" s="7">
        <f>ROUND(0.081,10)</f>
        <v>8.1000000000000003E-2</v>
      </c>
      <c r="GG19" s="7">
        <f>ROUND(0.081,10)</f>
        <v>8.1000000000000003E-2</v>
      </c>
      <c r="GH19" s="7">
        <f>ROUND(0.078,10)</f>
        <v>7.8E-2</v>
      </c>
      <c r="GI19" s="7">
        <f>ROUND(0.078,10)</f>
        <v>7.8E-2</v>
      </c>
      <c r="GJ19" s="7">
        <f>ROUND(0.078,10)</f>
        <v>7.8E-2</v>
      </c>
      <c r="GK19" s="7">
        <f>ROUND(0.077,10)</f>
        <v>7.6999999999999999E-2</v>
      </c>
      <c r="GL19" s="7">
        <f>ROUND(0.075,10)</f>
        <v>7.4999999999999997E-2</v>
      </c>
      <c r="GM19" s="7">
        <f>ROUND(0.074,10)</f>
        <v>7.3999999999999996E-2</v>
      </c>
      <c r="GN19" s="7">
        <f>ROUND(0.073,10)</f>
        <v>7.2999999999999995E-2</v>
      </c>
      <c r="GO19" s="7">
        <f>ROUND(0.074,10)</f>
        <v>7.3999999999999996E-2</v>
      </c>
      <c r="GP19" s="7">
        <f>ROUND(0.073,10)</f>
        <v>7.2999999999999995E-2</v>
      </c>
      <c r="GQ19" s="7">
        <f>ROUND(0.072,10)</f>
        <v>7.1999999999999995E-2</v>
      </c>
      <c r="GR19" s="7">
        <f>ROUND(0.071,10)</f>
        <v>7.0999999999999994E-2</v>
      </c>
      <c r="GS19" s="7">
        <f>ROUND(0.071,10)</f>
        <v>7.0999999999999994E-2</v>
      </c>
      <c r="GT19" s="7">
        <f>ROUND(0.071,10)</f>
        <v>7.0999999999999994E-2</v>
      </c>
      <c r="GU19" s="7">
        <f>ROUND(0.068,10)</f>
        <v>6.8000000000000005E-2</v>
      </c>
      <c r="GV19" s="7">
        <f>ROUND(0.066,10)</f>
        <v>6.6000000000000003E-2</v>
      </c>
      <c r="GW19" s="7">
        <f>ROUND(0.066,10)</f>
        <v>6.6000000000000003E-2</v>
      </c>
      <c r="GX19" s="7">
        <f>ROUND(0.066,10)</f>
        <v>6.6000000000000003E-2</v>
      </c>
      <c r="GY19" s="7">
        <f>ROUND(0.065,10)</f>
        <v>6.5000000000000002E-2</v>
      </c>
      <c r="GZ19" s="7">
        <f>ROUND(0.064,10)</f>
        <v>6.4000000000000001E-2</v>
      </c>
      <c r="HA19" s="7">
        <f>ROUND(0.051,10)</f>
        <v>5.0999999999999997E-2</v>
      </c>
      <c r="HB19" s="7">
        <f>ROUND(0.049,10)</f>
        <v>4.9000000000000002E-2</v>
      </c>
      <c r="HC19" s="7">
        <f>ROUND(0.047,10)</f>
        <v>4.7E-2</v>
      </c>
      <c r="HD19" s="7">
        <f>ROUND(0.044,10)</f>
        <v>4.3999999999999997E-2</v>
      </c>
      <c r="HE19" s="7">
        <f>ROUND(0.042,10)</f>
        <v>4.2000000000000003E-2</v>
      </c>
      <c r="HF19" s="7">
        <f>ROUND(0.043,10)</f>
        <v>4.2999999999999997E-2</v>
      </c>
      <c r="HG19" s="7">
        <f>ROUND(0.047,10)</f>
        <v>4.7E-2</v>
      </c>
      <c r="HH19" s="7">
        <f>ROUND(0.044,10)</f>
        <v>4.3999999999999997E-2</v>
      </c>
      <c r="HI19" s="7">
        <f>ROUND(0.04,10)</f>
        <v>0.04</v>
      </c>
      <c r="HJ19" s="7">
        <f>ROUND(0.039,10)</f>
        <v>3.9E-2</v>
      </c>
      <c r="HK19" s="7">
        <f>ROUND(0.037,10)</f>
        <v>3.6999999999999998E-2</v>
      </c>
      <c r="HL19" s="7">
        <f>ROUND(0.042,10)</f>
        <v>4.2000000000000003E-2</v>
      </c>
      <c r="HM19" s="7">
        <f>ROUND(0.034,10)</f>
        <v>3.4000000000000002E-2</v>
      </c>
      <c r="HN19" s="7">
        <f>ROUND(0.032,10)</f>
        <v>3.2000000000000001E-2</v>
      </c>
      <c r="HO19" s="7">
        <f>ROUND(0.028,10)</f>
        <v>2.8000000000000001E-2</v>
      </c>
      <c r="HP19" s="7">
        <f>ROUND(0.028,10)</f>
        <v>2.8000000000000001E-2</v>
      </c>
      <c r="HQ19" s="7">
        <f>ROUND(0.026,10)</f>
        <v>2.5999999999999999E-2</v>
      </c>
      <c r="HR19" s="7">
        <f>ROUND(0.023,10)</f>
        <v>2.3E-2</v>
      </c>
      <c r="HS19" s="7">
        <f>ROUND(0.022,10)</f>
        <v>2.1999999999999999E-2</v>
      </c>
      <c r="HT19" s="7">
        <f>ROUND(0.021,10)</f>
        <v>2.1000000000000001E-2</v>
      </c>
      <c r="HU19" s="7">
        <f>ROUND(0.016,10)</f>
        <v>1.6E-2</v>
      </c>
      <c r="HV19" s="7">
        <f>ROUND(0.009,10)</f>
        <v>8.9999999999999993E-3</v>
      </c>
      <c r="HW19" s="7">
        <f>ROUND(0.006,10)</f>
        <v>6.0000000000000001E-3</v>
      </c>
      <c r="HX19" s="7">
        <f>ROUND(0.008,10)</f>
        <v>8.0000000000000002E-3</v>
      </c>
      <c r="HY19" s="7">
        <f>ROUND(0.001,10)</f>
        <v>1E-3</v>
      </c>
      <c r="HZ19" s="7">
        <f>ROUND(-0.003,10)</f>
        <v>-3.0000000000000001E-3</v>
      </c>
      <c r="IA19" s="7">
        <f>ROUND(-0.003,10)</f>
        <v>-3.0000000000000001E-3</v>
      </c>
      <c r="IB19" s="7">
        <f>ROUND(-0.006,10)</f>
        <v>-6.0000000000000001E-3</v>
      </c>
      <c r="IC19" s="7">
        <f>ROUND(-0.009,10)</f>
        <v>-8.9999999999999993E-3</v>
      </c>
      <c r="ID19" s="7">
        <f>ROUND(-0.013,10)</f>
        <v>-1.2999999999999999E-2</v>
      </c>
      <c r="IE19" s="7">
        <f>ROUND(0.014,10)</f>
        <v>1.4E-2</v>
      </c>
      <c r="IF19" s="7">
        <f>ROUND(0.014,10)</f>
        <v>1.4E-2</v>
      </c>
      <c r="IG19" s="7">
        <f>ROUND(0.013,10)</f>
        <v>1.2999999999999999E-2</v>
      </c>
      <c r="IH19" s="7">
        <f>ROUND(0.011,10)</f>
        <v>1.0999999999999999E-2</v>
      </c>
      <c r="II19" s="7">
        <f>ROUND(0.01,10)</f>
        <v>0.01</v>
      </c>
      <c r="IJ19" s="7">
        <f>ROUND(0.009,10)</f>
        <v>8.9999999999999993E-3</v>
      </c>
      <c r="IK19" s="7">
        <f>ROUND(0.006,10)</f>
        <v>6.0000000000000001E-3</v>
      </c>
      <c r="IL19" s="7">
        <f>ROUND(0.005,10)</f>
        <v>5.0000000000000001E-3</v>
      </c>
      <c r="IM19" s="7">
        <f>ROUND(0.004,10)</f>
        <v>4.0000000000000001E-3</v>
      </c>
      <c r="IN19" s="7">
        <f>ROUND(0.003,10)</f>
        <v>3.0000000000000001E-3</v>
      </c>
      <c r="IO19" s="7">
        <f>ROUND(0.004,10)</f>
        <v>4.0000000000000001E-3</v>
      </c>
      <c r="IP19" s="7">
        <f>ROUND(0.002,10)</f>
        <v>2E-3</v>
      </c>
      <c r="IQ19" s="7">
        <f>ROUND(0.003,10)</f>
        <v>3.0000000000000001E-3</v>
      </c>
      <c r="IR19" s="7">
        <f>ROUND(0.004,10)</f>
        <v>4.0000000000000001E-3</v>
      </c>
      <c r="IS19" s="7">
        <f>ROUND(0.004,10)</f>
        <v>4.0000000000000001E-3</v>
      </c>
      <c r="IT19" s="7">
        <f>ROUND(0.004,10)</f>
        <v>4.0000000000000001E-3</v>
      </c>
      <c r="IU19" s="7">
        <f>ROUND(0.004,10)</f>
        <v>4.0000000000000001E-3</v>
      </c>
      <c r="IV19" s="7">
        <f>ROUND(0.003,10)</f>
        <v>3.0000000000000001E-3</v>
      </c>
      <c r="IW19" s="7">
        <f>ROUND(0.004,10)</f>
        <v>4.0000000000000001E-3</v>
      </c>
    </row>
    <row r="20" spans="1:258">
      <c r="A20" s="6" t="s">
        <v>42</v>
      </c>
      <c r="B20" s="7">
        <f>ROUND(0.323,10)</f>
        <v>0.32300000000000001</v>
      </c>
      <c r="C20" s="7">
        <f>ROUND(0.321,10)</f>
        <v>0.32100000000000001</v>
      </c>
      <c r="D20" s="7">
        <f>ROUND(0.319,10)</f>
        <v>0.31900000000000001</v>
      </c>
      <c r="E20" s="7">
        <f>ROUND(0.319,10)</f>
        <v>0.31900000000000001</v>
      </c>
      <c r="F20" s="7">
        <f>ROUND(0.319,10)</f>
        <v>0.31900000000000001</v>
      </c>
      <c r="G20" s="7">
        <f>ROUND(0.318,10)</f>
        <v>0.318</v>
      </c>
      <c r="H20" s="7">
        <f>ROUND(0.317,10)</f>
        <v>0.317</v>
      </c>
      <c r="I20" s="7">
        <f>ROUND(0.318,10)</f>
        <v>0.318</v>
      </c>
      <c r="J20" s="7">
        <f>ROUND(0.315,10)</f>
        <v>0.315</v>
      </c>
      <c r="K20" s="7">
        <f>ROUND(0.313,10)</f>
        <v>0.313</v>
      </c>
      <c r="L20" s="7">
        <f>ROUND(0.299,10)</f>
        <v>0.29899999999999999</v>
      </c>
      <c r="M20" s="7">
        <f>ROUND(0.289,10)</f>
        <v>0.28899999999999998</v>
      </c>
      <c r="N20" s="7">
        <f>ROUND(0.284,10)</f>
        <v>0.28399999999999997</v>
      </c>
      <c r="O20" s="7">
        <f>ROUND(0.283,10)</f>
        <v>0.28299999999999997</v>
      </c>
      <c r="P20" s="7">
        <f>ROUND(0.282,10)</f>
        <v>0.28199999999999997</v>
      </c>
      <c r="Q20" s="7">
        <f>ROUND(0.275,10)</f>
        <v>0.27500000000000002</v>
      </c>
      <c r="R20" s="7">
        <f>ROUND(0.277,10)</f>
        <v>0.27700000000000002</v>
      </c>
      <c r="S20" s="7">
        <f>ROUND(0.277,10)</f>
        <v>0.27700000000000002</v>
      </c>
      <c r="T20" s="7">
        <f>ROUND(0.273,10)</f>
        <v>0.27300000000000002</v>
      </c>
      <c r="U20" s="7">
        <f>ROUND(0.271,10)</f>
        <v>0.27100000000000002</v>
      </c>
      <c r="V20" s="7">
        <f>ROUND(0.27,10)</f>
        <v>0.27</v>
      </c>
      <c r="W20" s="7">
        <f>ROUND(0.271,10)</f>
        <v>0.27100000000000002</v>
      </c>
      <c r="X20" s="7">
        <f>ROUND(0.266,10)</f>
        <v>0.26600000000000001</v>
      </c>
      <c r="Y20" s="7">
        <f>ROUND(0.263,10)</f>
        <v>0.26300000000000001</v>
      </c>
      <c r="Z20" s="7">
        <f>ROUND(0.262,10)</f>
        <v>0.26200000000000001</v>
      </c>
      <c r="AA20" s="7">
        <f>ROUND(0.261,10)</f>
        <v>0.26100000000000001</v>
      </c>
      <c r="AB20" s="7">
        <f>ROUND(0.261,10)</f>
        <v>0.26100000000000001</v>
      </c>
      <c r="AC20" s="7">
        <f>ROUND(0.262,10)</f>
        <v>0.26200000000000001</v>
      </c>
      <c r="AD20" s="7">
        <f>ROUND(0.26,10)</f>
        <v>0.26</v>
      </c>
      <c r="AE20" s="7">
        <f>ROUND(0.26,10)</f>
        <v>0.26</v>
      </c>
      <c r="AF20" s="7">
        <f>ROUND(0.259,10)</f>
        <v>0.25900000000000001</v>
      </c>
      <c r="AG20" s="7">
        <f>ROUND(0.258,10)</f>
        <v>0.25800000000000001</v>
      </c>
      <c r="AH20" s="7">
        <f>ROUND(0.258,10)</f>
        <v>0.25800000000000001</v>
      </c>
      <c r="AI20" s="7">
        <f>ROUND(0.255,10)</f>
        <v>0.255</v>
      </c>
      <c r="AJ20" s="7">
        <f>ROUND(0.252,10)</f>
        <v>0.252</v>
      </c>
      <c r="AK20" s="7">
        <f>ROUND(0.25,10)</f>
        <v>0.25</v>
      </c>
      <c r="AL20" s="7">
        <f>ROUND(0.246,10)</f>
        <v>0.246</v>
      </c>
      <c r="AM20" s="7">
        <f>ROUND(0.245,10)</f>
        <v>0.245</v>
      </c>
      <c r="AN20" s="7">
        <f>ROUND(0.241,10)</f>
        <v>0.24099999999999999</v>
      </c>
      <c r="AO20" s="7">
        <f>ROUND(0.238,10)</f>
        <v>0.23799999999999999</v>
      </c>
      <c r="AP20" s="7">
        <f>ROUND(0.233,10)</f>
        <v>0.23300000000000001</v>
      </c>
      <c r="AQ20" s="7">
        <f>ROUND(0.23,10)</f>
        <v>0.23</v>
      </c>
      <c r="AR20" s="7">
        <f>ROUND(0.228,10)</f>
        <v>0.22800000000000001</v>
      </c>
      <c r="AS20" s="7">
        <f>ROUND(0.227,10)</f>
        <v>0.22700000000000001</v>
      </c>
      <c r="AT20" s="7">
        <f>ROUND(0.226,10)</f>
        <v>0.22600000000000001</v>
      </c>
      <c r="AU20" s="7">
        <f>ROUND(0.225,10)</f>
        <v>0.22500000000000001</v>
      </c>
      <c r="AV20" s="7">
        <f>ROUND(0.222,10)</f>
        <v>0.222</v>
      </c>
      <c r="AW20" s="7">
        <f>ROUND(0.219,10)</f>
        <v>0.219</v>
      </c>
      <c r="AX20" s="7">
        <f>ROUND(0.217,10)</f>
        <v>0.217</v>
      </c>
      <c r="AY20" s="7">
        <f>ROUND(0.215,10)</f>
        <v>0.215</v>
      </c>
      <c r="AZ20" s="7">
        <f>ROUND(0.214,10)</f>
        <v>0.214</v>
      </c>
      <c r="BA20" s="7">
        <f>ROUND(0.212,10)</f>
        <v>0.21199999999999999</v>
      </c>
      <c r="BB20" s="7">
        <f>ROUND(0.209,10)</f>
        <v>0.20899999999999999</v>
      </c>
      <c r="BC20" s="7">
        <f>ROUND(0.212,10)</f>
        <v>0.21199999999999999</v>
      </c>
      <c r="BD20" s="7">
        <f>ROUND(0.209,10)</f>
        <v>0.20899999999999999</v>
      </c>
      <c r="BE20" s="7">
        <f>ROUND(0.205,10)</f>
        <v>0.20499999999999999</v>
      </c>
      <c r="BF20" s="7">
        <f>ROUND(0.203,10)</f>
        <v>0.20300000000000001</v>
      </c>
      <c r="BG20" s="7">
        <f>ROUND(0.202,10)</f>
        <v>0.20200000000000001</v>
      </c>
      <c r="BH20" s="7">
        <f>ROUND(0.201,10)</f>
        <v>0.20100000000000001</v>
      </c>
      <c r="BI20" s="7">
        <f>ROUND(0.201,10)</f>
        <v>0.20100000000000001</v>
      </c>
      <c r="BJ20" s="7">
        <f>ROUND(0.199,10)</f>
        <v>0.19900000000000001</v>
      </c>
      <c r="BK20" s="7">
        <f>ROUND(0.198,10)</f>
        <v>0.19800000000000001</v>
      </c>
      <c r="BL20" s="7">
        <f>ROUND(0.198,10)</f>
        <v>0.19800000000000001</v>
      </c>
      <c r="BM20" s="7">
        <f>ROUND(0.196,10)</f>
        <v>0.19600000000000001</v>
      </c>
      <c r="BN20" s="7">
        <f>ROUND(0.195,10)</f>
        <v>0.19500000000000001</v>
      </c>
      <c r="BO20" s="7">
        <f>ROUND(0.195,10)</f>
        <v>0.19500000000000001</v>
      </c>
      <c r="BP20" s="7">
        <f>ROUND(0.191,10)</f>
        <v>0.191</v>
      </c>
      <c r="BQ20" s="7">
        <f>ROUND(0.19,10)</f>
        <v>0.19</v>
      </c>
      <c r="BR20" s="7">
        <f>ROUND(0.188,10)</f>
        <v>0.188</v>
      </c>
      <c r="BS20" s="7">
        <f>ROUND(0.187,10)</f>
        <v>0.187</v>
      </c>
      <c r="BT20" s="7">
        <f>ROUND(0.183,10)</f>
        <v>0.183</v>
      </c>
      <c r="BU20" s="7">
        <f>ROUND(0.18,10)</f>
        <v>0.18</v>
      </c>
      <c r="BV20" s="7">
        <f>ROUND(0.178,10)</f>
        <v>0.17799999999999999</v>
      </c>
      <c r="BW20" s="7">
        <f>ROUND(0.177,10)</f>
        <v>0.17699999999999999</v>
      </c>
      <c r="BX20" s="7">
        <f>ROUND(0.176,10)</f>
        <v>0.17599999999999999</v>
      </c>
      <c r="BY20" s="7">
        <f>ROUND(0.176,10)</f>
        <v>0.17599999999999999</v>
      </c>
      <c r="BZ20" s="7">
        <f>ROUND(0.175,10)</f>
        <v>0.17499999999999999</v>
      </c>
      <c r="CA20" s="7">
        <f>ROUND(0.173,10)</f>
        <v>0.17299999999999999</v>
      </c>
      <c r="CB20" s="7">
        <f>ROUND(0.172,10)</f>
        <v>0.17199999999999999</v>
      </c>
      <c r="CC20" s="7">
        <f>ROUND(0.171,10)</f>
        <v>0.17100000000000001</v>
      </c>
      <c r="CD20" s="7">
        <f>ROUND(0.168,10)</f>
        <v>0.16800000000000001</v>
      </c>
      <c r="CE20" s="7">
        <f>ROUND(0.167,10)</f>
        <v>0.16700000000000001</v>
      </c>
      <c r="CF20" s="7">
        <f>ROUND(0.171,10)</f>
        <v>0.17100000000000001</v>
      </c>
      <c r="CG20" s="7">
        <f>ROUND(0.17,10)</f>
        <v>0.17</v>
      </c>
      <c r="CH20" s="7">
        <f>ROUND(0.167,10)</f>
        <v>0.16700000000000001</v>
      </c>
      <c r="CI20" s="7">
        <f>ROUND(0.169,10)</f>
        <v>0.16900000000000001</v>
      </c>
      <c r="CJ20" s="7">
        <f>ROUND(0.169,10)</f>
        <v>0.16900000000000001</v>
      </c>
      <c r="CK20" s="7">
        <f>ROUND(0.169,10)</f>
        <v>0.16900000000000001</v>
      </c>
      <c r="CL20" s="7">
        <f>ROUND(0.168,10)</f>
        <v>0.16800000000000001</v>
      </c>
      <c r="CM20" s="7">
        <f>ROUND(0.169,10)</f>
        <v>0.16900000000000001</v>
      </c>
      <c r="CN20" s="7">
        <f>ROUND(0.169,10)</f>
        <v>0.16900000000000001</v>
      </c>
      <c r="CO20" s="7">
        <f>ROUND(0.168,10)</f>
        <v>0.16800000000000001</v>
      </c>
      <c r="CP20" s="7">
        <f>ROUND(0.167,10)</f>
        <v>0.16700000000000001</v>
      </c>
      <c r="CQ20" s="7">
        <f>ROUND(0.168,10)</f>
        <v>0.16800000000000001</v>
      </c>
      <c r="CR20" s="7">
        <f>ROUND(0.164,10)</f>
        <v>0.16400000000000001</v>
      </c>
      <c r="CS20" s="7">
        <f>ROUND(0.162,10)</f>
        <v>0.16200000000000001</v>
      </c>
      <c r="CT20" s="7">
        <f>ROUND(0.162,10)</f>
        <v>0.16200000000000001</v>
      </c>
      <c r="CU20" s="7">
        <f>ROUND(0.162,10)</f>
        <v>0.16200000000000001</v>
      </c>
      <c r="CV20" s="7">
        <f>ROUND(0.163,10)</f>
        <v>0.16300000000000001</v>
      </c>
      <c r="CW20" s="7">
        <f>ROUND(0.161,10)</f>
        <v>0.161</v>
      </c>
      <c r="CX20" s="7">
        <f>ROUND(0.16,10)</f>
        <v>0.16</v>
      </c>
      <c r="CY20" s="7">
        <f>ROUND(0.159,10)</f>
        <v>0.159</v>
      </c>
      <c r="CZ20" s="7">
        <f>ROUND(0.16,10)</f>
        <v>0.16</v>
      </c>
      <c r="DA20" s="7">
        <f>ROUND(0.161,10)</f>
        <v>0.161</v>
      </c>
      <c r="DB20" s="7">
        <f>ROUND(0.158,10)</f>
        <v>0.158</v>
      </c>
      <c r="DC20" s="7">
        <f>ROUND(0.16,10)</f>
        <v>0.16</v>
      </c>
      <c r="DD20" s="7">
        <f>ROUND(0.162,10)</f>
        <v>0.16200000000000001</v>
      </c>
      <c r="DE20" s="7">
        <f>ROUND(0.161,10)</f>
        <v>0.161</v>
      </c>
      <c r="DF20" s="7">
        <f>ROUND(0.163,10)</f>
        <v>0.16300000000000001</v>
      </c>
      <c r="DG20" s="7">
        <f>ROUND(0.163,10)</f>
        <v>0.16300000000000001</v>
      </c>
      <c r="DH20" s="7">
        <f>ROUND(0.166,10)</f>
        <v>0.16600000000000001</v>
      </c>
      <c r="DI20" s="7">
        <f>ROUND(0.161,10)</f>
        <v>0.161</v>
      </c>
      <c r="DJ20" s="7">
        <f>ROUND(0.163,10)</f>
        <v>0.16300000000000001</v>
      </c>
      <c r="DK20" s="7">
        <f>ROUND(0.164,10)</f>
        <v>0.16400000000000001</v>
      </c>
      <c r="DL20" s="7">
        <f>ROUND(0.166,10)</f>
        <v>0.16600000000000001</v>
      </c>
      <c r="DM20" s="7">
        <f>ROUND(0.166,10)</f>
        <v>0.16600000000000001</v>
      </c>
      <c r="DN20" s="7">
        <f>ROUND(0.166,10)</f>
        <v>0.16600000000000001</v>
      </c>
      <c r="DO20" s="7">
        <f>ROUND(0.166,10)</f>
        <v>0.16600000000000001</v>
      </c>
      <c r="DP20" s="7">
        <f>ROUND(0.164,10)</f>
        <v>0.16400000000000001</v>
      </c>
      <c r="DQ20" s="7">
        <f>ROUND(0.163,10)</f>
        <v>0.16300000000000001</v>
      </c>
      <c r="DR20" s="7">
        <f>ROUND(0.163,10)</f>
        <v>0.16300000000000001</v>
      </c>
      <c r="DS20" s="7">
        <f>ROUND(0.162,10)</f>
        <v>0.16200000000000001</v>
      </c>
      <c r="DT20" s="7">
        <f>ROUND(0.162,10)</f>
        <v>0.16200000000000001</v>
      </c>
      <c r="DU20" s="7">
        <f>ROUND(0.163,10)</f>
        <v>0.16300000000000001</v>
      </c>
      <c r="DV20" s="7">
        <f>ROUND(0.164,10)</f>
        <v>0.16400000000000001</v>
      </c>
      <c r="DW20" s="7">
        <f>ROUND(0.164,10)</f>
        <v>0.16400000000000001</v>
      </c>
      <c r="DX20" s="7">
        <f>ROUND(0.163,10)</f>
        <v>0.16300000000000001</v>
      </c>
      <c r="DY20" s="7">
        <f>ROUND(0.163,10)</f>
        <v>0.16300000000000001</v>
      </c>
      <c r="DZ20" s="7">
        <f>ROUND(0.164,10)</f>
        <v>0.16400000000000001</v>
      </c>
      <c r="EA20" s="7">
        <f>ROUND(0.164,10)</f>
        <v>0.16400000000000001</v>
      </c>
      <c r="EB20" s="7">
        <f>ROUND(0.164,10)</f>
        <v>0.16400000000000001</v>
      </c>
      <c r="EC20" s="7">
        <f>ROUND(0.163,10)</f>
        <v>0.16300000000000001</v>
      </c>
      <c r="ED20" s="7">
        <f>ROUND(0.164,10)</f>
        <v>0.16400000000000001</v>
      </c>
      <c r="EE20" s="7">
        <f>ROUND(0.166,10)</f>
        <v>0.16600000000000001</v>
      </c>
      <c r="EF20" s="7">
        <f>ROUND(0.168,10)</f>
        <v>0.16800000000000001</v>
      </c>
      <c r="EG20" s="7">
        <f>ROUND(0.169,10)</f>
        <v>0.16900000000000001</v>
      </c>
      <c r="EH20" s="7">
        <f>ROUND(0.169,10)</f>
        <v>0.16900000000000001</v>
      </c>
      <c r="EI20" s="7">
        <f>ROUND(0.17,10)</f>
        <v>0.17</v>
      </c>
      <c r="EJ20" s="7">
        <f>ROUND(0.171,10)</f>
        <v>0.17100000000000001</v>
      </c>
      <c r="EK20" s="7">
        <f>ROUND(0.17,10)</f>
        <v>0.17</v>
      </c>
      <c r="EL20" s="7">
        <f>ROUND(0.171,10)</f>
        <v>0.17100000000000001</v>
      </c>
      <c r="EM20" s="7">
        <f>ROUND(0.171,10)</f>
        <v>0.17100000000000001</v>
      </c>
      <c r="EN20" s="7">
        <f>ROUND(0.17,10)</f>
        <v>0.17</v>
      </c>
      <c r="EO20" s="7">
        <f>ROUND(0.169,10)</f>
        <v>0.16900000000000001</v>
      </c>
      <c r="EP20" s="7">
        <f>ROUND(0.169,10)</f>
        <v>0.16900000000000001</v>
      </c>
      <c r="EQ20" s="7">
        <f>ROUND(0.169,10)</f>
        <v>0.16900000000000001</v>
      </c>
      <c r="ER20" s="7">
        <f>ROUND(0.169,10)</f>
        <v>0.16900000000000001</v>
      </c>
      <c r="ES20" s="7">
        <f>ROUND(0.167,10)</f>
        <v>0.16700000000000001</v>
      </c>
      <c r="ET20" s="7">
        <f>ROUND(0.166,10)</f>
        <v>0.16600000000000001</v>
      </c>
      <c r="EU20" s="7">
        <f>ROUND(0.164,10)</f>
        <v>0.16400000000000001</v>
      </c>
      <c r="EV20" s="7">
        <f>ROUND(0.163,10)</f>
        <v>0.16300000000000001</v>
      </c>
      <c r="EW20" s="7">
        <f>ROUND(0.163,10)</f>
        <v>0.16300000000000001</v>
      </c>
      <c r="EX20" s="7">
        <f>ROUND(0.163,10)</f>
        <v>0.16300000000000001</v>
      </c>
      <c r="EY20" s="7">
        <f>ROUND(0.162,10)</f>
        <v>0.16200000000000001</v>
      </c>
      <c r="EZ20" s="7">
        <f>ROUND(0.162,10)</f>
        <v>0.16200000000000001</v>
      </c>
      <c r="FA20" s="7">
        <f>ROUND(0.161,10)</f>
        <v>0.161</v>
      </c>
      <c r="FB20" s="7">
        <f>ROUND(0.161,10)</f>
        <v>0.161</v>
      </c>
      <c r="FC20" s="7">
        <f>ROUND(0.161,10)</f>
        <v>0.161</v>
      </c>
      <c r="FD20" s="7">
        <f>ROUND(0.161,10)</f>
        <v>0.161</v>
      </c>
      <c r="FE20" s="7">
        <f>ROUND(0.159,10)</f>
        <v>0.159</v>
      </c>
      <c r="FF20" s="7">
        <f>ROUND(0.16,10)</f>
        <v>0.16</v>
      </c>
      <c r="FG20" s="7">
        <f>ROUND(0.159,10)</f>
        <v>0.159</v>
      </c>
      <c r="FH20" s="7">
        <f>ROUND(0.16,10)</f>
        <v>0.16</v>
      </c>
      <c r="FI20" s="7">
        <f>ROUND(0.16,10)</f>
        <v>0.16</v>
      </c>
      <c r="FJ20" s="7">
        <f>ROUND(0.161,10)</f>
        <v>0.161</v>
      </c>
      <c r="FK20" s="7">
        <f>ROUND(0.16,10)</f>
        <v>0.16</v>
      </c>
      <c r="FL20" s="7">
        <f>ROUND(0.16,10)</f>
        <v>0.16</v>
      </c>
      <c r="FM20" s="7">
        <f>ROUND(0.161,10)</f>
        <v>0.161</v>
      </c>
      <c r="FN20" s="7">
        <f>ROUND(0.16,10)</f>
        <v>0.16</v>
      </c>
      <c r="FO20" s="7">
        <f>ROUND(0.161,10)</f>
        <v>0.161</v>
      </c>
      <c r="FP20" s="7">
        <f>ROUND(0.16,10)</f>
        <v>0.16</v>
      </c>
      <c r="FQ20" s="7">
        <f>ROUND(0.161,10)</f>
        <v>0.161</v>
      </c>
      <c r="FR20" s="7">
        <f>ROUND(0.158,10)</f>
        <v>0.158</v>
      </c>
      <c r="FS20" s="7">
        <f>ROUND(0.158,10)</f>
        <v>0.158</v>
      </c>
      <c r="FT20" s="7">
        <f>ROUND(0.158,10)</f>
        <v>0.158</v>
      </c>
      <c r="FU20" s="7">
        <f>ROUND(0.158,10)</f>
        <v>0.158</v>
      </c>
      <c r="FV20" s="7">
        <f>ROUND(0.157,10)</f>
        <v>0.157</v>
      </c>
      <c r="FW20" s="7">
        <f>ROUND(0.157,10)</f>
        <v>0.157</v>
      </c>
      <c r="FX20" s="7">
        <f>ROUND(0.157,10)</f>
        <v>0.157</v>
      </c>
      <c r="FY20" s="7">
        <f>ROUND(0.155,10)</f>
        <v>0.155</v>
      </c>
      <c r="FZ20" s="7">
        <f>ROUND(0.156,10)</f>
        <v>0.156</v>
      </c>
      <c r="GA20" s="7">
        <f>ROUND(0.156,10)</f>
        <v>0.156</v>
      </c>
      <c r="GB20" s="7">
        <f>ROUND(0.154,10)</f>
        <v>0.154</v>
      </c>
      <c r="GC20" s="7">
        <f>ROUND(0.152,10)</f>
        <v>0.152</v>
      </c>
      <c r="GD20" s="7">
        <f>ROUND(0.15,10)</f>
        <v>0.15</v>
      </c>
      <c r="GE20" s="7">
        <f>ROUND(0.147,10)</f>
        <v>0.14699999999999999</v>
      </c>
      <c r="GF20" s="7">
        <f>ROUND(0.148,10)</f>
        <v>0.14799999999999999</v>
      </c>
      <c r="GG20" s="7">
        <f>ROUND(0.146,10)</f>
        <v>0.14599999999999999</v>
      </c>
      <c r="GH20" s="7">
        <f>ROUND(0.145,10)</f>
        <v>0.14499999999999999</v>
      </c>
      <c r="GI20" s="7">
        <f>ROUND(0.143,10)</f>
        <v>0.14299999999999999</v>
      </c>
      <c r="GJ20" s="7">
        <f>ROUND(0.142,10)</f>
        <v>0.14199999999999999</v>
      </c>
      <c r="GK20" s="7">
        <f>ROUND(0.14,10)</f>
        <v>0.14000000000000001</v>
      </c>
      <c r="GL20" s="7">
        <f>ROUND(0.139,10)</f>
        <v>0.13900000000000001</v>
      </c>
      <c r="GM20" s="7">
        <f>ROUND(0.137,10)</f>
        <v>0.13700000000000001</v>
      </c>
      <c r="GN20" s="7">
        <f>ROUND(0.139,10)</f>
        <v>0.13900000000000001</v>
      </c>
      <c r="GO20" s="7">
        <f>ROUND(0.14,10)</f>
        <v>0.14000000000000001</v>
      </c>
      <c r="GP20" s="7">
        <f>ROUND(0.139,10)</f>
        <v>0.13900000000000001</v>
      </c>
      <c r="GQ20" s="7">
        <f>ROUND(0.139,10)</f>
        <v>0.13900000000000001</v>
      </c>
      <c r="GR20" s="7">
        <f>ROUND(0.139,10)</f>
        <v>0.13900000000000001</v>
      </c>
      <c r="GS20" s="7">
        <f>ROUND(0.139,10)</f>
        <v>0.13900000000000001</v>
      </c>
      <c r="GT20" s="7">
        <f>ROUND(0.137,10)</f>
        <v>0.13700000000000001</v>
      </c>
      <c r="GU20" s="7">
        <f>ROUND(0.134,10)</f>
        <v>0.13400000000000001</v>
      </c>
      <c r="GV20" s="7">
        <f>ROUND(0.129,10)</f>
        <v>0.129</v>
      </c>
      <c r="GW20" s="7">
        <f>ROUND(0.128,10)</f>
        <v>0.128</v>
      </c>
      <c r="GX20" s="7">
        <f>ROUND(0.129,10)</f>
        <v>0.129</v>
      </c>
      <c r="GY20" s="7">
        <f>ROUND(0.13,10)</f>
        <v>0.13</v>
      </c>
      <c r="GZ20" s="7">
        <f>ROUND(0.129,10)</f>
        <v>0.129</v>
      </c>
      <c r="HA20" s="7">
        <f>ROUND(0.114,10)</f>
        <v>0.114</v>
      </c>
      <c r="HB20" s="7">
        <f>ROUND(0.11,10)</f>
        <v>0.11</v>
      </c>
      <c r="HC20" s="7">
        <f>ROUND(0.108,10)</f>
        <v>0.108</v>
      </c>
      <c r="HD20" s="7">
        <f>ROUND(0.104,10)</f>
        <v>0.104</v>
      </c>
      <c r="HE20" s="7">
        <f>ROUND(0.104,10)</f>
        <v>0.104</v>
      </c>
      <c r="HF20" s="7">
        <f>ROUND(0.107,10)</f>
        <v>0.107</v>
      </c>
      <c r="HG20" s="7">
        <f>ROUND(0.109,10)</f>
        <v>0.109</v>
      </c>
      <c r="HH20" s="7">
        <f>ROUND(0.106,10)</f>
        <v>0.106</v>
      </c>
      <c r="HI20" s="7">
        <f>ROUND(0.101,10)</f>
        <v>0.10100000000000001</v>
      </c>
      <c r="HJ20" s="7">
        <f>ROUND(0.098,10)</f>
        <v>9.8000000000000004E-2</v>
      </c>
      <c r="HK20" s="7">
        <f>ROUND(0.096,10)</f>
        <v>9.6000000000000002E-2</v>
      </c>
      <c r="HL20" s="7">
        <f>ROUND(0.101,10)</f>
        <v>0.10100000000000001</v>
      </c>
      <c r="HM20" s="7">
        <f>ROUND(0.091,10)</f>
        <v>9.0999999999999998E-2</v>
      </c>
      <c r="HN20" s="7">
        <f>ROUND(0.089,10)</f>
        <v>8.8999999999999996E-2</v>
      </c>
      <c r="HO20" s="7">
        <f>ROUND(0.084,10)</f>
        <v>8.4000000000000005E-2</v>
      </c>
      <c r="HP20" s="7">
        <f>ROUND(0.082,10)</f>
        <v>8.2000000000000003E-2</v>
      </c>
      <c r="HQ20" s="7">
        <f>ROUND(0.077,10)</f>
        <v>7.6999999999999999E-2</v>
      </c>
      <c r="HR20" s="7">
        <f>ROUND(0.076,10)</f>
        <v>7.5999999999999998E-2</v>
      </c>
      <c r="HS20" s="7">
        <f>ROUND(0.076,10)</f>
        <v>7.5999999999999998E-2</v>
      </c>
      <c r="HT20" s="7">
        <f>ROUND(0.074,10)</f>
        <v>7.3999999999999996E-2</v>
      </c>
      <c r="HU20" s="7">
        <f>ROUND(0.068,10)</f>
        <v>6.8000000000000005E-2</v>
      </c>
      <c r="HV20" s="7">
        <f>ROUND(0.062,10)</f>
        <v>6.2E-2</v>
      </c>
      <c r="HW20" s="7">
        <f>ROUND(0.058,10)</f>
        <v>5.8000000000000003E-2</v>
      </c>
      <c r="HX20" s="7">
        <f>ROUND(0.06,10)</f>
        <v>0.06</v>
      </c>
      <c r="HY20" s="7">
        <f>ROUND(0.053,10)</f>
        <v>5.2999999999999999E-2</v>
      </c>
      <c r="HZ20" s="7">
        <f>ROUND(0.048,10)</f>
        <v>4.8000000000000001E-2</v>
      </c>
      <c r="IA20" s="7">
        <f>ROUND(0.048,10)</f>
        <v>4.8000000000000001E-2</v>
      </c>
      <c r="IB20" s="7">
        <f>ROUND(0.045,10)</f>
        <v>4.4999999999999998E-2</v>
      </c>
      <c r="IC20" s="7">
        <f>ROUND(0.043,10)</f>
        <v>4.2999999999999997E-2</v>
      </c>
      <c r="ID20" s="7">
        <f>ROUND(0.039,10)</f>
        <v>3.9E-2</v>
      </c>
      <c r="IE20" s="7">
        <f>ROUND(0.068,10)</f>
        <v>6.8000000000000005E-2</v>
      </c>
      <c r="IF20" s="7">
        <f>ROUND(0.066,10)</f>
        <v>6.6000000000000003E-2</v>
      </c>
      <c r="IG20" s="7">
        <f>ROUND(0.067,10)</f>
        <v>6.7000000000000004E-2</v>
      </c>
      <c r="IH20" s="7">
        <f>ROUND(0.066,10)</f>
        <v>6.6000000000000003E-2</v>
      </c>
      <c r="II20" s="7">
        <f>ROUND(0.064,10)</f>
        <v>6.4000000000000001E-2</v>
      </c>
      <c r="IJ20" s="7">
        <f>ROUND(0.063,10)</f>
        <v>6.3E-2</v>
      </c>
      <c r="IK20" s="7">
        <f>ROUND(0.06,10)</f>
        <v>0.06</v>
      </c>
      <c r="IL20" s="7">
        <f>ROUND(0.06,10)</f>
        <v>0.06</v>
      </c>
      <c r="IM20" s="7">
        <f>ROUND(0.059,10)</f>
        <v>5.8999999999999997E-2</v>
      </c>
      <c r="IN20" s="7">
        <f>ROUND(0.059,10)</f>
        <v>5.8999999999999997E-2</v>
      </c>
      <c r="IO20" s="7">
        <f>ROUND(0.058,10)</f>
        <v>5.8000000000000003E-2</v>
      </c>
      <c r="IP20" s="7">
        <f>ROUND(0.061,10)</f>
        <v>6.0999999999999999E-2</v>
      </c>
      <c r="IQ20" s="7">
        <f>ROUND(0.06,10)</f>
        <v>0.06</v>
      </c>
      <c r="IR20" s="7">
        <f>ROUND(0.061,10)</f>
        <v>6.0999999999999999E-2</v>
      </c>
      <c r="IS20" s="7">
        <f>ROUND(0.06,10)</f>
        <v>0.06</v>
      </c>
      <c r="IT20" s="7">
        <f>ROUND(0.06,10)</f>
        <v>0.06</v>
      </c>
      <c r="IU20" s="7">
        <f>ROUND(0.058,10)</f>
        <v>5.8000000000000003E-2</v>
      </c>
      <c r="IV20" s="7">
        <f>ROUND(0.059,10)</f>
        <v>5.8999999999999997E-2</v>
      </c>
      <c r="IW20" s="7">
        <f>ROUND(0.06,10)</f>
        <v>0.06</v>
      </c>
    </row>
    <row r="23" spans="1:258">
      <c r="A23" s="8">
        <v>2016</v>
      </c>
      <c r="B23" s="5">
        <v>42373</v>
      </c>
      <c r="C23" s="5">
        <v>42374</v>
      </c>
      <c r="D23" s="5">
        <v>42375</v>
      </c>
      <c r="E23" s="5">
        <v>42376</v>
      </c>
      <c r="F23" s="5">
        <v>42377</v>
      </c>
      <c r="G23" s="5">
        <v>42380</v>
      </c>
      <c r="H23" s="5">
        <v>42381</v>
      </c>
      <c r="I23" s="5">
        <v>42382</v>
      </c>
      <c r="J23" s="5">
        <v>42383</v>
      </c>
      <c r="K23" s="5">
        <v>42384</v>
      </c>
      <c r="L23" s="5">
        <v>42387</v>
      </c>
      <c r="M23" s="5">
        <v>42388</v>
      </c>
      <c r="N23" s="5">
        <v>42389</v>
      </c>
      <c r="O23" s="5">
        <v>42390</v>
      </c>
      <c r="P23" s="5">
        <v>42391</v>
      </c>
      <c r="Q23" s="5">
        <v>42394</v>
      </c>
      <c r="R23" s="5">
        <v>42395</v>
      </c>
      <c r="S23" s="5">
        <v>42396</v>
      </c>
      <c r="T23" s="5">
        <v>42397</v>
      </c>
      <c r="U23" s="5">
        <v>42398</v>
      </c>
      <c r="V23" s="5">
        <v>42401</v>
      </c>
      <c r="W23" s="5">
        <v>42402</v>
      </c>
      <c r="X23" s="5">
        <v>42403</v>
      </c>
      <c r="Y23" s="5">
        <v>42404</v>
      </c>
      <c r="Z23" s="5">
        <v>42405</v>
      </c>
      <c r="AA23" s="5">
        <v>42408</v>
      </c>
      <c r="AB23" s="5">
        <v>42409</v>
      </c>
      <c r="AC23" s="5">
        <v>42410</v>
      </c>
      <c r="AD23" s="5">
        <v>42411</v>
      </c>
      <c r="AE23" s="5">
        <v>42412</v>
      </c>
      <c r="AF23" s="5">
        <v>42415</v>
      </c>
      <c r="AG23" s="5">
        <v>42416</v>
      </c>
      <c r="AH23" s="5">
        <v>42417</v>
      </c>
      <c r="AI23" s="5">
        <v>42418</v>
      </c>
      <c r="AJ23" s="5">
        <v>42419</v>
      </c>
      <c r="AK23" s="5">
        <v>42422</v>
      </c>
      <c r="AL23" s="5">
        <v>42423</v>
      </c>
      <c r="AM23" s="5">
        <v>42424</v>
      </c>
      <c r="AN23" s="5">
        <v>42425</v>
      </c>
      <c r="AO23" s="5">
        <v>42426</v>
      </c>
      <c r="AP23" s="5">
        <v>42429</v>
      </c>
      <c r="AQ23" s="5">
        <v>42430</v>
      </c>
      <c r="AR23" s="5">
        <v>42431</v>
      </c>
      <c r="AS23" s="5">
        <v>42432</v>
      </c>
      <c r="AT23" s="5">
        <v>42433</v>
      </c>
      <c r="AU23" s="5">
        <v>42436</v>
      </c>
      <c r="AV23" s="5">
        <v>42437</v>
      </c>
      <c r="AW23" s="5">
        <v>42438</v>
      </c>
      <c r="AX23" s="5">
        <v>42439</v>
      </c>
      <c r="AY23" s="5">
        <v>42440</v>
      </c>
      <c r="AZ23" s="5">
        <v>42443</v>
      </c>
      <c r="BA23" s="5">
        <v>42444</v>
      </c>
      <c r="BB23" s="5">
        <v>42445</v>
      </c>
      <c r="BC23" s="5">
        <v>42446</v>
      </c>
      <c r="BD23" s="5">
        <v>42447</v>
      </c>
      <c r="BE23" s="5">
        <v>42450</v>
      </c>
      <c r="BF23" s="5">
        <v>42451</v>
      </c>
      <c r="BG23" s="5">
        <v>42452</v>
      </c>
      <c r="BH23" s="5">
        <v>42453</v>
      </c>
      <c r="BI23" s="5">
        <v>42458</v>
      </c>
      <c r="BJ23" s="5">
        <v>42459</v>
      </c>
      <c r="BK23" s="5">
        <v>42460</v>
      </c>
      <c r="BL23" s="5">
        <v>42461</v>
      </c>
      <c r="BM23" s="5">
        <v>42464</v>
      </c>
      <c r="BN23" s="5">
        <v>42465</v>
      </c>
      <c r="BO23" s="5">
        <v>42466</v>
      </c>
      <c r="BP23" s="5">
        <v>42467</v>
      </c>
      <c r="BQ23" s="5">
        <v>42468</v>
      </c>
      <c r="BR23" s="5">
        <v>42471</v>
      </c>
      <c r="BS23" s="5">
        <v>42472</v>
      </c>
      <c r="BT23" s="5">
        <v>42473</v>
      </c>
      <c r="BU23" s="5">
        <v>42474</v>
      </c>
      <c r="BV23" s="5">
        <v>42475</v>
      </c>
      <c r="BW23" s="5">
        <v>42478</v>
      </c>
      <c r="BX23" s="5">
        <v>42479</v>
      </c>
      <c r="BY23" s="5">
        <v>42480</v>
      </c>
      <c r="BZ23" s="5">
        <v>42481</v>
      </c>
      <c r="CA23" s="5">
        <v>42482</v>
      </c>
      <c r="CB23" s="5">
        <v>42485</v>
      </c>
      <c r="CC23" s="5">
        <v>42486</v>
      </c>
      <c r="CD23" s="5">
        <v>42487</v>
      </c>
      <c r="CE23" s="5">
        <v>42488</v>
      </c>
      <c r="CF23" s="5">
        <v>42489</v>
      </c>
      <c r="CG23" s="5">
        <v>42492</v>
      </c>
      <c r="CH23" s="5">
        <v>42493</v>
      </c>
      <c r="CI23" s="5">
        <v>42494</v>
      </c>
      <c r="CJ23" s="5">
        <v>42495</v>
      </c>
      <c r="CK23" s="5">
        <v>42496</v>
      </c>
      <c r="CL23" s="5">
        <v>42499</v>
      </c>
      <c r="CM23" s="5">
        <v>42500</v>
      </c>
      <c r="CN23" s="5">
        <v>42501</v>
      </c>
      <c r="CO23" s="5">
        <v>42502</v>
      </c>
      <c r="CP23" s="5">
        <v>42503</v>
      </c>
      <c r="CQ23" s="5">
        <v>42506</v>
      </c>
      <c r="CR23" s="5">
        <v>42507</v>
      </c>
      <c r="CS23" s="5">
        <v>42508</v>
      </c>
      <c r="CT23" s="5">
        <v>42509</v>
      </c>
      <c r="CU23" s="5">
        <v>42510</v>
      </c>
      <c r="CV23" s="5">
        <v>42513</v>
      </c>
      <c r="CW23" s="5">
        <v>42514</v>
      </c>
      <c r="CX23" s="5">
        <v>42515</v>
      </c>
      <c r="CY23" s="5">
        <v>42516</v>
      </c>
      <c r="CZ23" s="5">
        <v>42517</v>
      </c>
      <c r="DA23" s="5">
        <v>42520</v>
      </c>
      <c r="DB23" s="5">
        <v>42521</v>
      </c>
      <c r="DC23" s="5">
        <v>42522</v>
      </c>
      <c r="DD23" s="5">
        <v>42523</v>
      </c>
      <c r="DE23" s="5">
        <v>42524</v>
      </c>
      <c r="DF23" s="5">
        <v>42527</v>
      </c>
      <c r="DG23" s="5">
        <v>42528</v>
      </c>
      <c r="DH23" s="5">
        <v>42529</v>
      </c>
      <c r="DI23" s="5">
        <v>42530</v>
      </c>
      <c r="DJ23" s="5">
        <v>42531</v>
      </c>
      <c r="DK23" s="5">
        <v>42534</v>
      </c>
      <c r="DL23" s="5">
        <v>42535</v>
      </c>
      <c r="DM23" s="5">
        <v>42536</v>
      </c>
      <c r="DN23" s="5">
        <v>42537</v>
      </c>
      <c r="DO23" s="5">
        <v>42538</v>
      </c>
      <c r="DP23" s="5">
        <v>42541</v>
      </c>
      <c r="DQ23" s="5">
        <v>42542</v>
      </c>
      <c r="DR23" s="5">
        <v>42543</v>
      </c>
      <c r="DS23" s="5">
        <v>42544</v>
      </c>
      <c r="DT23" s="5">
        <v>42545</v>
      </c>
      <c r="DU23" s="5">
        <v>42548</v>
      </c>
      <c r="DV23" s="5">
        <v>42549</v>
      </c>
      <c r="DW23" s="5">
        <v>42550</v>
      </c>
      <c r="DX23" s="5">
        <v>42551</v>
      </c>
      <c r="DY23" s="5">
        <v>42552</v>
      </c>
      <c r="DZ23" s="5">
        <v>42555</v>
      </c>
      <c r="EA23" s="5">
        <v>42556</v>
      </c>
      <c r="EB23" s="5">
        <v>42557</v>
      </c>
      <c r="EC23" s="5">
        <v>42558</v>
      </c>
      <c r="ED23" s="5">
        <v>42559</v>
      </c>
      <c r="EE23" s="5">
        <v>42562</v>
      </c>
      <c r="EF23" s="5">
        <v>42563</v>
      </c>
      <c r="EG23" s="5">
        <v>42564</v>
      </c>
      <c r="EH23" s="5">
        <v>42565</v>
      </c>
      <c r="EI23" s="5">
        <v>42566</v>
      </c>
      <c r="EJ23" s="5">
        <v>42569</v>
      </c>
      <c r="EK23" s="5">
        <v>42570</v>
      </c>
      <c r="EL23" s="5">
        <v>42571</v>
      </c>
      <c r="EM23" s="5">
        <v>42572</v>
      </c>
      <c r="EN23" s="5">
        <v>42573</v>
      </c>
      <c r="EO23" s="5">
        <v>42576</v>
      </c>
      <c r="EP23" s="5">
        <v>42577</v>
      </c>
      <c r="EQ23" s="5">
        <v>42578</v>
      </c>
      <c r="ER23" s="5">
        <v>42579</v>
      </c>
      <c r="ES23" s="5">
        <v>42580</v>
      </c>
      <c r="ET23" s="5">
        <v>42583</v>
      </c>
      <c r="EU23" s="5">
        <v>42584</v>
      </c>
      <c r="EV23" s="5">
        <v>42585</v>
      </c>
      <c r="EW23" s="5">
        <v>42586</v>
      </c>
      <c r="EX23" s="5">
        <v>42587</v>
      </c>
      <c r="EY23" s="5">
        <v>42590</v>
      </c>
      <c r="EZ23" s="5">
        <v>42591</v>
      </c>
      <c r="FA23" s="5">
        <v>42592</v>
      </c>
      <c r="FB23" s="5">
        <v>42593</v>
      </c>
      <c r="FC23" s="5">
        <v>42594</v>
      </c>
      <c r="FD23" s="5">
        <v>42597</v>
      </c>
      <c r="FE23" s="5">
        <v>42598</v>
      </c>
      <c r="FF23" s="5">
        <v>42599</v>
      </c>
      <c r="FG23" s="5">
        <v>42600</v>
      </c>
      <c r="FH23" s="5">
        <v>42601</v>
      </c>
      <c r="FI23" s="5">
        <v>42604</v>
      </c>
      <c r="FJ23" s="5">
        <v>42605</v>
      </c>
      <c r="FK23" s="5">
        <v>42606</v>
      </c>
      <c r="FL23" s="5">
        <v>42607</v>
      </c>
      <c r="FM23" s="5">
        <v>42608</v>
      </c>
      <c r="FN23" s="5">
        <v>42611</v>
      </c>
      <c r="FO23" s="5">
        <v>42612</v>
      </c>
      <c r="FP23" s="5">
        <v>42613</v>
      </c>
      <c r="FQ23" s="5">
        <v>42614</v>
      </c>
      <c r="FR23" s="5">
        <v>42615</v>
      </c>
      <c r="FS23" s="5">
        <v>42618</v>
      </c>
      <c r="FT23" s="5">
        <v>42619</v>
      </c>
      <c r="FU23" s="5">
        <v>42620</v>
      </c>
      <c r="FV23" s="5">
        <v>42621</v>
      </c>
      <c r="FW23" s="5">
        <v>42622</v>
      </c>
      <c r="FX23" s="5">
        <v>42625</v>
      </c>
      <c r="FY23" s="5">
        <v>42626</v>
      </c>
      <c r="FZ23" s="5">
        <v>42627</v>
      </c>
      <c r="GA23" s="5">
        <v>42628</v>
      </c>
      <c r="GB23" s="5">
        <v>42629</v>
      </c>
      <c r="GC23" s="5">
        <v>42632</v>
      </c>
      <c r="GD23" s="5">
        <v>42633</v>
      </c>
      <c r="GE23" s="5">
        <v>42634</v>
      </c>
      <c r="GF23" s="5">
        <v>42635</v>
      </c>
      <c r="GG23" s="5">
        <v>42636</v>
      </c>
      <c r="GH23" s="5">
        <v>42639</v>
      </c>
      <c r="GI23" s="5">
        <v>42640</v>
      </c>
      <c r="GJ23" s="5">
        <v>42641</v>
      </c>
      <c r="GK23" s="5">
        <v>42642</v>
      </c>
      <c r="GL23" s="5">
        <v>42643</v>
      </c>
      <c r="GM23" s="5">
        <v>42646</v>
      </c>
      <c r="GN23" s="5">
        <v>42647</v>
      </c>
      <c r="GO23" s="5">
        <v>42648</v>
      </c>
      <c r="GP23" s="5">
        <v>42649</v>
      </c>
      <c r="GQ23" s="5">
        <v>42650</v>
      </c>
      <c r="GR23" s="5">
        <v>42653</v>
      </c>
      <c r="GS23" s="5">
        <v>42654</v>
      </c>
      <c r="GT23" s="5">
        <v>42655</v>
      </c>
      <c r="GU23" s="5">
        <v>42656</v>
      </c>
      <c r="GV23" s="5">
        <v>42657</v>
      </c>
      <c r="GW23" s="5">
        <v>42660</v>
      </c>
      <c r="GX23" s="5">
        <v>42661</v>
      </c>
      <c r="GY23" s="5">
        <v>42662</v>
      </c>
      <c r="GZ23" s="5">
        <v>42663</v>
      </c>
      <c r="HA23" s="5">
        <v>42664</v>
      </c>
      <c r="HB23" s="5">
        <v>42667</v>
      </c>
      <c r="HC23" s="5">
        <v>42668</v>
      </c>
      <c r="HD23" s="5">
        <v>42669</v>
      </c>
      <c r="HE23" s="5">
        <v>42670</v>
      </c>
      <c r="HF23" s="5">
        <v>42671</v>
      </c>
      <c r="HG23" s="5">
        <v>42674</v>
      </c>
      <c r="HH23" s="5">
        <v>42675</v>
      </c>
      <c r="HI23" s="5">
        <v>42676</v>
      </c>
      <c r="HJ23" s="5">
        <v>42677</v>
      </c>
      <c r="HK23" s="5">
        <v>42678</v>
      </c>
      <c r="HL23" s="5">
        <v>42681</v>
      </c>
      <c r="HM23" s="5">
        <v>42682</v>
      </c>
      <c r="HN23" s="5">
        <v>42683</v>
      </c>
      <c r="HO23" s="5">
        <v>42684</v>
      </c>
      <c r="HP23" s="5">
        <v>42685</v>
      </c>
      <c r="HQ23" s="5">
        <v>42688</v>
      </c>
      <c r="HR23" s="5">
        <v>42689</v>
      </c>
      <c r="HS23" s="5">
        <v>42690</v>
      </c>
      <c r="HT23" s="5">
        <v>42691</v>
      </c>
      <c r="HU23" s="5">
        <v>42692</v>
      </c>
      <c r="HV23" s="5">
        <v>42695</v>
      </c>
      <c r="HW23" s="5">
        <v>42696</v>
      </c>
      <c r="HX23" s="5">
        <v>42697</v>
      </c>
      <c r="HY23" s="5">
        <v>42698</v>
      </c>
      <c r="HZ23" s="5">
        <v>42699</v>
      </c>
      <c r="IA23" s="5">
        <v>42702</v>
      </c>
      <c r="IB23" s="5">
        <v>42703</v>
      </c>
      <c r="IC23" s="5">
        <v>42704</v>
      </c>
      <c r="ID23" s="5">
        <v>42705</v>
      </c>
      <c r="IE23" s="5">
        <v>42706</v>
      </c>
      <c r="IF23" s="5">
        <v>42709</v>
      </c>
      <c r="IG23" s="5">
        <v>42710</v>
      </c>
      <c r="IH23" s="5">
        <v>42711</v>
      </c>
      <c r="II23" s="5">
        <v>42712</v>
      </c>
      <c r="IJ23" s="5">
        <v>42713</v>
      </c>
      <c r="IK23" s="5">
        <v>42716</v>
      </c>
      <c r="IL23" s="5">
        <v>42717</v>
      </c>
      <c r="IM23" s="5">
        <v>42718</v>
      </c>
      <c r="IN23" s="5">
        <v>42719</v>
      </c>
      <c r="IO23" s="5">
        <v>42720</v>
      </c>
      <c r="IP23" s="5">
        <v>42723</v>
      </c>
      <c r="IQ23" s="5">
        <v>42724</v>
      </c>
      <c r="IR23" s="5">
        <v>42725</v>
      </c>
      <c r="IS23" s="5">
        <v>42726</v>
      </c>
      <c r="IT23" s="5">
        <v>42727</v>
      </c>
      <c r="IU23" s="5">
        <v>42731</v>
      </c>
      <c r="IV23" s="5">
        <v>42732</v>
      </c>
      <c r="IW23" s="5">
        <v>42733</v>
      </c>
      <c r="IX23" s="5">
        <v>42734</v>
      </c>
    </row>
    <row r="24" spans="1:258">
      <c r="A24" s="6" t="s">
        <v>35</v>
      </c>
      <c r="B24" s="7">
        <f>ROUND(-0.251,10)</f>
        <v>-0.251</v>
      </c>
      <c r="C24" s="7">
        <f>ROUND(-0.252,10)</f>
        <v>-0.252</v>
      </c>
      <c r="D24" s="7">
        <f>ROUND(-0.256,10)</f>
        <v>-0.25600000000000001</v>
      </c>
      <c r="E24" s="7">
        <f>ROUND(-0.261,10)</f>
        <v>-0.26100000000000001</v>
      </c>
      <c r="F24" s="7">
        <f>ROUND(-0.259,10)</f>
        <v>-0.25900000000000001</v>
      </c>
      <c r="G24" s="7">
        <f>ROUND(-0.261,10)</f>
        <v>-0.26100000000000001</v>
      </c>
      <c r="H24" s="7">
        <f>ROUND(-0.261,10)</f>
        <v>-0.26100000000000001</v>
      </c>
      <c r="I24" s="7">
        <f>ROUND(-0.262,10)</f>
        <v>-0.26200000000000001</v>
      </c>
      <c r="J24" s="7">
        <f>ROUND(-0.261,10)</f>
        <v>-0.26100000000000001</v>
      </c>
      <c r="K24" s="7">
        <f>ROUND(-0.262,10)</f>
        <v>-0.26200000000000001</v>
      </c>
      <c r="L24" s="7">
        <f>ROUND(-0.262,10)</f>
        <v>-0.26200000000000001</v>
      </c>
      <c r="M24" s="7">
        <f>ROUND(-0.261,10)</f>
        <v>-0.26100000000000001</v>
      </c>
      <c r="N24" s="7">
        <f>ROUND(-0.265,10)</f>
        <v>-0.26500000000000001</v>
      </c>
      <c r="O24" s="7">
        <f>ROUND(-0.264,10)</f>
        <v>-0.26400000000000001</v>
      </c>
      <c r="P24" s="7">
        <f>ROUND(-0.263,10)</f>
        <v>-0.26300000000000001</v>
      </c>
      <c r="Q24" s="7">
        <f>ROUND(-0.262,10)</f>
        <v>-0.26200000000000001</v>
      </c>
      <c r="R24" s="7">
        <f>ROUND(-0.262,10)</f>
        <v>-0.26200000000000001</v>
      </c>
      <c r="S24" s="7">
        <f>ROUND(-0.261,10)</f>
        <v>-0.26100000000000001</v>
      </c>
      <c r="T24" s="7">
        <f>ROUND(-0.262,10)</f>
        <v>-0.26200000000000001</v>
      </c>
      <c r="U24" s="7">
        <f>ROUND(-0.264,10)</f>
        <v>-0.26400000000000001</v>
      </c>
      <c r="V24" s="7">
        <f>ROUND(-0.262,10)</f>
        <v>-0.26200000000000001</v>
      </c>
      <c r="W24" s="7">
        <f>ROUND(-0.262,10)</f>
        <v>-0.26200000000000001</v>
      </c>
      <c r="X24" s="7">
        <f>ROUND(-0.262,10)</f>
        <v>-0.26200000000000001</v>
      </c>
      <c r="Y24" s="7">
        <f>ROUND(-0.262,10)</f>
        <v>-0.26200000000000001</v>
      </c>
      <c r="Z24" s="7">
        <f>ROUND(-0.265,10)</f>
        <v>-0.26500000000000001</v>
      </c>
      <c r="AA24" s="7">
        <f>ROUND(-0.266,10)</f>
        <v>-0.26600000000000001</v>
      </c>
      <c r="AB24" s="7">
        <f>ROUND(-0.265,10)</f>
        <v>-0.26500000000000001</v>
      </c>
      <c r="AC24" s="7">
        <f>ROUND(-0.267,10)</f>
        <v>-0.26700000000000002</v>
      </c>
      <c r="AD24" s="7">
        <f>ROUND(-0.266,10)</f>
        <v>-0.26600000000000001</v>
      </c>
      <c r="AE24" s="7">
        <f>ROUND(-0.266,10)</f>
        <v>-0.26600000000000001</v>
      </c>
      <c r="AF24" s="7">
        <f>ROUND(-0.267,10)</f>
        <v>-0.26700000000000002</v>
      </c>
      <c r="AG24" s="7">
        <f>ROUND(-0.268,10)</f>
        <v>-0.26800000000000002</v>
      </c>
      <c r="AH24" s="7">
        <f>ROUND(-0.266,10)</f>
        <v>-0.26600000000000001</v>
      </c>
      <c r="AI24" s="7">
        <f>ROUND(-0.268,10)</f>
        <v>-0.26800000000000002</v>
      </c>
      <c r="AJ24" s="7">
        <f>ROUND(-0.268,10)</f>
        <v>-0.26800000000000002</v>
      </c>
      <c r="AK24" s="7">
        <f>ROUND(-0.266,10)</f>
        <v>-0.26600000000000001</v>
      </c>
      <c r="AL24" s="7">
        <f>ROUND(-0.265,10)</f>
        <v>-0.26500000000000001</v>
      </c>
      <c r="AM24" s="7">
        <f>ROUND(-0.266,10)</f>
        <v>-0.26600000000000001</v>
      </c>
      <c r="AN24" s="7">
        <f>ROUND(-0.265,10)</f>
        <v>-0.26500000000000001</v>
      </c>
      <c r="AO24" s="7">
        <f>ROUND(-0.267,10)</f>
        <v>-0.26700000000000002</v>
      </c>
      <c r="AP24" s="7">
        <f>ROUND(-0.269,10)</f>
        <v>-0.26900000000000002</v>
      </c>
      <c r="AQ24" s="7">
        <f>ROUND(-0.268,10)</f>
        <v>-0.26800000000000002</v>
      </c>
      <c r="AR24" s="7">
        <f>ROUND(-0.269,10)</f>
        <v>-0.26900000000000002</v>
      </c>
      <c r="AS24" s="7">
        <f>ROUND(-0.269,10)</f>
        <v>-0.26900000000000002</v>
      </c>
      <c r="AT24" s="7">
        <f>ROUND(-0.269,10)</f>
        <v>-0.26900000000000002</v>
      </c>
      <c r="AU24" s="7">
        <f>ROUND(-0.268,10)</f>
        <v>-0.26800000000000002</v>
      </c>
      <c r="AV24" s="7">
        <f>ROUND(-0.272,10)</f>
        <v>-0.27200000000000002</v>
      </c>
      <c r="AW24" s="7">
        <f>ROUND(-0.278,10)</f>
        <v>-0.27800000000000002</v>
      </c>
      <c r="AX24" s="7">
        <f>ROUND(-0.292,10)</f>
        <v>-0.29199999999999998</v>
      </c>
      <c r="AY24" s="7">
        <f>ROUND(-0.307,10)</f>
        <v>-0.307</v>
      </c>
      <c r="AZ24" s="7">
        <f>ROUND(-0.324,10)</f>
        <v>-0.32400000000000001</v>
      </c>
      <c r="BA24" s="7">
        <f>ROUND(-0.328,10)</f>
        <v>-0.32800000000000001</v>
      </c>
      <c r="BB24" s="7">
        <f>ROUND(-0.338,10)</f>
        <v>-0.33800000000000002</v>
      </c>
      <c r="BC24" s="7">
        <f>ROUND(-0.343,10)</f>
        <v>-0.34300000000000003</v>
      </c>
      <c r="BD24" s="7">
        <f>ROUND(-0.344,10)</f>
        <v>-0.34399999999999997</v>
      </c>
      <c r="BE24" s="7">
        <f>ROUND(-0.346,10)</f>
        <v>-0.34599999999999997</v>
      </c>
      <c r="BF24" s="7">
        <f>ROUND(-0.348,10)</f>
        <v>-0.34799999999999998</v>
      </c>
      <c r="BG24" s="7">
        <f>ROUND(-0.348,10)</f>
        <v>-0.34799999999999998</v>
      </c>
      <c r="BH24" s="7">
        <f>ROUND(-0.349,10)</f>
        <v>-0.34899999999999998</v>
      </c>
      <c r="BI24" s="7">
        <f>ROUND(-0.354,10)</f>
        <v>-0.35399999999999998</v>
      </c>
      <c r="BJ24" s="7">
        <f>ROUND(-0.354,10)</f>
        <v>-0.35399999999999998</v>
      </c>
      <c r="BK24" s="7">
        <f>ROUND(-0.353,10)</f>
        <v>-0.35299999999999998</v>
      </c>
      <c r="BL24" s="7">
        <f>ROUND(-0.356,10)</f>
        <v>-0.35599999999999998</v>
      </c>
      <c r="BM24" s="7">
        <f>ROUND(-0.357,10)</f>
        <v>-0.35699999999999998</v>
      </c>
      <c r="BN24" s="7">
        <f>ROUND(-0.357,10)</f>
        <v>-0.35699999999999998</v>
      </c>
      <c r="BO24" s="7">
        <f>ROUND(-0.359,10)</f>
        <v>-0.35899999999999999</v>
      </c>
      <c r="BP24" s="7">
        <f>ROUND(-0.359,10)</f>
        <v>-0.35899999999999999</v>
      </c>
      <c r="BQ24" s="7">
        <f>ROUND(-0.358,10)</f>
        <v>-0.35799999999999998</v>
      </c>
      <c r="BR24" s="7">
        <f>ROUND(-0.359,10)</f>
        <v>-0.35899999999999999</v>
      </c>
      <c r="BS24" s="7">
        <f>ROUND(-0.361,10)</f>
        <v>-0.36099999999999999</v>
      </c>
      <c r="BT24" s="7">
        <f>ROUND(-0.36,10)</f>
        <v>-0.36</v>
      </c>
      <c r="BU24" s="7">
        <f>ROUND(-0.359,10)</f>
        <v>-0.35899999999999999</v>
      </c>
      <c r="BV24" s="7">
        <f>ROUND(-0.361,10)</f>
        <v>-0.36099999999999999</v>
      </c>
      <c r="BW24" s="7">
        <f>ROUND(-0.36,10)</f>
        <v>-0.36</v>
      </c>
      <c r="BX24" s="7">
        <f>ROUND(-0.36,10)</f>
        <v>-0.36</v>
      </c>
      <c r="BY24" s="7">
        <f>ROUND(-0.361,10)</f>
        <v>-0.36099999999999999</v>
      </c>
      <c r="BZ24" s="7">
        <f>ROUND(-0.361,10)</f>
        <v>-0.36099999999999999</v>
      </c>
      <c r="CA24" s="7">
        <f>ROUND(-0.359,10)</f>
        <v>-0.35899999999999999</v>
      </c>
      <c r="CB24" s="7">
        <f>ROUND(-0.358,10)</f>
        <v>-0.35799999999999998</v>
      </c>
      <c r="CC24" s="7">
        <f>ROUND(-0.357,10)</f>
        <v>-0.35699999999999998</v>
      </c>
      <c r="CD24" s="7">
        <f>ROUND(-0.359,10)</f>
        <v>-0.35899999999999999</v>
      </c>
      <c r="CE24" s="7">
        <f>ROUND(-0.36,10)</f>
        <v>-0.36</v>
      </c>
      <c r="CF24" s="7">
        <f>ROUND(-0.359,10)</f>
        <v>-0.35899999999999999</v>
      </c>
      <c r="CG24" s="7">
        <f>ROUND(-0.359,10)</f>
        <v>-0.35899999999999999</v>
      </c>
      <c r="CH24" s="7">
        <f>ROUND(-0.36,10)</f>
        <v>-0.36</v>
      </c>
      <c r="CI24" s="7">
        <f>ROUND(-0.361,10)</f>
        <v>-0.36099999999999999</v>
      </c>
      <c r="CJ24" s="7">
        <f>ROUND(-0.363,10)</f>
        <v>-0.36299999999999999</v>
      </c>
      <c r="CK24" s="7">
        <f>ROUND(-0.362,10)</f>
        <v>-0.36199999999999999</v>
      </c>
      <c r="CL24" s="7">
        <f>ROUND(-0.362,10)</f>
        <v>-0.36199999999999999</v>
      </c>
      <c r="CM24" s="7">
        <f>ROUND(-0.362,10)</f>
        <v>-0.36199999999999999</v>
      </c>
      <c r="CN24" s="7">
        <f>ROUND(-0.364,10)</f>
        <v>-0.36399999999999999</v>
      </c>
      <c r="CO24" s="7">
        <f>ROUND(-0.363,10)</f>
        <v>-0.36299999999999999</v>
      </c>
      <c r="CP24" s="7">
        <f>ROUND(-0.361,10)</f>
        <v>-0.36099999999999999</v>
      </c>
      <c r="CQ24" s="7">
        <f>ROUND(-0.361,10)</f>
        <v>-0.36099999999999999</v>
      </c>
      <c r="CR24" s="7">
        <f>ROUND(-0.361,10)</f>
        <v>-0.36099999999999999</v>
      </c>
      <c r="CS24" s="7">
        <f>ROUND(-0.362,10)</f>
        <v>-0.36199999999999999</v>
      </c>
      <c r="CT24" s="7">
        <f>ROUND(-0.362,10)</f>
        <v>-0.36199999999999999</v>
      </c>
      <c r="CU24" s="7">
        <f>ROUND(-0.362,10)</f>
        <v>-0.36199999999999999</v>
      </c>
      <c r="CV24" s="7">
        <f>ROUND(-0.361,10)</f>
        <v>-0.36099999999999999</v>
      </c>
      <c r="CW24" s="7">
        <f>ROUND(-0.362,10)</f>
        <v>-0.36199999999999999</v>
      </c>
      <c r="CX24" s="7">
        <f>ROUND(-0.362,10)</f>
        <v>-0.36199999999999999</v>
      </c>
      <c r="CY24" s="7">
        <f>ROUND(-0.361,10)</f>
        <v>-0.36099999999999999</v>
      </c>
      <c r="CZ24" s="7">
        <f>ROUND(-0.363,10)</f>
        <v>-0.36299999999999999</v>
      </c>
      <c r="DA24" s="7">
        <f>ROUND(-0.364,10)</f>
        <v>-0.36399999999999999</v>
      </c>
      <c r="DB24" s="7">
        <f>ROUND(-0.365,10)</f>
        <v>-0.36499999999999999</v>
      </c>
      <c r="DC24" s="7">
        <f>ROUND(-0.364,10)</f>
        <v>-0.36399999999999999</v>
      </c>
      <c r="DD24" s="7">
        <f>ROUND(-0.363,10)</f>
        <v>-0.36299999999999999</v>
      </c>
      <c r="DE24" s="7">
        <f>ROUND(-0.363,10)</f>
        <v>-0.36299999999999999</v>
      </c>
      <c r="DF24" s="7">
        <f>ROUND(-0.364,10)</f>
        <v>-0.36399999999999999</v>
      </c>
      <c r="DG24" s="7">
        <f>ROUND(-0.363,10)</f>
        <v>-0.36299999999999999</v>
      </c>
      <c r="DH24" s="7">
        <f>ROUND(-0.363,10)</f>
        <v>-0.36299999999999999</v>
      </c>
      <c r="DI24" s="7">
        <f>ROUND(-0.364,10)</f>
        <v>-0.36399999999999999</v>
      </c>
      <c r="DJ24" s="7">
        <f>ROUND(-0.363,10)</f>
        <v>-0.36299999999999999</v>
      </c>
      <c r="DK24" s="7">
        <f>ROUND(-0.363,10)</f>
        <v>-0.36299999999999999</v>
      </c>
      <c r="DL24" s="7">
        <f>ROUND(-0.363,10)</f>
        <v>-0.36299999999999999</v>
      </c>
      <c r="DM24" s="7">
        <f>ROUND(-0.364,10)</f>
        <v>-0.36399999999999999</v>
      </c>
      <c r="DN24" s="7">
        <f>ROUND(-0.366,10)</f>
        <v>-0.36599999999999999</v>
      </c>
      <c r="DO24" s="7">
        <f>ROUND(-0.368,10)</f>
        <v>-0.36799999999999999</v>
      </c>
      <c r="DP24" s="7">
        <f>ROUND(-0.366,10)</f>
        <v>-0.36599999999999999</v>
      </c>
      <c r="DQ24" s="7">
        <f>ROUND(-0.368,10)</f>
        <v>-0.36799999999999999</v>
      </c>
      <c r="DR24" s="7">
        <f>ROUND(-0.367,10)</f>
        <v>-0.36699999999999999</v>
      </c>
      <c r="DS24" s="7">
        <f>ROUND(-0.368,10)</f>
        <v>-0.36799999999999999</v>
      </c>
      <c r="DT24" s="7">
        <f>ROUND(-0.373,10)</f>
        <v>-0.373</v>
      </c>
      <c r="DU24" s="7">
        <f>ROUND(-0.37,10)</f>
        <v>-0.37</v>
      </c>
      <c r="DV24" s="7">
        <f>ROUND(-0.371,10)</f>
        <v>-0.371</v>
      </c>
      <c r="DW24" s="7">
        <f>ROUND(-0.374,10)</f>
        <v>-0.374</v>
      </c>
      <c r="DX24" s="7">
        <f>ROUND(-0.371,10)</f>
        <v>-0.371</v>
      </c>
      <c r="DY24" s="7">
        <f>ROUND(-0.369,10)</f>
        <v>-0.36899999999999999</v>
      </c>
      <c r="DZ24" s="7">
        <f>ROUND(-0.371,10)</f>
        <v>-0.371</v>
      </c>
      <c r="EA24" s="7">
        <f>ROUND(-0.371,10)</f>
        <v>-0.371</v>
      </c>
      <c r="EB24" s="7">
        <f>ROUND(-0.375,10)</f>
        <v>-0.375</v>
      </c>
      <c r="EC24" s="7">
        <f>ROUND(-0.377,10)</f>
        <v>-0.377</v>
      </c>
      <c r="ED24" s="7">
        <f>ROUND(-0.379,10)</f>
        <v>-0.379</v>
      </c>
      <c r="EE24" s="7">
        <f>ROUND(-0.378,10)</f>
        <v>-0.378</v>
      </c>
      <c r="EF24" s="7">
        <f>ROUND(-0.377,10)</f>
        <v>-0.377</v>
      </c>
      <c r="EG24" s="7">
        <f>ROUND(-0.379,10)</f>
        <v>-0.379</v>
      </c>
      <c r="EH24" s="7">
        <f>ROUND(-0.379,10)</f>
        <v>-0.379</v>
      </c>
      <c r="EI24" s="7">
        <f>ROUND(-0.379,10)</f>
        <v>-0.379</v>
      </c>
      <c r="EJ24" s="7">
        <f>ROUND(-0.377,10)</f>
        <v>-0.377</v>
      </c>
      <c r="EK24" s="7">
        <f>ROUND(-0.375,10)</f>
        <v>-0.375</v>
      </c>
      <c r="EL24" s="7">
        <f>ROUND(-0.376,10)</f>
        <v>-0.376</v>
      </c>
      <c r="EM24" s="7">
        <f>ROUND(-0.376,10)</f>
        <v>-0.376</v>
      </c>
      <c r="EN24" s="7">
        <f>ROUND(-0.377,10)</f>
        <v>-0.377</v>
      </c>
      <c r="EO24" s="7">
        <f>ROUND(-0.377,10)</f>
        <v>-0.377</v>
      </c>
      <c r="EP24" s="7">
        <f>ROUND(-0.376,10)</f>
        <v>-0.376</v>
      </c>
      <c r="EQ24" s="7">
        <f>ROUND(-0.376,10)</f>
        <v>-0.376</v>
      </c>
      <c r="ER24" s="7">
        <f>ROUND(-0.377,10)</f>
        <v>-0.377</v>
      </c>
      <c r="ES24" s="7">
        <f>ROUND(-0.377,10)</f>
        <v>-0.377</v>
      </c>
      <c r="ET24" s="7">
        <f>ROUND(-0.375,10)</f>
        <v>-0.375</v>
      </c>
      <c r="EU24" s="7">
        <f>ROUND(-0.375,10)</f>
        <v>-0.375</v>
      </c>
      <c r="EV24" s="7">
        <f>ROUND(-0.375,10)</f>
        <v>-0.375</v>
      </c>
      <c r="EW24" s="7">
        <f>ROUND(-0.377,10)</f>
        <v>-0.377</v>
      </c>
      <c r="EX24" s="7">
        <f>ROUND(-0.379,10)</f>
        <v>-0.379</v>
      </c>
      <c r="EY24" s="7">
        <f>ROUND(-0.377,10)</f>
        <v>-0.377</v>
      </c>
      <c r="EZ24" s="7">
        <f>ROUND(-0.379,10)</f>
        <v>-0.379</v>
      </c>
      <c r="FA24" s="7">
        <f>ROUND(-0.379,10)</f>
        <v>-0.379</v>
      </c>
      <c r="FB24" s="7">
        <f>ROUND(-0.38,10)</f>
        <v>-0.38</v>
      </c>
      <c r="FC24" s="7">
        <f>ROUND(-0.38,10)</f>
        <v>-0.38</v>
      </c>
      <c r="FD24" s="7">
        <f t="shared" ref="FD24:FK24" si="19">ROUND(-0.379,10)</f>
        <v>-0.379</v>
      </c>
      <c r="FE24" s="7">
        <f t="shared" si="19"/>
        <v>-0.379</v>
      </c>
      <c r="FF24" s="7">
        <f t="shared" si="19"/>
        <v>-0.379</v>
      </c>
      <c r="FG24" s="7">
        <f t="shared" si="19"/>
        <v>-0.379</v>
      </c>
      <c r="FH24" s="7">
        <f t="shared" si="19"/>
        <v>-0.379</v>
      </c>
      <c r="FI24" s="7">
        <f t="shared" si="19"/>
        <v>-0.379</v>
      </c>
      <c r="FJ24" s="7">
        <f t="shared" si="19"/>
        <v>-0.379</v>
      </c>
      <c r="FK24" s="7">
        <f t="shared" si="19"/>
        <v>-0.379</v>
      </c>
      <c r="FL24" s="7">
        <f>ROUND(-0.378,10)</f>
        <v>-0.378</v>
      </c>
      <c r="FM24" s="7">
        <f>ROUND(-0.378,10)</f>
        <v>-0.378</v>
      </c>
      <c r="FN24" s="7">
        <f>ROUND(-0.378,10)</f>
        <v>-0.378</v>
      </c>
      <c r="FO24" s="7">
        <f>ROUND(-0.379,10)</f>
        <v>-0.379</v>
      </c>
      <c r="FP24" s="7">
        <f>ROUND(-0.38,10)</f>
        <v>-0.38</v>
      </c>
      <c r="FQ24" s="7">
        <f>ROUND(-0.381,10)</f>
        <v>-0.38100000000000001</v>
      </c>
      <c r="FR24" s="7">
        <f>ROUND(-0.379,10)</f>
        <v>-0.379</v>
      </c>
      <c r="FS24" s="7">
        <f>ROUND(-0.379,10)</f>
        <v>-0.379</v>
      </c>
      <c r="FT24" s="7">
        <f>ROUND(-0.381,10)</f>
        <v>-0.38100000000000001</v>
      </c>
      <c r="FU24" s="7">
        <f>ROUND(-0.381,10)</f>
        <v>-0.38100000000000001</v>
      </c>
      <c r="FV24" s="7">
        <f>ROUND(-0.382,10)</f>
        <v>-0.38200000000000001</v>
      </c>
      <c r="FW24" s="7">
        <f>ROUND(-0.38,10)</f>
        <v>-0.38</v>
      </c>
      <c r="FX24" s="7">
        <f>ROUND(-0.379,10)</f>
        <v>-0.379</v>
      </c>
      <c r="FY24" s="7">
        <f>ROUND(-0.381,10)</f>
        <v>-0.38100000000000001</v>
      </c>
      <c r="FZ24" s="7">
        <f>ROUND(-0.381,10)</f>
        <v>-0.38100000000000001</v>
      </c>
      <c r="GA24" s="7">
        <f>ROUND(-0.381,10)</f>
        <v>-0.38100000000000001</v>
      </c>
      <c r="GB24" s="7">
        <f>ROUND(-0.381,10)</f>
        <v>-0.38100000000000001</v>
      </c>
      <c r="GC24" s="7">
        <f>ROUND(-0.379,10)</f>
        <v>-0.379</v>
      </c>
      <c r="GD24" s="7">
        <f>ROUND(-0.379,10)</f>
        <v>-0.379</v>
      </c>
      <c r="GE24" s="7">
        <f>ROUND(-0.38,10)</f>
        <v>-0.38</v>
      </c>
      <c r="GF24" s="7">
        <f>ROUND(-0.378,10)</f>
        <v>-0.378</v>
      </c>
      <c r="GG24" s="7">
        <f>ROUND(-0.378,10)</f>
        <v>-0.378</v>
      </c>
      <c r="GH24" s="7">
        <f>ROUND(-0.378,10)</f>
        <v>-0.378</v>
      </c>
      <c r="GI24" s="7">
        <f>ROUND(-0.379,10)</f>
        <v>-0.379</v>
      </c>
      <c r="GJ24" s="7">
        <f>ROUND(-0.378,10)</f>
        <v>-0.378</v>
      </c>
      <c r="GK24" s="7">
        <f>ROUND(-0.381,10)</f>
        <v>-0.38100000000000001</v>
      </c>
      <c r="GL24" s="7">
        <f>ROUND(-0.381,10)</f>
        <v>-0.38100000000000001</v>
      </c>
      <c r="GM24" s="7">
        <f>ROUND(-0.381,10)</f>
        <v>-0.38100000000000001</v>
      </c>
      <c r="GN24" s="7">
        <f>ROUND(-0.381,10)</f>
        <v>-0.38100000000000001</v>
      </c>
      <c r="GO24" s="7">
        <f>ROUND(-0.381,10)</f>
        <v>-0.38100000000000001</v>
      </c>
      <c r="GP24" s="7">
        <f>ROUND(-0.38,10)</f>
        <v>-0.38</v>
      </c>
      <c r="GQ24" s="7">
        <f>ROUND(-0.38,10)</f>
        <v>-0.38</v>
      </c>
      <c r="GR24" s="7">
        <f>ROUND(-0.381,10)</f>
        <v>-0.38100000000000001</v>
      </c>
      <c r="GS24" s="7">
        <f>ROUND(-0.381,10)</f>
        <v>-0.38100000000000001</v>
      </c>
      <c r="GT24" s="7">
        <f>ROUND(-0.381,10)</f>
        <v>-0.38100000000000001</v>
      </c>
      <c r="GU24" s="7">
        <f>ROUND(-0.38,10)</f>
        <v>-0.38</v>
      </c>
      <c r="GV24" s="7">
        <f>ROUND(-0.379,10)</f>
        <v>-0.379</v>
      </c>
      <c r="GW24" s="7">
        <f>ROUND(-0.38,10)</f>
        <v>-0.38</v>
      </c>
      <c r="GX24" s="7">
        <f>ROUND(-0.381,10)</f>
        <v>-0.38100000000000001</v>
      </c>
      <c r="GY24" s="7">
        <f>ROUND(-0.381,10)</f>
        <v>-0.38100000000000001</v>
      </c>
      <c r="GZ24" s="7">
        <f>ROUND(-0.381,10)</f>
        <v>-0.38100000000000001</v>
      </c>
      <c r="HA24" s="7">
        <f>ROUND(-0.38,10)</f>
        <v>-0.38</v>
      </c>
      <c r="HB24" s="7">
        <f>ROUND(-0.38,10)</f>
        <v>-0.38</v>
      </c>
      <c r="HC24" s="7">
        <f>ROUND(-0.381,10)</f>
        <v>-0.38100000000000001</v>
      </c>
      <c r="HD24" s="7">
        <f>ROUND(-0.381,10)</f>
        <v>-0.38100000000000001</v>
      </c>
      <c r="HE24" s="7">
        <f>ROUND(-0.379,10)</f>
        <v>-0.379</v>
      </c>
      <c r="HF24" s="7">
        <f>ROUND(-0.38,10)</f>
        <v>-0.38</v>
      </c>
      <c r="HG24" s="7">
        <f>ROUND(-0.379,10)</f>
        <v>-0.379</v>
      </c>
      <c r="HH24" s="7">
        <f>ROUND(-0.379,10)</f>
        <v>-0.379</v>
      </c>
      <c r="HI24" s="7">
        <f>ROUND(-0.381,10)</f>
        <v>-0.38100000000000001</v>
      </c>
      <c r="HJ24" s="7">
        <f>ROUND(-0.381,10)</f>
        <v>-0.38100000000000001</v>
      </c>
      <c r="HK24" s="7">
        <f>ROUND(-0.379,10)</f>
        <v>-0.379</v>
      </c>
      <c r="HL24" s="7">
        <f>ROUND(-0.379,10)</f>
        <v>-0.379</v>
      </c>
      <c r="HM24" s="7">
        <f>ROUND(-0.381,10)</f>
        <v>-0.38100000000000001</v>
      </c>
      <c r="HN24" s="7">
        <f>ROUND(-0.38,10)</f>
        <v>-0.38</v>
      </c>
      <c r="HO24" s="7">
        <f>ROUND(-0.379,10)</f>
        <v>-0.379</v>
      </c>
      <c r="HP24" s="7">
        <f>ROUND(-0.379,10)</f>
        <v>-0.379</v>
      </c>
      <c r="HQ24" s="7">
        <f>ROUND(-0.379,10)</f>
        <v>-0.379</v>
      </c>
      <c r="HR24" s="7">
        <f>ROUND(-0.381,10)</f>
        <v>-0.38100000000000001</v>
      </c>
      <c r="HS24" s="7">
        <f>ROUND(-0.381,10)</f>
        <v>-0.38100000000000001</v>
      </c>
      <c r="HT24" s="7">
        <f>ROUND(-0.379,10)</f>
        <v>-0.379</v>
      </c>
      <c r="HU24" s="7">
        <f>ROUND(-0.38,10)</f>
        <v>-0.38</v>
      </c>
      <c r="HV24" s="7">
        <f>ROUND(-0.38,10)</f>
        <v>-0.38</v>
      </c>
      <c r="HW24" s="7">
        <f>ROUND(-0.38,10)</f>
        <v>-0.38</v>
      </c>
      <c r="HX24" s="7">
        <f>ROUND(-0.381,10)</f>
        <v>-0.38100000000000001</v>
      </c>
      <c r="HY24" s="7">
        <f>ROUND(-0.38,10)</f>
        <v>-0.38</v>
      </c>
      <c r="HZ24" s="7">
        <f>ROUND(-0.379,10)</f>
        <v>-0.379</v>
      </c>
      <c r="IA24" s="7">
        <f>ROUND(-0.38,10)</f>
        <v>-0.38</v>
      </c>
      <c r="IB24" s="7">
        <f>ROUND(-0.381,10)</f>
        <v>-0.38100000000000001</v>
      </c>
      <c r="IC24" s="7">
        <f>ROUND(-0.38,10)</f>
        <v>-0.38</v>
      </c>
      <c r="ID24" s="7">
        <f>ROUND(-0.381,10)</f>
        <v>-0.38100000000000001</v>
      </c>
      <c r="IE24" s="7">
        <f>ROUND(-0.379,10)</f>
        <v>-0.379</v>
      </c>
      <c r="IF24" s="7">
        <f>ROUND(-0.38,10)</f>
        <v>-0.38</v>
      </c>
      <c r="IG24" s="7">
        <f>ROUND(-0.38,10)</f>
        <v>-0.38</v>
      </c>
      <c r="IH24" s="7">
        <f>ROUND(-0.38,10)</f>
        <v>-0.38</v>
      </c>
      <c r="II24" s="7">
        <f>ROUND(-0.381,10)</f>
        <v>-0.38100000000000001</v>
      </c>
      <c r="IJ24" s="7">
        <f>ROUND(-0.379,10)</f>
        <v>-0.379</v>
      </c>
      <c r="IK24" s="7">
        <f>ROUND(-0.381,10)</f>
        <v>-0.38100000000000001</v>
      </c>
      <c r="IL24" s="7">
        <f>ROUND(-0.381,10)</f>
        <v>-0.38100000000000001</v>
      </c>
      <c r="IM24" s="7">
        <f>ROUND(-0.381,10)</f>
        <v>-0.38100000000000001</v>
      </c>
      <c r="IN24" s="7">
        <f>ROUND(-0.381,10)</f>
        <v>-0.38100000000000001</v>
      </c>
      <c r="IO24" s="7">
        <f>ROUND(-0.381,10)</f>
        <v>-0.38100000000000001</v>
      </c>
      <c r="IP24" s="7">
        <f>ROUND(-0.38,10)</f>
        <v>-0.38</v>
      </c>
      <c r="IQ24" s="7">
        <f>ROUND(-0.379,10)</f>
        <v>-0.379</v>
      </c>
      <c r="IR24" s="7">
        <f>ROUND(-0.379,10)</f>
        <v>-0.379</v>
      </c>
      <c r="IS24" s="7">
        <f>ROUND(-0.374,10)</f>
        <v>-0.374</v>
      </c>
      <c r="IT24" s="7">
        <f>ROUND(-0.373,10)</f>
        <v>-0.373</v>
      </c>
      <c r="IU24" s="7">
        <f>ROUND(-0.369,10)</f>
        <v>-0.36899999999999999</v>
      </c>
      <c r="IV24" s="7">
        <f>ROUND(-0.369,10)</f>
        <v>-0.36899999999999999</v>
      </c>
      <c r="IW24" s="7">
        <f>ROUND(-0.374,10)</f>
        <v>-0.374</v>
      </c>
      <c r="IX24" s="7">
        <f>ROUND(-0.373,10)</f>
        <v>-0.373</v>
      </c>
    </row>
    <row r="25" spans="1:258">
      <c r="A25" s="6" t="s">
        <v>36</v>
      </c>
      <c r="B25" s="7">
        <f>ROUND(-0.241,10)</f>
        <v>-0.24099999999999999</v>
      </c>
      <c r="C25" s="7">
        <f>ROUND(-0.243,10)</f>
        <v>-0.24299999999999999</v>
      </c>
      <c r="D25" s="7">
        <f>ROUND(-0.248,10)</f>
        <v>-0.248</v>
      </c>
      <c r="E25" s="7">
        <f>ROUND(-0.249,10)</f>
        <v>-0.249</v>
      </c>
      <c r="F25" s="7">
        <f>ROUND(-0.251,10)</f>
        <v>-0.251</v>
      </c>
      <c r="G25" s="7">
        <f>ROUND(-0.251,10)</f>
        <v>-0.251</v>
      </c>
      <c r="H25" s="7">
        <f>ROUND(-0.252,10)</f>
        <v>-0.252</v>
      </c>
      <c r="I25" s="7">
        <f>ROUND(-0.253,10)</f>
        <v>-0.253</v>
      </c>
      <c r="J25" s="7">
        <f>ROUND(-0.251,10)</f>
        <v>-0.251</v>
      </c>
      <c r="K25" s="7">
        <f>ROUND(-0.252,10)</f>
        <v>-0.252</v>
      </c>
      <c r="L25" s="7">
        <f>ROUND(-0.252,10)</f>
        <v>-0.252</v>
      </c>
      <c r="M25" s="7">
        <f>ROUND(-0.251,10)</f>
        <v>-0.251</v>
      </c>
      <c r="N25" s="7">
        <f>ROUND(-0.254,10)</f>
        <v>-0.254</v>
      </c>
      <c r="O25" s="7">
        <f>ROUND(-0.254,10)</f>
        <v>-0.254</v>
      </c>
      <c r="P25" s="7">
        <f>ROUND(-0.254,10)</f>
        <v>-0.254</v>
      </c>
      <c r="Q25" s="7">
        <f>ROUND(-0.252,10)</f>
        <v>-0.252</v>
      </c>
      <c r="R25" s="7">
        <f>ROUND(-0.252,10)</f>
        <v>-0.252</v>
      </c>
      <c r="S25" s="7">
        <f>ROUND(-0.251,10)</f>
        <v>-0.251</v>
      </c>
      <c r="T25" s="7">
        <f>ROUND(-0.251,10)</f>
        <v>-0.251</v>
      </c>
      <c r="U25" s="7">
        <f>ROUND(-0.251,10)</f>
        <v>-0.251</v>
      </c>
      <c r="V25" s="7">
        <f>ROUND(-0.252,10)</f>
        <v>-0.252</v>
      </c>
      <c r="W25" s="7">
        <f>ROUND(-0.251,10)</f>
        <v>-0.251</v>
      </c>
      <c r="X25" s="7">
        <f>ROUND(-0.254,10)</f>
        <v>-0.254</v>
      </c>
      <c r="Y25" s="7">
        <f>ROUND(-0.256,10)</f>
        <v>-0.25600000000000001</v>
      </c>
      <c r="Z25" s="7">
        <f>ROUND(-0.257,10)</f>
        <v>-0.25700000000000001</v>
      </c>
      <c r="AA25" s="7">
        <f>ROUND(-0.258,10)</f>
        <v>-0.25800000000000001</v>
      </c>
      <c r="AB25" s="7">
        <f>ROUND(-0.258,10)</f>
        <v>-0.25800000000000001</v>
      </c>
      <c r="AC25" s="7">
        <f>ROUND(-0.259,10)</f>
        <v>-0.25900000000000001</v>
      </c>
      <c r="AD25" s="7">
        <f>ROUND(-0.258,10)</f>
        <v>-0.25800000000000001</v>
      </c>
      <c r="AE25" s="7">
        <f>ROUND(-0.257,10)</f>
        <v>-0.25700000000000001</v>
      </c>
      <c r="AF25" s="7">
        <f>ROUND(-0.256,10)</f>
        <v>-0.25600000000000001</v>
      </c>
      <c r="AG25" s="7">
        <f>ROUND(-0.258,10)</f>
        <v>-0.25800000000000001</v>
      </c>
      <c r="AH25" s="7">
        <f>ROUND(-0.258,10)</f>
        <v>-0.25800000000000001</v>
      </c>
      <c r="AI25" s="7">
        <f>ROUND(-0.258,10)</f>
        <v>-0.25800000000000001</v>
      </c>
      <c r="AJ25" s="7">
        <f>ROUND(-0.258,10)</f>
        <v>-0.25800000000000001</v>
      </c>
      <c r="AK25" s="7">
        <f>ROUND(-0.258,10)</f>
        <v>-0.25800000000000001</v>
      </c>
      <c r="AL25" s="7">
        <f>ROUND(-0.259,10)</f>
        <v>-0.25900000000000001</v>
      </c>
      <c r="AM25" s="7">
        <f>ROUND(-0.259,10)</f>
        <v>-0.25900000000000001</v>
      </c>
      <c r="AN25" s="7">
        <f>ROUND(-0.258,10)</f>
        <v>-0.25800000000000001</v>
      </c>
      <c r="AO25" s="7">
        <f>ROUND(-0.261,10)</f>
        <v>-0.26100000000000001</v>
      </c>
      <c r="AP25" s="7">
        <f>ROUND(-0.262,10)</f>
        <v>-0.26200000000000001</v>
      </c>
      <c r="AQ25" s="7">
        <f>ROUND(-0.263,10)</f>
        <v>-0.26300000000000001</v>
      </c>
      <c r="AR25" s="7">
        <f>ROUND(-0.266,10)</f>
        <v>-0.26600000000000001</v>
      </c>
      <c r="AS25" s="7">
        <f>ROUND(-0.271,10)</f>
        <v>-0.27100000000000002</v>
      </c>
      <c r="AT25" s="7">
        <f>ROUND(-0.275,10)</f>
        <v>-0.27500000000000002</v>
      </c>
      <c r="AU25" s="7">
        <f>ROUND(-0.279,10)</f>
        <v>-0.27900000000000003</v>
      </c>
      <c r="AV25" s="7">
        <f>ROUND(-0.284,10)</f>
        <v>-0.28399999999999997</v>
      </c>
      <c r="AW25" s="7">
        <f>ROUND(-0.289,10)</f>
        <v>-0.28899999999999998</v>
      </c>
      <c r="AX25" s="7">
        <f>ROUND(-0.295,10)</f>
        <v>-0.29499999999999998</v>
      </c>
      <c r="AY25" s="7">
        <f>ROUND(-0.309,10)</f>
        <v>-0.309</v>
      </c>
      <c r="AZ25" s="7">
        <f>ROUND(-0.322,10)</f>
        <v>-0.32200000000000001</v>
      </c>
      <c r="BA25" s="7">
        <f>ROUND(-0.328,10)</f>
        <v>-0.32800000000000001</v>
      </c>
      <c r="BB25" s="7">
        <f>ROUND(-0.332,10)</f>
        <v>-0.33200000000000002</v>
      </c>
      <c r="BC25" s="7">
        <f>ROUND(-0.335,10)</f>
        <v>-0.33500000000000002</v>
      </c>
      <c r="BD25" s="7">
        <f>ROUND(-0.339,10)</f>
        <v>-0.33900000000000002</v>
      </c>
      <c r="BE25" s="7">
        <f>ROUND(-0.341,10)</f>
        <v>-0.34100000000000003</v>
      </c>
      <c r="BF25" s="7">
        <f>ROUND(-0.342,10)</f>
        <v>-0.34200000000000003</v>
      </c>
      <c r="BG25" s="7">
        <f>ROUND(-0.343,10)</f>
        <v>-0.34300000000000003</v>
      </c>
      <c r="BH25" s="7">
        <f>ROUND(-0.343,10)</f>
        <v>-0.34300000000000003</v>
      </c>
      <c r="BI25" s="7">
        <f>ROUND(-0.345,10)</f>
        <v>-0.34499999999999997</v>
      </c>
      <c r="BJ25" s="7">
        <f>ROUND(-0.346,10)</f>
        <v>-0.34599999999999997</v>
      </c>
      <c r="BK25" s="7">
        <f>ROUND(-0.349,10)</f>
        <v>-0.34899999999999998</v>
      </c>
      <c r="BL25" s="7">
        <f>ROUND(-0.348,10)</f>
        <v>-0.34799999999999998</v>
      </c>
      <c r="BM25" s="7">
        <f>ROUND(-0.351,10)</f>
        <v>-0.35099999999999998</v>
      </c>
      <c r="BN25" s="7">
        <f>ROUND(-0.352,10)</f>
        <v>-0.35199999999999998</v>
      </c>
      <c r="BO25" s="7">
        <f>ROUND(-0.351,10)</f>
        <v>-0.35099999999999998</v>
      </c>
      <c r="BP25" s="7">
        <f>ROUND(-0.352,10)</f>
        <v>-0.35199999999999998</v>
      </c>
      <c r="BQ25" s="7">
        <f>ROUND(-0.351,10)</f>
        <v>-0.35099999999999998</v>
      </c>
      <c r="BR25" s="7">
        <f>ROUND(-0.351,10)</f>
        <v>-0.35099999999999998</v>
      </c>
      <c r="BS25" s="7">
        <f t="shared" ref="BS25:CH25" si="20">ROUND(-0.352,10)</f>
        <v>-0.35199999999999998</v>
      </c>
      <c r="BT25" s="7">
        <f t="shared" si="20"/>
        <v>-0.35199999999999998</v>
      </c>
      <c r="BU25" s="7">
        <f t="shared" si="20"/>
        <v>-0.35199999999999998</v>
      </c>
      <c r="BV25" s="7">
        <f t="shared" si="20"/>
        <v>-0.35199999999999998</v>
      </c>
      <c r="BW25" s="7">
        <f t="shared" si="20"/>
        <v>-0.35199999999999998</v>
      </c>
      <c r="BX25" s="7">
        <f t="shared" si="20"/>
        <v>-0.35199999999999998</v>
      </c>
      <c r="BY25" s="7">
        <f t="shared" si="20"/>
        <v>-0.35199999999999998</v>
      </c>
      <c r="BZ25" s="7">
        <f t="shared" si="20"/>
        <v>-0.35199999999999998</v>
      </c>
      <c r="CA25" s="7">
        <f t="shared" si="20"/>
        <v>-0.35199999999999998</v>
      </c>
      <c r="CB25" s="7">
        <f t="shared" si="20"/>
        <v>-0.35199999999999998</v>
      </c>
      <c r="CC25" s="7">
        <f t="shared" si="20"/>
        <v>-0.35199999999999998</v>
      </c>
      <c r="CD25" s="7">
        <f t="shared" si="20"/>
        <v>-0.35199999999999998</v>
      </c>
      <c r="CE25" s="7">
        <f t="shared" si="20"/>
        <v>-0.35199999999999998</v>
      </c>
      <c r="CF25" s="7">
        <f t="shared" si="20"/>
        <v>-0.35199999999999998</v>
      </c>
      <c r="CG25" s="7">
        <f t="shared" si="20"/>
        <v>-0.35199999999999998</v>
      </c>
      <c r="CH25" s="7">
        <f t="shared" si="20"/>
        <v>-0.35199999999999998</v>
      </c>
      <c r="CI25" s="7">
        <f>ROUND(-0.354,10)</f>
        <v>-0.35399999999999998</v>
      </c>
      <c r="CJ25" s="7">
        <f>ROUND(-0.355,10)</f>
        <v>-0.35499999999999998</v>
      </c>
      <c r="CK25" s="7">
        <f>ROUND(-0.358,10)</f>
        <v>-0.35799999999999998</v>
      </c>
      <c r="CL25" s="7">
        <f t="shared" ref="CL25:DA25" si="21">ROUND(-0.359,10)</f>
        <v>-0.35899999999999999</v>
      </c>
      <c r="CM25" s="7">
        <f t="shared" si="21"/>
        <v>-0.35899999999999999</v>
      </c>
      <c r="CN25" s="7">
        <f t="shared" si="21"/>
        <v>-0.35899999999999999</v>
      </c>
      <c r="CO25" s="7">
        <f t="shared" si="21"/>
        <v>-0.35899999999999999</v>
      </c>
      <c r="CP25" s="7">
        <f t="shared" si="21"/>
        <v>-0.35899999999999999</v>
      </c>
      <c r="CQ25" s="7">
        <f t="shared" si="21"/>
        <v>-0.35899999999999999</v>
      </c>
      <c r="CR25" s="7">
        <f t="shared" si="21"/>
        <v>-0.35899999999999999</v>
      </c>
      <c r="CS25" s="7">
        <f t="shared" si="21"/>
        <v>-0.35899999999999999</v>
      </c>
      <c r="CT25" s="7">
        <f t="shared" si="21"/>
        <v>-0.35899999999999999</v>
      </c>
      <c r="CU25" s="7">
        <f t="shared" si="21"/>
        <v>-0.35899999999999999</v>
      </c>
      <c r="CV25" s="7">
        <f t="shared" si="21"/>
        <v>-0.35899999999999999</v>
      </c>
      <c r="CW25" s="7">
        <f t="shared" si="21"/>
        <v>-0.35899999999999999</v>
      </c>
      <c r="CX25" s="7">
        <f t="shared" si="21"/>
        <v>-0.35899999999999999</v>
      </c>
      <c r="CY25" s="7">
        <f t="shared" si="21"/>
        <v>-0.35899999999999999</v>
      </c>
      <c r="CZ25" s="7">
        <f t="shared" si="21"/>
        <v>-0.35899999999999999</v>
      </c>
      <c r="DA25" s="7">
        <f t="shared" si="21"/>
        <v>-0.35899999999999999</v>
      </c>
      <c r="DB25" s="7">
        <f>ROUND(-0.36,10)</f>
        <v>-0.36</v>
      </c>
      <c r="DC25" s="7">
        <f>ROUND(-0.36,10)</f>
        <v>-0.36</v>
      </c>
      <c r="DD25" s="7">
        <f>ROUND(-0.361,10)</f>
        <v>-0.36099999999999999</v>
      </c>
      <c r="DE25" s="7">
        <f>ROUND(-0.362,10)</f>
        <v>-0.36199999999999999</v>
      </c>
      <c r="DF25" s="7">
        <f>ROUND(-0.362,10)</f>
        <v>-0.36199999999999999</v>
      </c>
      <c r="DG25" s="7">
        <f>ROUND(-0.361,10)</f>
        <v>-0.36099999999999999</v>
      </c>
      <c r="DH25" s="7">
        <f>ROUND(-0.363,10)</f>
        <v>-0.36299999999999999</v>
      </c>
      <c r="DI25" s="7">
        <f>ROUND(-0.361,10)</f>
        <v>-0.36099999999999999</v>
      </c>
      <c r="DJ25" s="7">
        <f>ROUND(-0.361,10)</f>
        <v>-0.36099999999999999</v>
      </c>
      <c r="DK25" s="7">
        <f>ROUND(-0.363,10)</f>
        <v>-0.36299999999999999</v>
      </c>
      <c r="DL25" s="7">
        <f>ROUND(-0.363,10)</f>
        <v>-0.36299999999999999</v>
      </c>
      <c r="DM25" s="7">
        <f>ROUND(-0.36,10)</f>
        <v>-0.36</v>
      </c>
      <c r="DN25" s="7">
        <f>ROUND(-0.362,10)</f>
        <v>-0.36199999999999999</v>
      </c>
      <c r="DO25" s="7">
        <f>ROUND(-0.362,10)</f>
        <v>-0.36199999999999999</v>
      </c>
      <c r="DP25" s="7">
        <f>ROUND(-0.363,10)</f>
        <v>-0.36299999999999999</v>
      </c>
      <c r="DQ25" s="7">
        <f>ROUND(-0.363,10)</f>
        <v>-0.36299999999999999</v>
      </c>
      <c r="DR25" s="7">
        <f>ROUND(-0.362,10)</f>
        <v>-0.36199999999999999</v>
      </c>
      <c r="DS25" s="7">
        <f>ROUND(-0.363,10)</f>
        <v>-0.36299999999999999</v>
      </c>
      <c r="DT25" s="7">
        <f>ROUND(-0.369,10)</f>
        <v>-0.36899999999999999</v>
      </c>
      <c r="DU25" s="7">
        <f>ROUND(-0.369,10)</f>
        <v>-0.36899999999999999</v>
      </c>
      <c r="DV25" s="7">
        <f>ROUND(-0.371,10)</f>
        <v>-0.371</v>
      </c>
      <c r="DW25" s="7">
        <f>ROUND(-0.372,10)</f>
        <v>-0.372</v>
      </c>
      <c r="DX25" s="7">
        <f>ROUND(-0.37,10)</f>
        <v>-0.37</v>
      </c>
      <c r="DY25" s="7">
        <f>ROUND(-0.369,10)</f>
        <v>-0.36899999999999999</v>
      </c>
      <c r="DZ25" s="7">
        <f>ROUND(-0.367,10)</f>
        <v>-0.36699999999999999</v>
      </c>
      <c r="EA25" s="7">
        <f>ROUND(-0.367,10)</f>
        <v>-0.36699999999999999</v>
      </c>
      <c r="EB25" s="7">
        <f>ROUND(-0.371,10)</f>
        <v>-0.371</v>
      </c>
      <c r="EC25" s="7">
        <f>ROUND(-0.369,10)</f>
        <v>-0.36899999999999999</v>
      </c>
      <c r="ED25" s="7">
        <f>ROUND(-0.37,10)</f>
        <v>-0.37</v>
      </c>
      <c r="EE25" s="7">
        <f>ROUND(-0.371,10)</f>
        <v>-0.371</v>
      </c>
      <c r="EF25" s="7">
        <f>ROUND(-0.371,10)</f>
        <v>-0.371</v>
      </c>
      <c r="EG25" s="7">
        <f>ROUND(-0.373,10)</f>
        <v>-0.373</v>
      </c>
      <c r="EH25" s="7">
        <f>ROUND(-0.372,10)</f>
        <v>-0.372</v>
      </c>
      <c r="EI25" s="7">
        <f>ROUND(-0.371,10)</f>
        <v>-0.371</v>
      </c>
      <c r="EJ25" s="7">
        <f>ROUND(-0.372,10)</f>
        <v>-0.372</v>
      </c>
      <c r="EK25" s="7">
        <f>ROUND(-0.372,10)</f>
        <v>-0.372</v>
      </c>
      <c r="EL25" s="7">
        <f>ROUND(-0.371,10)</f>
        <v>-0.371</v>
      </c>
      <c r="EM25" s="7">
        <f>ROUND(-0.372,10)</f>
        <v>-0.372</v>
      </c>
      <c r="EN25" s="7">
        <f>ROUND(-0.371,10)</f>
        <v>-0.371</v>
      </c>
      <c r="EO25" s="7">
        <f>ROUND(-0.371,10)</f>
        <v>-0.371</v>
      </c>
      <c r="EP25" s="7">
        <f>ROUND(-0.372,10)</f>
        <v>-0.372</v>
      </c>
      <c r="EQ25" s="7">
        <f>ROUND(-0.371,10)</f>
        <v>-0.371</v>
      </c>
      <c r="ER25" s="7">
        <f>ROUND(-0.371,10)</f>
        <v>-0.371</v>
      </c>
      <c r="ES25" s="7">
        <f>ROUND(-0.372,10)</f>
        <v>-0.372</v>
      </c>
      <c r="ET25" s="7">
        <f>ROUND(-0.372,10)</f>
        <v>-0.372</v>
      </c>
      <c r="EU25" s="7">
        <f>ROUND(-0.373,10)</f>
        <v>-0.373</v>
      </c>
      <c r="EV25" s="7">
        <f>ROUND(-0.373,10)</f>
        <v>-0.373</v>
      </c>
      <c r="EW25" s="7">
        <f>ROUND(-0.373,10)</f>
        <v>-0.373</v>
      </c>
      <c r="EX25" s="7">
        <f>ROUND(-0.373,10)</f>
        <v>-0.373</v>
      </c>
      <c r="EY25" s="7">
        <f>ROUND(-0.373,10)</f>
        <v>-0.373</v>
      </c>
      <c r="EZ25" s="7">
        <f>ROUND(-0.374,10)</f>
        <v>-0.374</v>
      </c>
      <c r="FA25" s="7">
        <f>ROUND(-0.374,10)</f>
        <v>-0.374</v>
      </c>
      <c r="FB25" s="7">
        <f>ROUND(-0.375,10)</f>
        <v>-0.375</v>
      </c>
      <c r="FC25" s="7">
        <f>ROUND(-0.376,10)</f>
        <v>-0.376</v>
      </c>
      <c r="FD25" s="7">
        <f>ROUND(-0.377,10)</f>
        <v>-0.377</v>
      </c>
      <c r="FE25" s="7">
        <f>ROUND(-0.377,10)</f>
        <v>-0.377</v>
      </c>
      <c r="FF25" s="7">
        <f>ROUND(-0.376,10)</f>
        <v>-0.376</v>
      </c>
      <c r="FG25" s="7">
        <f>ROUND(-0.377,10)</f>
        <v>-0.377</v>
      </c>
      <c r="FH25" s="7">
        <f>ROUND(-0.376,10)</f>
        <v>-0.376</v>
      </c>
      <c r="FI25" s="7">
        <f>ROUND(-0.377,10)</f>
        <v>-0.377</v>
      </c>
      <c r="FJ25" s="7">
        <f>ROUND(-0.377,10)</f>
        <v>-0.377</v>
      </c>
      <c r="FK25" s="7">
        <f>ROUND(-0.377,10)</f>
        <v>-0.377</v>
      </c>
      <c r="FL25" s="7">
        <f>ROUND(-0.377,10)</f>
        <v>-0.377</v>
      </c>
      <c r="FM25" s="7">
        <f>ROUND(-0.377,10)</f>
        <v>-0.377</v>
      </c>
      <c r="FN25" s="7">
        <f>ROUND(-0.376,10)</f>
        <v>-0.376</v>
      </c>
      <c r="FO25" s="7">
        <f t="shared" ref="FO25:FT25" si="22">ROUND(-0.377,10)</f>
        <v>-0.377</v>
      </c>
      <c r="FP25" s="7">
        <f t="shared" si="22"/>
        <v>-0.377</v>
      </c>
      <c r="FQ25" s="7">
        <f t="shared" si="22"/>
        <v>-0.377</v>
      </c>
      <c r="FR25" s="7">
        <f t="shared" si="22"/>
        <v>-0.377</v>
      </c>
      <c r="FS25" s="7">
        <f t="shared" si="22"/>
        <v>-0.377</v>
      </c>
      <c r="FT25" s="7">
        <f t="shared" si="22"/>
        <v>-0.377</v>
      </c>
      <c r="FU25" s="7">
        <f>ROUND(-0.379,10)</f>
        <v>-0.379</v>
      </c>
      <c r="FV25" s="7">
        <f>ROUND(-0.38,10)</f>
        <v>-0.38</v>
      </c>
      <c r="FW25" s="7">
        <f>ROUND(-0.376,10)</f>
        <v>-0.376</v>
      </c>
      <c r="FX25" s="7">
        <f>ROUND(-0.375,10)</f>
        <v>-0.375</v>
      </c>
      <c r="FY25" s="7">
        <f>ROUND(-0.378,10)</f>
        <v>-0.378</v>
      </c>
      <c r="FZ25" s="7">
        <f>ROUND(-0.378,10)</f>
        <v>-0.378</v>
      </c>
      <c r="GA25" s="7">
        <f>ROUND(-0.375,10)</f>
        <v>-0.375</v>
      </c>
      <c r="GB25" s="7">
        <f>ROUND(-0.376,10)</f>
        <v>-0.376</v>
      </c>
      <c r="GC25" s="7">
        <f>ROUND(-0.375,10)</f>
        <v>-0.375</v>
      </c>
      <c r="GD25" s="7">
        <f>ROUND(-0.374,10)</f>
        <v>-0.374</v>
      </c>
      <c r="GE25" s="7">
        <f>ROUND(-0.372,10)</f>
        <v>-0.372</v>
      </c>
      <c r="GF25" s="7">
        <f>ROUND(-0.372,10)</f>
        <v>-0.372</v>
      </c>
      <c r="GG25" s="7">
        <f>ROUND(-0.372,10)</f>
        <v>-0.372</v>
      </c>
      <c r="GH25" s="7">
        <f>ROUND(-0.373,10)</f>
        <v>-0.373</v>
      </c>
      <c r="GI25" s="7">
        <f>ROUND(-0.371,10)</f>
        <v>-0.371</v>
      </c>
      <c r="GJ25" s="7">
        <f>ROUND(-0.371,10)</f>
        <v>-0.371</v>
      </c>
      <c r="GK25" s="7">
        <f>ROUND(-0.373,10)</f>
        <v>-0.373</v>
      </c>
      <c r="GL25" s="7">
        <f>ROUND(-0.373,10)</f>
        <v>-0.373</v>
      </c>
      <c r="GM25" s="7">
        <f>ROUND(-0.373,10)</f>
        <v>-0.373</v>
      </c>
      <c r="GN25" s="7">
        <f>ROUND(-0.373,10)</f>
        <v>-0.373</v>
      </c>
      <c r="GO25" s="7">
        <f>ROUND(-0.372,10)</f>
        <v>-0.372</v>
      </c>
      <c r="GP25" s="7">
        <f>ROUND(-0.372,10)</f>
        <v>-0.372</v>
      </c>
      <c r="GQ25" s="7">
        <f>ROUND(-0.371,10)</f>
        <v>-0.371</v>
      </c>
      <c r="GR25" s="7">
        <f>ROUND(-0.372,10)</f>
        <v>-0.372</v>
      </c>
      <c r="GS25" s="7">
        <f>ROUND(-0.372,10)</f>
        <v>-0.372</v>
      </c>
      <c r="GT25" s="7">
        <f>ROUND(-0.372,10)</f>
        <v>-0.372</v>
      </c>
      <c r="GU25" s="7">
        <f>ROUND(-0.372,10)</f>
        <v>-0.372</v>
      </c>
      <c r="GV25" s="7">
        <f>ROUND(-0.372,10)</f>
        <v>-0.372</v>
      </c>
      <c r="GW25" s="7">
        <f>ROUND(-0.373,10)</f>
        <v>-0.373</v>
      </c>
      <c r="GX25" s="7">
        <f>ROUND(-0.373,10)</f>
        <v>-0.373</v>
      </c>
      <c r="GY25" s="7">
        <f>ROUND(-0.372,10)</f>
        <v>-0.372</v>
      </c>
      <c r="GZ25" s="7">
        <f>ROUND(-0.373,10)</f>
        <v>-0.373</v>
      </c>
      <c r="HA25" s="7">
        <f>ROUND(-0.373,10)</f>
        <v>-0.373</v>
      </c>
      <c r="HB25" s="7">
        <f>ROUND(-0.373,10)</f>
        <v>-0.373</v>
      </c>
      <c r="HC25" s="7">
        <f>ROUND(-0.373,10)</f>
        <v>-0.373</v>
      </c>
      <c r="HD25" s="7">
        <f>ROUND(-0.374,10)</f>
        <v>-0.374</v>
      </c>
      <c r="HE25" s="7">
        <f>ROUND(-0.374,10)</f>
        <v>-0.374</v>
      </c>
      <c r="HF25" s="7">
        <f>ROUND(-0.374,10)</f>
        <v>-0.374</v>
      </c>
      <c r="HG25" s="7">
        <f>ROUND(-0.375,10)</f>
        <v>-0.375</v>
      </c>
      <c r="HH25" s="7">
        <f t="shared" ref="HH25:HQ25" si="23">ROUND(-0.376,10)</f>
        <v>-0.376</v>
      </c>
      <c r="HI25" s="7">
        <f t="shared" si="23"/>
        <v>-0.376</v>
      </c>
      <c r="HJ25" s="7">
        <f t="shared" si="23"/>
        <v>-0.376</v>
      </c>
      <c r="HK25" s="7">
        <f t="shared" si="23"/>
        <v>-0.376</v>
      </c>
      <c r="HL25" s="7">
        <f t="shared" si="23"/>
        <v>-0.376</v>
      </c>
      <c r="HM25" s="7">
        <f t="shared" si="23"/>
        <v>-0.376</v>
      </c>
      <c r="HN25" s="7">
        <f t="shared" si="23"/>
        <v>-0.376</v>
      </c>
      <c r="HO25" s="7">
        <f t="shared" si="23"/>
        <v>-0.376</v>
      </c>
      <c r="HP25" s="7">
        <f t="shared" si="23"/>
        <v>-0.376</v>
      </c>
      <c r="HQ25" s="7">
        <f t="shared" si="23"/>
        <v>-0.376</v>
      </c>
      <c r="HR25" s="7">
        <f>ROUND(-0.375,10)</f>
        <v>-0.375</v>
      </c>
      <c r="HS25" s="7">
        <f>ROUND(-0.374,10)</f>
        <v>-0.374</v>
      </c>
      <c r="HT25" s="7">
        <f>ROUND(-0.373,10)</f>
        <v>-0.373</v>
      </c>
      <c r="HU25" s="7">
        <f>ROUND(-0.373,10)</f>
        <v>-0.373</v>
      </c>
      <c r="HV25" s="7">
        <f>ROUND(-0.373,10)</f>
        <v>-0.373</v>
      </c>
      <c r="HW25" s="7">
        <f>ROUND(-0.373,10)</f>
        <v>-0.373</v>
      </c>
      <c r="HX25" s="7">
        <f>ROUND(-0.373,10)</f>
        <v>-0.373</v>
      </c>
      <c r="HY25" s="7">
        <f>ROUND(-0.374,10)</f>
        <v>-0.374</v>
      </c>
      <c r="HZ25" s="7">
        <f>ROUND(-0.373,10)</f>
        <v>-0.373</v>
      </c>
      <c r="IA25" s="7">
        <f>ROUND(-0.374,10)</f>
        <v>-0.374</v>
      </c>
      <c r="IB25" s="7">
        <f>ROUND(-0.374,10)</f>
        <v>-0.374</v>
      </c>
      <c r="IC25" s="7">
        <f>ROUND(-0.374,10)</f>
        <v>-0.374</v>
      </c>
      <c r="ID25" s="7">
        <f t="shared" ref="ID25:IM25" si="24">ROUND(-0.373,10)</f>
        <v>-0.373</v>
      </c>
      <c r="IE25" s="7">
        <f t="shared" si="24"/>
        <v>-0.373</v>
      </c>
      <c r="IF25" s="7">
        <f t="shared" si="24"/>
        <v>-0.373</v>
      </c>
      <c r="IG25" s="7">
        <f t="shared" si="24"/>
        <v>-0.373</v>
      </c>
      <c r="IH25" s="7">
        <f t="shared" si="24"/>
        <v>-0.373</v>
      </c>
      <c r="II25" s="7">
        <f t="shared" si="24"/>
        <v>-0.373</v>
      </c>
      <c r="IJ25" s="7">
        <f t="shared" si="24"/>
        <v>-0.373</v>
      </c>
      <c r="IK25" s="7">
        <f t="shared" si="24"/>
        <v>-0.373</v>
      </c>
      <c r="IL25" s="7">
        <f t="shared" si="24"/>
        <v>-0.373</v>
      </c>
      <c r="IM25" s="7">
        <f t="shared" si="24"/>
        <v>-0.373</v>
      </c>
      <c r="IN25" s="7">
        <f>ROUND(-0.37,10)</f>
        <v>-0.37</v>
      </c>
      <c r="IO25" s="7">
        <f t="shared" ref="IO25:IV25" si="25">ROUND(-0.371,10)</f>
        <v>-0.371</v>
      </c>
      <c r="IP25" s="7">
        <f t="shared" si="25"/>
        <v>-0.371</v>
      </c>
      <c r="IQ25" s="7">
        <f t="shared" si="25"/>
        <v>-0.371</v>
      </c>
      <c r="IR25" s="7">
        <f t="shared" si="25"/>
        <v>-0.371</v>
      </c>
      <c r="IS25" s="7">
        <f t="shared" si="25"/>
        <v>-0.371</v>
      </c>
      <c r="IT25" s="7">
        <f t="shared" si="25"/>
        <v>-0.371</v>
      </c>
      <c r="IU25" s="7">
        <f t="shared" si="25"/>
        <v>-0.371</v>
      </c>
      <c r="IV25" s="7">
        <f t="shared" si="25"/>
        <v>-0.371</v>
      </c>
      <c r="IW25" s="7">
        <f>ROUND(-0.373,10)</f>
        <v>-0.373</v>
      </c>
      <c r="IX25" s="7">
        <f>ROUND(-0.372,10)</f>
        <v>-0.372</v>
      </c>
    </row>
    <row r="26" spans="1:258">
      <c r="A26" s="6" t="s">
        <v>37</v>
      </c>
      <c r="B26" s="7">
        <f>ROUND(-0.21,10)</f>
        <v>-0.21</v>
      </c>
      <c r="C26" s="7">
        <f>ROUND(-0.211,10)</f>
        <v>-0.21099999999999999</v>
      </c>
      <c r="D26" s="7">
        <f>ROUND(-0.214,10)</f>
        <v>-0.214</v>
      </c>
      <c r="E26" s="7">
        <f>ROUND(-0.218,10)</f>
        <v>-0.218</v>
      </c>
      <c r="F26" s="7">
        <f>ROUND(-0.218,10)</f>
        <v>-0.218</v>
      </c>
      <c r="G26" s="7">
        <f>ROUND(-0.219,10)</f>
        <v>-0.219</v>
      </c>
      <c r="H26" s="7">
        <f>ROUND(-0.22,10)</f>
        <v>-0.22</v>
      </c>
      <c r="I26" s="7">
        <f>ROUND(-0.22,10)</f>
        <v>-0.22</v>
      </c>
      <c r="J26" s="7">
        <f>ROUND(-0.221,10)</f>
        <v>-0.221</v>
      </c>
      <c r="K26" s="7">
        <f>ROUND(-0.221,10)</f>
        <v>-0.221</v>
      </c>
      <c r="L26" s="7">
        <f>ROUND(-0.222,10)</f>
        <v>-0.222</v>
      </c>
      <c r="M26" s="7">
        <f>ROUND(-0.222,10)</f>
        <v>-0.222</v>
      </c>
      <c r="N26" s="7">
        <f>ROUND(-0.225,10)</f>
        <v>-0.22500000000000001</v>
      </c>
      <c r="O26" s="7">
        <f>ROUND(-0.23,10)</f>
        <v>-0.23</v>
      </c>
      <c r="P26" s="7">
        <f>ROUND(-0.231,10)</f>
        <v>-0.23100000000000001</v>
      </c>
      <c r="Q26" s="7">
        <f>ROUND(-0.231,10)</f>
        <v>-0.23100000000000001</v>
      </c>
      <c r="R26" s="7">
        <f>ROUND(-0.231,10)</f>
        <v>-0.23100000000000001</v>
      </c>
      <c r="S26" s="7">
        <f>ROUND(-0.231,10)</f>
        <v>-0.23100000000000001</v>
      </c>
      <c r="T26" s="7">
        <f>ROUND(-0.229,10)</f>
        <v>-0.22900000000000001</v>
      </c>
      <c r="U26" s="7">
        <f>ROUND(-0.229,10)</f>
        <v>-0.22900000000000001</v>
      </c>
      <c r="V26" s="7">
        <f>ROUND(-0.232,10)</f>
        <v>-0.23200000000000001</v>
      </c>
      <c r="W26" s="7">
        <f>ROUND(-0.231,10)</f>
        <v>-0.23100000000000001</v>
      </c>
      <c r="X26" s="7">
        <f>ROUND(-0.232,10)</f>
        <v>-0.23200000000000001</v>
      </c>
      <c r="Y26" s="7">
        <f>ROUND(-0.234,10)</f>
        <v>-0.23400000000000001</v>
      </c>
      <c r="Z26" s="7">
        <f>ROUND(-0.234,10)</f>
        <v>-0.23400000000000001</v>
      </c>
      <c r="AA26" s="7">
        <f>ROUND(-0.235,10)</f>
        <v>-0.23499999999999999</v>
      </c>
      <c r="AB26" s="7">
        <f>ROUND(-0.237,10)</f>
        <v>-0.23699999999999999</v>
      </c>
      <c r="AC26" s="7">
        <f>ROUND(-0.238,10)</f>
        <v>-0.23799999999999999</v>
      </c>
      <c r="AD26" s="7">
        <f>ROUND(-0.239,10)</f>
        <v>-0.23899999999999999</v>
      </c>
      <c r="AE26" s="7">
        <f>ROUND(-0.24,10)</f>
        <v>-0.24</v>
      </c>
      <c r="AF26" s="7">
        <f>ROUND(-0.241,10)</f>
        <v>-0.24099999999999999</v>
      </c>
      <c r="AG26" s="7">
        <f>ROUND(-0.245,10)</f>
        <v>-0.245</v>
      </c>
      <c r="AH26" s="7">
        <f>ROUND(-0.249,10)</f>
        <v>-0.249</v>
      </c>
      <c r="AI26" s="7">
        <f>ROUND(-0.253,10)</f>
        <v>-0.253</v>
      </c>
      <c r="AJ26" s="7">
        <f>ROUND(-0.255,10)</f>
        <v>-0.255</v>
      </c>
      <c r="AK26" s="7">
        <f>ROUND(-0.258,10)</f>
        <v>-0.25800000000000001</v>
      </c>
      <c r="AL26" s="7">
        <f>ROUND(-0.261,10)</f>
        <v>-0.26100000000000001</v>
      </c>
      <c r="AM26" s="7">
        <f>ROUND(-0.262,10)</f>
        <v>-0.26200000000000001</v>
      </c>
      <c r="AN26" s="7">
        <f>ROUND(-0.262,10)</f>
        <v>-0.26200000000000001</v>
      </c>
      <c r="AO26" s="7">
        <f>ROUND(-0.264,10)</f>
        <v>-0.26400000000000001</v>
      </c>
      <c r="AP26" s="7">
        <f>ROUND(-0.265,10)</f>
        <v>-0.26500000000000001</v>
      </c>
      <c r="AQ26" s="7">
        <f>ROUND(-0.27,10)</f>
        <v>-0.27</v>
      </c>
      <c r="AR26" s="7">
        <f>ROUND(-0.273,10)</f>
        <v>-0.27300000000000002</v>
      </c>
      <c r="AS26" s="7">
        <f>ROUND(-0.276,10)</f>
        <v>-0.27600000000000002</v>
      </c>
      <c r="AT26" s="7">
        <f>ROUND(-0.281,10)</f>
        <v>-0.28100000000000003</v>
      </c>
      <c r="AU26" s="7">
        <f>ROUND(-0.285,10)</f>
        <v>-0.28499999999999998</v>
      </c>
      <c r="AV26" s="7">
        <f>ROUND(-0.287,10)</f>
        <v>-0.28699999999999998</v>
      </c>
      <c r="AW26" s="7">
        <f>ROUND(-0.291,10)</f>
        <v>-0.29099999999999998</v>
      </c>
      <c r="AX26" s="7">
        <f>ROUND(-0.295,10)</f>
        <v>-0.29499999999999998</v>
      </c>
      <c r="AY26" s="7">
        <f>ROUND(-0.301,10)</f>
        <v>-0.30099999999999999</v>
      </c>
      <c r="AZ26" s="7">
        <f>ROUND(-0.311,10)</f>
        <v>-0.311</v>
      </c>
      <c r="BA26" s="7">
        <f>ROUND(-0.313,10)</f>
        <v>-0.313</v>
      </c>
      <c r="BB26" s="7">
        <f>ROUND(-0.317,10)</f>
        <v>-0.317</v>
      </c>
      <c r="BC26" s="7">
        <f>ROUND(-0.322,10)</f>
        <v>-0.32200000000000001</v>
      </c>
      <c r="BD26" s="7">
        <f>ROUND(-0.324,10)</f>
        <v>-0.32400000000000001</v>
      </c>
      <c r="BE26" s="7">
        <f>ROUND(-0.326,10)</f>
        <v>-0.32600000000000001</v>
      </c>
      <c r="BF26" s="7">
        <f>ROUND(-0.328,10)</f>
        <v>-0.32800000000000001</v>
      </c>
      <c r="BG26" s="7">
        <f>ROUND(-0.33,10)</f>
        <v>-0.33</v>
      </c>
      <c r="BH26" s="7">
        <f>ROUND(-0.331,10)</f>
        <v>-0.33100000000000002</v>
      </c>
      <c r="BI26" s="7">
        <f>ROUND(-0.332,10)</f>
        <v>-0.33200000000000002</v>
      </c>
      <c r="BJ26" s="7">
        <f>ROUND(-0.332,10)</f>
        <v>-0.33200000000000002</v>
      </c>
      <c r="BK26" s="7">
        <f>ROUND(-0.334,10)</f>
        <v>-0.33400000000000002</v>
      </c>
      <c r="BL26" s="7">
        <f>ROUND(-0.335,10)</f>
        <v>-0.33500000000000002</v>
      </c>
      <c r="BM26" s="7">
        <f>ROUND(-0.339,10)</f>
        <v>-0.33900000000000002</v>
      </c>
      <c r="BN26" s="7">
        <f>ROUND(-0.339,10)</f>
        <v>-0.33900000000000002</v>
      </c>
      <c r="BO26" s="7">
        <f>ROUND(-0.339,10)</f>
        <v>-0.33900000000000002</v>
      </c>
      <c r="BP26" s="7">
        <f>ROUND(-0.339,10)</f>
        <v>-0.33900000000000002</v>
      </c>
      <c r="BQ26" s="7">
        <f>ROUND(-0.339,10)</f>
        <v>-0.33900000000000002</v>
      </c>
      <c r="BR26" s="7">
        <f>ROUND(-0.34,10)</f>
        <v>-0.34</v>
      </c>
      <c r="BS26" s="7">
        <f>ROUND(-0.342,10)</f>
        <v>-0.34200000000000003</v>
      </c>
      <c r="BT26" s="7">
        <f>ROUND(-0.342,10)</f>
        <v>-0.34200000000000003</v>
      </c>
      <c r="BU26" s="7">
        <f>ROUND(-0.342,10)</f>
        <v>-0.34200000000000003</v>
      </c>
      <c r="BV26" s="7">
        <f>ROUND(-0.342,10)</f>
        <v>-0.34200000000000003</v>
      </c>
      <c r="BW26" s="7">
        <f>ROUND(-0.342,10)</f>
        <v>-0.34200000000000003</v>
      </c>
      <c r="BX26" s="7">
        <f>ROUND(-0.343,10)</f>
        <v>-0.34300000000000003</v>
      </c>
      <c r="BY26" s="7">
        <f>ROUND(-0.342,10)</f>
        <v>-0.34200000000000003</v>
      </c>
      <c r="BZ26" s="7">
        <f>ROUND(-0.342,10)</f>
        <v>-0.34200000000000003</v>
      </c>
      <c r="CA26" s="7">
        <f>ROUND(-0.342,10)</f>
        <v>-0.34200000000000003</v>
      </c>
      <c r="CB26" s="7">
        <f>ROUND(-0.343,10)</f>
        <v>-0.34300000000000003</v>
      </c>
      <c r="CC26" s="7">
        <f>ROUND(-0.343,10)</f>
        <v>-0.34300000000000003</v>
      </c>
      <c r="CD26" s="7">
        <f>ROUND(-0.343,10)</f>
        <v>-0.34300000000000003</v>
      </c>
      <c r="CE26" s="7">
        <f>ROUND(-0.343,10)</f>
        <v>-0.34300000000000003</v>
      </c>
      <c r="CF26" s="7">
        <f>ROUND(-0.344,10)</f>
        <v>-0.34399999999999997</v>
      </c>
      <c r="CG26" s="7">
        <f>ROUND(-0.343,10)</f>
        <v>-0.34300000000000003</v>
      </c>
      <c r="CH26" s="7">
        <f>ROUND(-0.343,10)</f>
        <v>-0.34300000000000003</v>
      </c>
      <c r="CI26" s="7">
        <f>ROUND(-0.345,10)</f>
        <v>-0.34499999999999997</v>
      </c>
      <c r="CJ26" s="7">
        <f>ROUND(-0.346,10)</f>
        <v>-0.34599999999999997</v>
      </c>
      <c r="CK26" s="7">
        <f>ROUND(-0.348,10)</f>
        <v>-0.34799999999999998</v>
      </c>
      <c r="CL26" s="7">
        <f>ROUND(-0.349,10)</f>
        <v>-0.34899999999999998</v>
      </c>
      <c r="CM26" s="7">
        <f>ROUND(-0.349,10)</f>
        <v>-0.34899999999999998</v>
      </c>
      <c r="CN26" s="7">
        <f>ROUND(-0.35,10)</f>
        <v>-0.35</v>
      </c>
      <c r="CO26" s="7">
        <f>ROUND(-0.349,10)</f>
        <v>-0.34899999999999998</v>
      </c>
      <c r="CP26" s="7">
        <f>ROUND(-0.349,10)</f>
        <v>-0.34899999999999998</v>
      </c>
      <c r="CQ26" s="7">
        <f>ROUND(-0.348,10)</f>
        <v>-0.34799999999999998</v>
      </c>
      <c r="CR26" s="7">
        <f>ROUND(-0.348,10)</f>
        <v>-0.34799999999999998</v>
      </c>
      <c r="CS26" s="7">
        <f>ROUND(-0.348,10)</f>
        <v>-0.34799999999999998</v>
      </c>
      <c r="CT26" s="7">
        <f>ROUND(-0.349,10)</f>
        <v>-0.34899999999999998</v>
      </c>
      <c r="CU26" s="7">
        <f>ROUND(-0.349,10)</f>
        <v>-0.34899999999999998</v>
      </c>
      <c r="CV26" s="7">
        <f>ROUND(-0.349,10)</f>
        <v>-0.34899999999999998</v>
      </c>
      <c r="CW26" s="7">
        <f>ROUND(-0.351,10)</f>
        <v>-0.35099999999999998</v>
      </c>
      <c r="CX26" s="7">
        <f>ROUND(-0.349,10)</f>
        <v>-0.34899999999999998</v>
      </c>
      <c r="CY26" s="7">
        <f>ROUND(-0.348,10)</f>
        <v>-0.34799999999999998</v>
      </c>
      <c r="CZ26" s="7">
        <f>ROUND(-0.349,10)</f>
        <v>-0.34899999999999998</v>
      </c>
      <c r="DA26" s="7">
        <f>ROUND(-0.348,10)</f>
        <v>-0.34799999999999998</v>
      </c>
      <c r="DB26" s="7">
        <f>ROUND(-0.349,10)</f>
        <v>-0.34899999999999998</v>
      </c>
      <c r="DC26" s="7">
        <f>ROUND(-0.349,10)</f>
        <v>-0.34899999999999998</v>
      </c>
      <c r="DD26" s="7">
        <f>ROUND(-0.35,10)</f>
        <v>-0.35</v>
      </c>
      <c r="DE26" s="7">
        <f>ROUND(-0.351,10)</f>
        <v>-0.35099999999999998</v>
      </c>
      <c r="DF26" s="7">
        <f>ROUND(-0.352,10)</f>
        <v>-0.35199999999999998</v>
      </c>
      <c r="DG26" s="7">
        <f>ROUND(-0.352,10)</f>
        <v>-0.35199999999999998</v>
      </c>
      <c r="DH26" s="7">
        <f>ROUND(-0.352,10)</f>
        <v>-0.35199999999999998</v>
      </c>
      <c r="DI26" s="7">
        <f>ROUND(-0.351,10)</f>
        <v>-0.35099999999999998</v>
      </c>
      <c r="DJ26" s="7">
        <f>ROUND(-0.353,10)</f>
        <v>-0.35299999999999998</v>
      </c>
      <c r="DK26" s="7">
        <f>ROUND(-0.353,10)</f>
        <v>-0.35299999999999998</v>
      </c>
      <c r="DL26" s="7">
        <f>ROUND(-0.353,10)</f>
        <v>-0.35299999999999998</v>
      </c>
      <c r="DM26" s="7">
        <f>ROUND(-0.353,10)</f>
        <v>-0.35299999999999998</v>
      </c>
      <c r="DN26" s="7">
        <f>ROUND(-0.356,10)</f>
        <v>-0.35599999999999998</v>
      </c>
      <c r="DO26" s="7">
        <f>ROUND(-0.356,10)</f>
        <v>-0.35599999999999998</v>
      </c>
      <c r="DP26" s="7">
        <f>ROUND(-0.358,10)</f>
        <v>-0.35799999999999998</v>
      </c>
      <c r="DQ26" s="7">
        <f>ROUND(-0.358,10)</f>
        <v>-0.35799999999999998</v>
      </c>
      <c r="DR26" s="7">
        <f>ROUND(-0.358,10)</f>
        <v>-0.35799999999999998</v>
      </c>
      <c r="DS26" s="7">
        <f>ROUND(-0.358,10)</f>
        <v>-0.35799999999999998</v>
      </c>
      <c r="DT26" s="7">
        <f>ROUND(-0.364,10)</f>
        <v>-0.36399999999999999</v>
      </c>
      <c r="DU26" s="7">
        <f>ROUND(-0.364,10)</f>
        <v>-0.36399999999999999</v>
      </c>
      <c r="DV26" s="7">
        <f>ROUND(-0.361,10)</f>
        <v>-0.36099999999999999</v>
      </c>
      <c r="DW26" s="7">
        <f>ROUND(-0.364,10)</f>
        <v>-0.36399999999999999</v>
      </c>
      <c r="DX26" s="7">
        <f>ROUND(-0.364,10)</f>
        <v>-0.36399999999999999</v>
      </c>
      <c r="DY26" s="7">
        <f>ROUND(-0.363,10)</f>
        <v>-0.36299999999999999</v>
      </c>
      <c r="DZ26" s="7">
        <f>ROUND(-0.363,10)</f>
        <v>-0.36299999999999999</v>
      </c>
      <c r="EA26" s="7">
        <f>ROUND(-0.363,10)</f>
        <v>-0.36299999999999999</v>
      </c>
      <c r="EB26" s="7">
        <f>ROUND(-0.365,10)</f>
        <v>-0.36499999999999999</v>
      </c>
      <c r="EC26" s="7">
        <f>ROUND(-0.366,10)</f>
        <v>-0.36599999999999999</v>
      </c>
      <c r="ED26" s="7">
        <f>ROUND(-0.367,10)</f>
        <v>-0.36699999999999999</v>
      </c>
      <c r="EE26" s="7">
        <f>ROUND(-0.367,10)</f>
        <v>-0.36699999999999999</v>
      </c>
      <c r="EF26" s="7">
        <f>ROUND(-0.369,10)</f>
        <v>-0.36899999999999999</v>
      </c>
      <c r="EG26" s="7">
        <f>ROUND(-0.371,10)</f>
        <v>-0.371</v>
      </c>
      <c r="EH26" s="7">
        <f>ROUND(-0.371,10)</f>
        <v>-0.371</v>
      </c>
      <c r="EI26" s="7">
        <f>ROUND(-0.371,10)</f>
        <v>-0.371</v>
      </c>
      <c r="EJ26" s="7">
        <f>ROUND(-0.371,10)</f>
        <v>-0.371</v>
      </c>
      <c r="EK26" s="7">
        <f>ROUND(-0.371,10)</f>
        <v>-0.371</v>
      </c>
      <c r="EL26" s="7">
        <f>ROUND(-0.371,10)</f>
        <v>-0.371</v>
      </c>
      <c r="EM26" s="7">
        <f>ROUND(-0.37,10)</f>
        <v>-0.37</v>
      </c>
      <c r="EN26" s="7">
        <f>ROUND(-0.371,10)</f>
        <v>-0.371</v>
      </c>
      <c r="EO26" s="7">
        <f>ROUND(-0.371,10)</f>
        <v>-0.371</v>
      </c>
      <c r="EP26" s="7">
        <f>ROUND(-0.371,10)</f>
        <v>-0.371</v>
      </c>
      <c r="EQ26" s="7">
        <f>ROUND(-0.371,10)</f>
        <v>-0.371</v>
      </c>
      <c r="ER26" s="7">
        <f>ROUND(-0.371,10)</f>
        <v>-0.371</v>
      </c>
      <c r="ES26" s="7">
        <f>ROUND(-0.371,10)</f>
        <v>-0.371</v>
      </c>
      <c r="ET26" s="7">
        <f>ROUND(-0.371,10)</f>
        <v>-0.371</v>
      </c>
      <c r="EU26" s="7">
        <f>ROUND(-0.371,10)</f>
        <v>-0.371</v>
      </c>
      <c r="EV26" s="7">
        <f>ROUND(-0.371,10)</f>
        <v>-0.371</v>
      </c>
      <c r="EW26" s="7">
        <f>ROUND(-0.37,10)</f>
        <v>-0.37</v>
      </c>
      <c r="EX26" s="7">
        <f>ROUND(-0.37,10)</f>
        <v>-0.37</v>
      </c>
      <c r="EY26" s="7">
        <f>ROUND(-0.369,10)</f>
        <v>-0.36899999999999999</v>
      </c>
      <c r="EZ26" s="7">
        <f>ROUND(-0.369,10)</f>
        <v>-0.36899999999999999</v>
      </c>
      <c r="FA26" s="7">
        <f>ROUND(-0.369,10)</f>
        <v>-0.36899999999999999</v>
      </c>
      <c r="FB26" s="7">
        <f>ROUND(-0.369,10)</f>
        <v>-0.36899999999999999</v>
      </c>
      <c r="FC26" s="7">
        <f>ROUND(-0.368,10)</f>
        <v>-0.36799999999999999</v>
      </c>
      <c r="FD26" s="7">
        <f t="shared" ref="FD26:FJ26" si="26">ROUND(-0.369,10)</f>
        <v>-0.36899999999999999</v>
      </c>
      <c r="FE26" s="7">
        <f t="shared" si="26"/>
        <v>-0.36899999999999999</v>
      </c>
      <c r="FF26" s="7">
        <f t="shared" si="26"/>
        <v>-0.36899999999999999</v>
      </c>
      <c r="FG26" s="7">
        <f t="shared" si="26"/>
        <v>-0.36899999999999999</v>
      </c>
      <c r="FH26" s="7">
        <f t="shared" si="26"/>
        <v>-0.36899999999999999</v>
      </c>
      <c r="FI26" s="7">
        <f t="shared" si="26"/>
        <v>-0.36899999999999999</v>
      </c>
      <c r="FJ26" s="7">
        <f t="shared" si="26"/>
        <v>-0.36899999999999999</v>
      </c>
      <c r="FK26" s="7">
        <f>ROUND(-0.368,10)</f>
        <v>-0.36799999999999999</v>
      </c>
      <c r="FL26" s="7">
        <f>ROUND(-0.37,10)</f>
        <v>-0.37</v>
      </c>
      <c r="FM26" s="7">
        <f>ROUND(-0.371,10)</f>
        <v>-0.371</v>
      </c>
      <c r="FN26" s="7">
        <f>ROUND(-0.371,10)</f>
        <v>-0.371</v>
      </c>
      <c r="FO26" s="7">
        <f>ROUND(-0.371,10)</f>
        <v>-0.371</v>
      </c>
      <c r="FP26" s="7">
        <f>ROUND(-0.372,10)</f>
        <v>-0.372</v>
      </c>
      <c r="FQ26" s="7">
        <f>ROUND(-0.372,10)</f>
        <v>-0.372</v>
      </c>
      <c r="FR26" s="7">
        <f>ROUND(-0.373,10)</f>
        <v>-0.373</v>
      </c>
      <c r="FS26" s="7">
        <f>ROUND(-0.373,10)</f>
        <v>-0.373</v>
      </c>
      <c r="FT26" s="7">
        <f>ROUND(-0.372,10)</f>
        <v>-0.372</v>
      </c>
      <c r="FU26" s="7">
        <f>ROUND(-0.372,10)</f>
        <v>-0.372</v>
      </c>
      <c r="FV26" s="7">
        <f>ROUND(-0.373,10)</f>
        <v>-0.373</v>
      </c>
      <c r="FW26" s="7">
        <f>ROUND(-0.369,10)</f>
        <v>-0.36899999999999999</v>
      </c>
      <c r="FX26" s="7">
        <f>ROUND(-0.371,10)</f>
        <v>-0.371</v>
      </c>
      <c r="FY26" s="7">
        <f>ROUND(-0.372,10)</f>
        <v>-0.372</v>
      </c>
      <c r="FZ26" s="7">
        <f>ROUND(-0.372,10)</f>
        <v>-0.372</v>
      </c>
      <c r="GA26" s="7">
        <f t="shared" ref="GA26:GF26" si="27">ROUND(-0.371,10)</f>
        <v>-0.371</v>
      </c>
      <c r="GB26" s="7">
        <f t="shared" si="27"/>
        <v>-0.371</v>
      </c>
      <c r="GC26" s="7">
        <f t="shared" si="27"/>
        <v>-0.371</v>
      </c>
      <c r="GD26" s="7">
        <f t="shared" si="27"/>
        <v>-0.371</v>
      </c>
      <c r="GE26" s="7">
        <f t="shared" si="27"/>
        <v>-0.371</v>
      </c>
      <c r="GF26" s="7">
        <f t="shared" si="27"/>
        <v>-0.371</v>
      </c>
      <c r="GG26" s="7">
        <f>ROUND(-0.37,10)</f>
        <v>-0.37</v>
      </c>
      <c r="GH26" s="7">
        <f>ROUND(-0.371,10)</f>
        <v>-0.371</v>
      </c>
      <c r="GI26" s="7">
        <f>ROUND(-0.371,10)</f>
        <v>-0.371</v>
      </c>
      <c r="GJ26" s="7">
        <f>ROUND(-0.371,10)</f>
        <v>-0.371</v>
      </c>
      <c r="GK26" s="7">
        <f>ROUND(-0.371,10)</f>
        <v>-0.371</v>
      </c>
      <c r="GL26" s="7">
        <f>ROUND(-0.371,10)</f>
        <v>-0.371</v>
      </c>
      <c r="GM26" s="7">
        <f>ROUND(-0.371,10)</f>
        <v>-0.371</v>
      </c>
      <c r="GN26" s="7">
        <f>ROUND(-0.372,10)</f>
        <v>-0.372</v>
      </c>
      <c r="GO26" s="7">
        <f>ROUND(-0.371,10)</f>
        <v>-0.371</v>
      </c>
      <c r="GP26" s="7">
        <f>ROUND(-0.371,10)</f>
        <v>-0.371</v>
      </c>
      <c r="GQ26" s="7">
        <f>ROUND(-0.371,10)</f>
        <v>-0.371</v>
      </c>
      <c r="GR26" s="7">
        <f>ROUND(-0.371,10)</f>
        <v>-0.371</v>
      </c>
      <c r="GS26" s="7">
        <f>ROUND(-0.371,10)</f>
        <v>-0.371</v>
      </c>
      <c r="GT26" s="7">
        <f>ROUND(-0.371,10)</f>
        <v>-0.371</v>
      </c>
      <c r="GU26" s="7">
        <f>ROUND(-0.372,10)</f>
        <v>-0.372</v>
      </c>
      <c r="GV26" s="7">
        <f>ROUND(-0.371,10)</f>
        <v>-0.371</v>
      </c>
      <c r="GW26" s="7">
        <f>ROUND(-0.371,10)</f>
        <v>-0.371</v>
      </c>
      <c r="GX26" s="7">
        <f>ROUND(-0.371,10)</f>
        <v>-0.371</v>
      </c>
      <c r="GY26" s="7">
        <f>ROUND(-0.371,10)</f>
        <v>-0.371</v>
      </c>
      <c r="GZ26" s="7">
        <f>ROUND(-0.372,10)</f>
        <v>-0.372</v>
      </c>
      <c r="HA26" s="7">
        <f>ROUND(-0.372,10)</f>
        <v>-0.372</v>
      </c>
      <c r="HB26" s="7">
        <f>ROUND(-0.371,10)</f>
        <v>-0.371</v>
      </c>
      <c r="HC26" s="7">
        <f>ROUND(-0.371,10)</f>
        <v>-0.371</v>
      </c>
      <c r="HD26" s="7">
        <f>ROUND(-0.372,10)</f>
        <v>-0.372</v>
      </c>
      <c r="HE26" s="7">
        <f>ROUND(-0.372,10)</f>
        <v>-0.372</v>
      </c>
      <c r="HF26" s="7">
        <f>ROUND(-0.373,10)</f>
        <v>-0.373</v>
      </c>
      <c r="HG26" s="7">
        <f>ROUND(-0.372,10)</f>
        <v>-0.372</v>
      </c>
      <c r="HH26" s="7">
        <f>ROUND(-0.374,10)</f>
        <v>-0.374</v>
      </c>
      <c r="HI26" s="7">
        <f>ROUND(-0.373,10)</f>
        <v>-0.373</v>
      </c>
      <c r="HJ26" s="7">
        <f>ROUND(-0.373,10)</f>
        <v>-0.373</v>
      </c>
      <c r="HK26" s="7">
        <f>ROUND(-0.373,10)</f>
        <v>-0.373</v>
      </c>
      <c r="HL26" s="7">
        <f>ROUND(-0.373,10)</f>
        <v>-0.373</v>
      </c>
      <c r="HM26" s="7">
        <f>ROUND(-0.374,10)</f>
        <v>-0.374</v>
      </c>
      <c r="HN26" s="7">
        <f>ROUND(-0.373,10)</f>
        <v>-0.373</v>
      </c>
      <c r="HO26" s="7">
        <f>ROUND(-0.373,10)</f>
        <v>-0.373</v>
      </c>
      <c r="HP26" s="7">
        <f>ROUND(-0.374,10)</f>
        <v>-0.374</v>
      </c>
      <c r="HQ26" s="7">
        <f>ROUND(-0.373,10)</f>
        <v>-0.373</v>
      </c>
      <c r="HR26" s="7">
        <f>ROUND(-0.371,10)</f>
        <v>-0.371</v>
      </c>
      <c r="HS26" s="7">
        <f>ROUND(-0.371,10)</f>
        <v>-0.371</v>
      </c>
      <c r="HT26" s="7">
        <f>ROUND(-0.372,10)</f>
        <v>-0.372</v>
      </c>
      <c r="HU26" s="7">
        <f>ROUND(-0.373,10)</f>
        <v>-0.373</v>
      </c>
      <c r="HV26" s="7">
        <f>ROUND(-0.371,10)</f>
        <v>-0.371</v>
      </c>
      <c r="HW26" s="7">
        <f>ROUND(-0.373,10)</f>
        <v>-0.373</v>
      </c>
      <c r="HX26" s="7">
        <f>ROUND(-0.373,10)</f>
        <v>-0.373</v>
      </c>
      <c r="HY26" s="7">
        <f>ROUND(-0.373,10)</f>
        <v>-0.373</v>
      </c>
      <c r="HZ26" s="7">
        <f>ROUND(-0.373,10)</f>
        <v>-0.373</v>
      </c>
      <c r="IA26" s="7">
        <f>ROUND(-0.374,10)</f>
        <v>-0.374</v>
      </c>
      <c r="IB26" s="7">
        <f>ROUND(-0.372,10)</f>
        <v>-0.372</v>
      </c>
      <c r="IC26" s="7">
        <f>ROUND(-0.372,10)</f>
        <v>-0.372</v>
      </c>
      <c r="ID26" s="7">
        <f>ROUND(-0.372,10)</f>
        <v>-0.372</v>
      </c>
      <c r="IE26" s="7">
        <f>ROUND(-0.371,10)</f>
        <v>-0.371</v>
      </c>
      <c r="IF26" s="7">
        <f>ROUND(-0.373,10)</f>
        <v>-0.373</v>
      </c>
      <c r="IG26" s="7">
        <f>ROUND(-0.372,10)</f>
        <v>-0.372</v>
      </c>
      <c r="IH26" s="7">
        <f>ROUND(-0.372,10)</f>
        <v>-0.372</v>
      </c>
      <c r="II26" s="7">
        <f>ROUND(-0.372,10)</f>
        <v>-0.372</v>
      </c>
      <c r="IJ26" s="7">
        <f>ROUND(-0.371,10)</f>
        <v>-0.371</v>
      </c>
      <c r="IK26" s="7">
        <f>ROUND(-0.371,10)</f>
        <v>-0.371</v>
      </c>
      <c r="IL26" s="7">
        <f>ROUND(-0.371,10)</f>
        <v>-0.371</v>
      </c>
      <c r="IM26" s="7">
        <f>ROUND(-0.371,10)</f>
        <v>-0.371</v>
      </c>
      <c r="IN26" s="7">
        <f>ROUND(-0.37,10)</f>
        <v>-0.37</v>
      </c>
      <c r="IO26" s="7">
        <f>ROUND(-0.372,10)</f>
        <v>-0.372</v>
      </c>
      <c r="IP26" s="7">
        <f>ROUND(-0.371,10)</f>
        <v>-0.371</v>
      </c>
      <c r="IQ26" s="7">
        <f>ROUND(-0.371,10)</f>
        <v>-0.371</v>
      </c>
      <c r="IR26" s="7">
        <f>ROUND(-0.369,10)</f>
        <v>-0.36899999999999999</v>
      </c>
      <c r="IS26" s="7">
        <f>ROUND(-0.369,10)</f>
        <v>-0.36899999999999999</v>
      </c>
      <c r="IT26" s="7">
        <f>ROUND(-0.369,10)</f>
        <v>-0.36899999999999999</v>
      </c>
      <c r="IU26" s="7">
        <f>ROUND(-0.369,10)</f>
        <v>-0.36899999999999999</v>
      </c>
      <c r="IV26" s="7">
        <f>ROUND(-0.366,10)</f>
        <v>-0.36599999999999999</v>
      </c>
      <c r="IW26" s="7">
        <f>ROUND(-0.368,10)</f>
        <v>-0.36799999999999999</v>
      </c>
      <c r="IX26" s="7">
        <f>ROUND(-0.368,10)</f>
        <v>-0.36799999999999999</v>
      </c>
    </row>
    <row r="27" spans="1:258">
      <c r="A27" s="6" t="s">
        <v>38</v>
      </c>
      <c r="B27" s="7">
        <f>ROUND(-0.168,10)</f>
        <v>-0.16800000000000001</v>
      </c>
      <c r="C27" s="7">
        <f>ROUND(-0.17,10)</f>
        <v>-0.17</v>
      </c>
      <c r="D27" s="7">
        <f>ROUND(-0.174,10)</f>
        <v>-0.17399999999999999</v>
      </c>
      <c r="E27" s="7">
        <f>ROUND(-0.176,10)</f>
        <v>-0.17599999999999999</v>
      </c>
      <c r="F27" s="7">
        <f>ROUND(-0.177,10)</f>
        <v>-0.17699999999999999</v>
      </c>
      <c r="G27" s="7">
        <f>ROUND(-0.178,10)</f>
        <v>-0.17799999999999999</v>
      </c>
      <c r="H27" s="7">
        <f>ROUND(-0.179,10)</f>
        <v>-0.17899999999999999</v>
      </c>
      <c r="I27" s="7">
        <f>ROUND(-0.178,10)</f>
        <v>-0.17799999999999999</v>
      </c>
      <c r="J27" s="7">
        <f>ROUND(-0.181,10)</f>
        <v>-0.18099999999999999</v>
      </c>
      <c r="K27" s="7">
        <f>ROUND(-0.179,10)</f>
        <v>-0.17899999999999999</v>
      </c>
      <c r="L27" s="7">
        <f>ROUND(-0.181,10)</f>
        <v>-0.18099999999999999</v>
      </c>
      <c r="M27" s="7">
        <f>ROUND(-0.182,10)</f>
        <v>-0.182</v>
      </c>
      <c r="N27" s="7">
        <f>ROUND(-0.183,10)</f>
        <v>-0.183</v>
      </c>
      <c r="O27" s="7">
        <f>ROUND(-0.188,10)</f>
        <v>-0.188</v>
      </c>
      <c r="P27" s="7">
        <f>ROUND(-0.191,10)</f>
        <v>-0.191</v>
      </c>
      <c r="Q27" s="7">
        <f>ROUND(-0.191,10)</f>
        <v>-0.191</v>
      </c>
      <c r="R27" s="7">
        <f>ROUND(-0.194,10)</f>
        <v>-0.19400000000000001</v>
      </c>
      <c r="S27" s="7">
        <f>ROUND(-0.192,10)</f>
        <v>-0.192</v>
      </c>
      <c r="T27" s="7">
        <f>ROUND(-0.192,10)</f>
        <v>-0.192</v>
      </c>
      <c r="U27" s="7">
        <f>ROUND(-0.195,10)</f>
        <v>-0.19500000000000001</v>
      </c>
      <c r="V27" s="7">
        <f>ROUND(-0.198,10)</f>
        <v>-0.19800000000000001</v>
      </c>
      <c r="W27" s="7">
        <f>ROUND(-0.198,10)</f>
        <v>-0.19800000000000001</v>
      </c>
      <c r="X27" s="7">
        <f>ROUND(-0.2,10)</f>
        <v>-0.2</v>
      </c>
      <c r="Y27" s="7">
        <f>ROUND(-0.204,10)</f>
        <v>-0.20399999999999999</v>
      </c>
      <c r="Z27" s="7">
        <f>ROUND(-0.205,10)</f>
        <v>-0.20499999999999999</v>
      </c>
      <c r="AA27" s="7">
        <f>ROUND(-0.208,10)</f>
        <v>-0.20799999999999999</v>
      </c>
      <c r="AB27" s="7">
        <f>ROUND(-0.211,10)</f>
        <v>-0.21099999999999999</v>
      </c>
      <c r="AC27" s="7">
        <f>ROUND(-0.216,10)</f>
        <v>-0.216</v>
      </c>
      <c r="AD27" s="7">
        <f>ROUND(-0.219,10)</f>
        <v>-0.219</v>
      </c>
      <c r="AE27" s="7">
        <f>ROUND(-0.221,10)</f>
        <v>-0.221</v>
      </c>
      <c r="AF27" s="7">
        <f>ROUND(-0.221,10)</f>
        <v>-0.221</v>
      </c>
      <c r="AG27" s="7">
        <f>ROUND(-0.223,10)</f>
        <v>-0.223</v>
      </c>
      <c r="AH27" s="7">
        <f>ROUND(-0.224,10)</f>
        <v>-0.224</v>
      </c>
      <c r="AI27" s="7">
        <f>ROUND(-0.227,10)</f>
        <v>-0.22700000000000001</v>
      </c>
      <c r="AJ27" s="7">
        <f>ROUND(-0.231,10)</f>
        <v>-0.23100000000000001</v>
      </c>
      <c r="AK27" s="7">
        <f>ROUND(-0.232,10)</f>
        <v>-0.23200000000000001</v>
      </c>
      <c r="AL27" s="7">
        <f>ROUND(-0.232,10)</f>
        <v>-0.23200000000000001</v>
      </c>
      <c r="AM27" s="7">
        <f>ROUND(-0.232,10)</f>
        <v>-0.23200000000000001</v>
      </c>
      <c r="AN27" s="7">
        <f>ROUND(-0.232,10)</f>
        <v>-0.23200000000000001</v>
      </c>
      <c r="AO27" s="7">
        <f>ROUND(-0.234,10)</f>
        <v>-0.23400000000000001</v>
      </c>
      <c r="AP27" s="7">
        <f>ROUND(-0.238,10)</f>
        <v>-0.23799999999999999</v>
      </c>
      <c r="AQ27" s="7">
        <f>ROUND(-0.241,10)</f>
        <v>-0.24099999999999999</v>
      </c>
      <c r="AR27" s="7">
        <f>ROUND(-0.241,10)</f>
        <v>-0.24099999999999999</v>
      </c>
      <c r="AS27" s="7">
        <f>ROUND(-0.244,10)</f>
        <v>-0.24399999999999999</v>
      </c>
      <c r="AT27" s="7">
        <f>ROUND(-0.246,10)</f>
        <v>-0.246</v>
      </c>
      <c r="AU27" s="7">
        <f>ROUND(-0.248,10)</f>
        <v>-0.248</v>
      </c>
      <c r="AV27" s="7">
        <f>ROUND(-0.251,10)</f>
        <v>-0.251</v>
      </c>
      <c r="AW27" s="7">
        <f>ROUND(-0.254,10)</f>
        <v>-0.254</v>
      </c>
      <c r="AX27" s="7">
        <f>ROUND(-0.259,10)</f>
        <v>-0.25900000000000001</v>
      </c>
      <c r="AY27" s="7">
        <f>ROUND(-0.259,10)</f>
        <v>-0.25900000000000001</v>
      </c>
      <c r="AZ27" s="7">
        <f>ROUND(-0.265,10)</f>
        <v>-0.26500000000000001</v>
      </c>
      <c r="BA27" s="7">
        <f>ROUND(-0.266,10)</f>
        <v>-0.26600000000000001</v>
      </c>
      <c r="BB27" s="7">
        <f>ROUND(-0.271,10)</f>
        <v>-0.27100000000000002</v>
      </c>
      <c r="BC27" s="7">
        <f>ROUND(-0.273,10)</f>
        <v>-0.27300000000000002</v>
      </c>
      <c r="BD27" s="7">
        <f>ROUND(-0.275,10)</f>
        <v>-0.27500000000000002</v>
      </c>
      <c r="BE27" s="7">
        <f>ROUND(-0.278,10)</f>
        <v>-0.27800000000000002</v>
      </c>
      <c r="BF27" s="7">
        <f>ROUND(-0.277,10)</f>
        <v>-0.27700000000000002</v>
      </c>
      <c r="BG27" s="7">
        <f>ROUND(-0.279,10)</f>
        <v>-0.27900000000000003</v>
      </c>
      <c r="BH27" s="7">
        <f>ROUND(-0.277,10)</f>
        <v>-0.27700000000000002</v>
      </c>
      <c r="BI27" s="7">
        <f>ROUND(-0.277,10)</f>
        <v>-0.27700000000000002</v>
      </c>
      <c r="BJ27" s="7">
        <f>ROUND(-0.279,10)</f>
        <v>-0.27900000000000003</v>
      </c>
      <c r="BK27" s="7">
        <f>ROUND(-0.279,10)</f>
        <v>-0.27900000000000003</v>
      </c>
      <c r="BL27" s="7">
        <f>ROUND(-0.279,10)</f>
        <v>-0.27900000000000003</v>
      </c>
      <c r="BM27" s="7">
        <f>ROUND(-0.282,10)</f>
        <v>-0.28199999999999997</v>
      </c>
      <c r="BN27" s="7">
        <f>ROUND(-0.285,10)</f>
        <v>-0.28499999999999998</v>
      </c>
      <c r="BO27" s="7">
        <f>ROUND(-0.286,10)</f>
        <v>-0.28599999999999998</v>
      </c>
      <c r="BP27" s="7">
        <f>ROUND(-0.287,10)</f>
        <v>-0.28699999999999998</v>
      </c>
      <c r="BQ27" s="7">
        <f>ROUND(-0.288,10)</f>
        <v>-0.28799999999999998</v>
      </c>
      <c r="BR27" s="7">
        <f>ROUND(-0.287,10)</f>
        <v>-0.28699999999999998</v>
      </c>
      <c r="BS27" s="7">
        <f>ROUND(-0.285,10)</f>
        <v>-0.28499999999999998</v>
      </c>
      <c r="BT27" s="7">
        <f>ROUND(-0.288,10)</f>
        <v>-0.28799999999999998</v>
      </c>
      <c r="BU27" s="7">
        <f>ROUND(-0.287,10)</f>
        <v>-0.28699999999999998</v>
      </c>
      <c r="BV27" s="7">
        <f>ROUND(-0.287,10)</f>
        <v>-0.28699999999999998</v>
      </c>
      <c r="BW27" s="7">
        <f>ROUND(-0.287,10)</f>
        <v>-0.28699999999999998</v>
      </c>
      <c r="BX27" s="7">
        <f>ROUND(-0.287,10)</f>
        <v>-0.28699999999999998</v>
      </c>
      <c r="BY27" s="7">
        <f>ROUND(-0.288,10)</f>
        <v>-0.28799999999999998</v>
      </c>
      <c r="BZ27" s="7">
        <f>ROUND(-0.288,10)</f>
        <v>-0.28799999999999998</v>
      </c>
      <c r="CA27" s="7">
        <f>ROUND(-0.288,10)</f>
        <v>-0.28799999999999998</v>
      </c>
      <c r="CB27" s="7">
        <f>ROUND(-0.288,10)</f>
        <v>-0.28799999999999998</v>
      </c>
      <c r="CC27" s="7">
        <f>ROUND(-0.289,10)</f>
        <v>-0.28899999999999998</v>
      </c>
      <c r="CD27" s="7">
        <f>ROUND(-0.287,10)</f>
        <v>-0.28699999999999998</v>
      </c>
      <c r="CE27" s="7">
        <f>ROUND(-0.29,10)</f>
        <v>-0.28999999999999998</v>
      </c>
      <c r="CF27" s="7">
        <f>ROUND(-0.289,10)</f>
        <v>-0.28899999999999998</v>
      </c>
      <c r="CG27" s="7">
        <f>ROUND(-0.289,10)</f>
        <v>-0.28899999999999998</v>
      </c>
      <c r="CH27" s="7">
        <f>ROUND(-0.29,10)</f>
        <v>-0.28999999999999998</v>
      </c>
      <c r="CI27" s="7">
        <f>ROUND(-0.291,10)</f>
        <v>-0.29099999999999998</v>
      </c>
      <c r="CJ27" s="7">
        <f>ROUND(-0.292,10)</f>
        <v>-0.29199999999999998</v>
      </c>
      <c r="CK27" s="7">
        <f>ROUND(-0.292,10)</f>
        <v>-0.29199999999999998</v>
      </c>
      <c r="CL27" s="7">
        <f>ROUND(-0.292,10)</f>
        <v>-0.29199999999999998</v>
      </c>
      <c r="CM27" s="7">
        <f>ROUND(-0.292,10)</f>
        <v>-0.29199999999999998</v>
      </c>
      <c r="CN27" s="7">
        <f>ROUND(-0.293,10)</f>
        <v>-0.29299999999999998</v>
      </c>
      <c r="CO27" s="7">
        <f>ROUND(-0.294,10)</f>
        <v>-0.29399999999999998</v>
      </c>
      <c r="CP27" s="7">
        <f>ROUND(-0.294,10)</f>
        <v>-0.29399999999999998</v>
      </c>
      <c r="CQ27" s="7">
        <f>ROUND(-0.294,10)</f>
        <v>-0.29399999999999998</v>
      </c>
      <c r="CR27" s="7">
        <f>ROUND(-0.294,10)</f>
        <v>-0.29399999999999998</v>
      </c>
      <c r="CS27" s="7">
        <f>ROUND(-0.296,10)</f>
        <v>-0.29599999999999999</v>
      </c>
      <c r="CT27" s="7">
        <f>ROUND(-0.297,10)</f>
        <v>-0.29699999999999999</v>
      </c>
      <c r="CU27" s="7">
        <f>ROUND(-0.298,10)</f>
        <v>-0.29799999999999999</v>
      </c>
      <c r="CV27" s="7">
        <f>ROUND(-0.298,10)</f>
        <v>-0.29799999999999999</v>
      </c>
      <c r="CW27" s="7">
        <f>ROUND(-0.298,10)</f>
        <v>-0.29799999999999999</v>
      </c>
      <c r="CX27" s="7">
        <f>ROUND(-0.298,10)</f>
        <v>-0.29799999999999999</v>
      </c>
      <c r="CY27" s="7">
        <f>ROUND(-0.298,10)</f>
        <v>-0.29799999999999999</v>
      </c>
      <c r="CZ27" s="7">
        <f>ROUND(-0.299,10)</f>
        <v>-0.29899999999999999</v>
      </c>
      <c r="DA27" s="7">
        <f>ROUND(-0.299,10)</f>
        <v>-0.29899999999999999</v>
      </c>
      <c r="DB27" s="7">
        <f>ROUND(-0.301,10)</f>
        <v>-0.30099999999999999</v>
      </c>
      <c r="DC27" s="7">
        <f>ROUND(-0.301,10)</f>
        <v>-0.30099999999999999</v>
      </c>
      <c r="DD27" s="7">
        <f>ROUND(-0.299,10)</f>
        <v>-0.29899999999999999</v>
      </c>
      <c r="DE27" s="7">
        <f>ROUND(-0.3,10)</f>
        <v>-0.3</v>
      </c>
      <c r="DF27" s="7">
        <f>ROUND(-0.301,10)</f>
        <v>-0.30099999999999999</v>
      </c>
      <c r="DG27" s="7">
        <f>ROUND(-0.301,10)</f>
        <v>-0.30099999999999999</v>
      </c>
      <c r="DH27" s="7">
        <f>ROUND(-0.301,10)</f>
        <v>-0.30099999999999999</v>
      </c>
      <c r="DI27" s="7">
        <f>ROUND(-0.3,10)</f>
        <v>-0.3</v>
      </c>
      <c r="DJ27" s="7">
        <f>ROUND(-0.302,10)</f>
        <v>-0.30199999999999999</v>
      </c>
      <c r="DK27" s="7">
        <f>ROUND(-0.303,10)</f>
        <v>-0.30299999999999999</v>
      </c>
      <c r="DL27" s="7">
        <f>ROUND(-0.301,10)</f>
        <v>-0.30099999999999999</v>
      </c>
      <c r="DM27" s="7">
        <f>ROUND(-0.303,10)</f>
        <v>-0.30299999999999999</v>
      </c>
      <c r="DN27" s="7">
        <f>ROUND(-0.305,10)</f>
        <v>-0.30499999999999999</v>
      </c>
      <c r="DO27" s="7">
        <f>ROUND(-0.305,10)</f>
        <v>-0.30499999999999999</v>
      </c>
      <c r="DP27" s="7">
        <f>ROUND(-0.306,10)</f>
        <v>-0.30599999999999999</v>
      </c>
      <c r="DQ27" s="7">
        <f>ROUND(-0.306,10)</f>
        <v>-0.30599999999999999</v>
      </c>
      <c r="DR27" s="7">
        <f>ROUND(-0.309,10)</f>
        <v>-0.309</v>
      </c>
      <c r="DS27" s="7">
        <f>ROUND(-0.309,10)</f>
        <v>-0.309</v>
      </c>
      <c r="DT27" s="7">
        <f>ROUND(-0.322,10)</f>
        <v>-0.32200000000000001</v>
      </c>
      <c r="DU27" s="7">
        <f>ROUND(-0.321,10)</f>
        <v>-0.32100000000000001</v>
      </c>
      <c r="DV27" s="7">
        <f>ROUND(-0.319,10)</f>
        <v>-0.31900000000000001</v>
      </c>
      <c r="DW27" s="7">
        <f>ROUND(-0.319,10)</f>
        <v>-0.31900000000000001</v>
      </c>
      <c r="DX27" s="7">
        <f>ROUND(-0.321,10)</f>
        <v>-0.32100000000000001</v>
      </c>
      <c r="DY27" s="7">
        <f>ROUND(-0.321,10)</f>
        <v>-0.32100000000000001</v>
      </c>
      <c r="DZ27" s="7">
        <f>ROUND(-0.325,10)</f>
        <v>-0.32500000000000001</v>
      </c>
      <c r="EA27" s="7">
        <f>ROUND(-0.325,10)</f>
        <v>-0.32500000000000001</v>
      </c>
      <c r="EB27" s="7">
        <f>ROUND(-0.326,10)</f>
        <v>-0.32600000000000001</v>
      </c>
      <c r="EC27" s="7">
        <f>ROUND(-0.329,10)</f>
        <v>-0.32900000000000001</v>
      </c>
      <c r="ED27" s="7">
        <f>ROUND(-0.329,10)</f>
        <v>-0.32900000000000001</v>
      </c>
      <c r="EE27" s="7">
        <f>ROUND(-0.331,10)</f>
        <v>-0.33100000000000002</v>
      </c>
      <c r="EF27" s="7">
        <f>ROUND(-0.331,10)</f>
        <v>-0.33100000000000002</v>
      </c>
      <c r="EG27" s="7">
        <f>ROUND(-0.334,10)</f>
        <v>-0.33400000000000002</v>
      </c>
      <c r="EH27" s="7">
        <f>ROUND(-0.333,10)</f>
        <v>-0.33300000000000002</v>
      </c>
      <c r="EI27" s="7">
        <f>ROUND(-0.33,10)</f>
        <v>-0.33</v>
      </c>
      <c r="EJ27" s="7">
        <f>ROUND(-0.331,10)</f>
        <v>-0.33100000000000002</v>
      </c>
      <c r="EK27" s="7">
        <f>ROUND(-0.333,10)</f>
        <v>-0.33300000000000002</v>
      </c>
      <c r="EL27" s="7">
        <f>ROUND(-0.333,10)</f>
        <v>-0.33300000000000002</v>
      </c>
      <c r="EM27" s="7">
        <f>ROUND(-0.332,10)</f>
        <v>-0.33200000000000002</v>
      </c>
      <c r="EN27" s="7">
        <f>ROUND(-0.333,10)</f>
        <v>-0.33300000000000002</v>
      </c>
      <c r="EO27" s="7">
        <f>ROUND(-0.333,10)</f>
        <v>-0.33300000000000002</v>
      </c>
      <c r="EP27" s="7">
        <f>ROUND(-0.333,10)</f>
        <v>-0.33300000000000002</v>
      </c>
      <c r="EQ27" s="7">
        <f>ROUND(-0.332,10)</f>
        <v>-0.33200000000000002</v>
      </c>
      <c r="ER27" s="7">
        <f>ROUND(-0.331,10)</f>
        <v>-0.33100000000000002</v>
      </c>
      <c r="ES27" s="7">
        <f>ROUND(-0.331,10)</f>
        <v>-0.33100000000000002</v>
      </c>
      <c r="ET27" s="7">
        <f>ROUND(-0.331,10)</f>
        <v>-0.33100000000000002</v>
      </c>
      <c r="EU27" s="7">
        <f>ROUND(-0.329,10)</f>
        <v>-0.32900000000000001</v>
      </c>
      <c r="EV27" s="7">
        <f>ROUND(-0.333,10)</f>
        <v>-0.33300000000000002</v>
      </c>
      <c r="EW27" s="7">
        <f>ROUND(-0.333,10)</f>
        <v>-0.33300000000000002</v>
      </c>
      <c r="EX27" s="7">
        <f>ROUND(-0.334,10)</f>
        <v>-0.33400000000000002</v>
      </c>
      <c r="EY27" s="7">
        <f>ROUND(-0.334,10)</f>
        <v>-0.33400000000000002</v>
      </c>
      <c r="EZ27" s="7">
        <f>ROUND(-0.334,10)</f>
        <v>-0.33400000000000002</v>
      </c>
      <c r="FA27" s="7">
        <f>ROUND(-0.333,10)</f>
        <v>-0.33300000000000002</v>
      </c>
      <c r="FB27" s="7">
        <f>ROUND(-0.334,10)</f>
        <v>-0.33400000000000002</v>
      </c>
      <c r="FC27" s="7">
        <f>ROUND(-0.335,10)</f>
        <v>-0.33500000000000002</v>
      </c>
      <c r="FD27" s="7">
        <f>ROUND(-0.336,10)</f>
        <v>-0.33600000000000002</v>
      </c>
      <c r="FE27" s="7">
        <f>ROUND(-0.337,10)</f>
        <v>-0.33700000000000002</v>
      </c>
      <c r="FF27" s="7">
        <f>ROUND(-0.337,10)</f>
        <v>-0.33700000000000002</v>
      </c>
      <c r="FG27" s="7">
        <f>ROUND(-0.338,10)</f>
        <v>-0.33800000000000002</v>
      </c>
      <c r="FH27" s="7">
        <f>ROUND(-0.337,10)</f>
        <v>-0.33700000000000002</v>
      </c>
      <c r="FI27" s="7">
        <f>ROUND(-0.338,10)</f>
        <v>-0.33800000000000002</v>
      </c>
      <c r="FJ27" s="7">
        <f>ROUND(-0.337,10)</f>
        <v>-0.33700000000000002</v>
      </c>
      <c r="FK27" s="7">
        <f>ROUND(-0.338,10)</f>
        <v>-0.33800000000000002</v>
      </c>
      <c r="FL27" s="7">
        <f>ROUND(-0.338,10)</f>
        <v>-0.33800000000000002</v>
      </c>
      <c r="FM27" s="7">
        <f>ROUND(-0.336,10)</f>
        <v>-0.33600000000000002</v>
      </c>
      <c r="FN27" s="7">
        <f t="shared" ref="FN27:FS27" si="28">ROUND(-0.337,10)</f>
        <v>-0.33700000000000002</v>
      </c>
      <c r="FO27" s="7">
        <f t="shared" si="28"/>
        <v>-0.33700000000000002</v>
      </c>
      <c r="FP27" s="7">
        <f t="shared" si="28"/>
        <v>-0.33700000000000002</v>
      </c>
      <c r="FQ27" s="7">
        <f t="shared" si="28"/>
        <v>-0.33700000000000002</v>
      </c>
      <c r="FR27" s="7">
        <f t="shared" si="28"/>
        <v>-0.33700000000000002</v>
      </c>
      <c r="FS27" s="7">
        <f t="shared" si="28"/>
        <v>-0.33700000000000002</v>
      </c>
      <c r="FT27" s="7">
        <f>ROUND(-0.338,10)</f>
        <v>-0.33800000000000002</v>
      </c>
      <c r="FU27" s="7">
        <f>ROUND(-0.337,10)</f>
        <v>-0.33700000000000002</v>
      </c>
      <c r="FV27" s="7">
        <f>ROUND(-0.337,10)</f>
        <v>-0.33700000000000002</v>
      </c>
      <c r="FW27" s="7">
        <f>ROUND(-0.333,10)</f>
        <v>-0.33300000000000002</v>
      </c>
      <c r="FX27" s="7">
        <f>ROUND(-0.334,10)</f>
        <v>-0.33400000000000002</v>
      </c>
      <c r="FY27" s="7">
        <f>ROUND(-0.335,10)</f>
        <v>-0.33500000000000002</v>
      </c>
      <c r="FZ27" s="7">
        <f>ROUND(-0.336,10)</f>
        <v>-0.33600000000000002</v>
      </c>
      <c r="GA27" s="7">
        <f>ROUND(-0.338,10)</f>
        <v>-0.33800000000000002</v>
      </c>
      <c r="GB27" s="7">
        <f>ROUND(-0.339,10)</f>
        <v>-0.33900000000000002</v>
      </c>
      <c r="GC27" s="7">
        <f>ROUND(-0.338,10)</f>
        <v>-0.33800000000000002</v>
      </c>
      <c r="GD27" s="7">
        <f>ROUND(-0.338,10)</f>
        <v>-0.33800000000000002</v>
      </c>
      <c r="GE27" s="7">
        <f>ROUND(-0.339,10)</f>
        <v>-0.33900000000000002</v>
      </c>
      <c r="GF27" s="7">
        <f>ROUND(-0.339,10)</f>
        <v>-0.33900000000000002</v>
      </c>
      <c r="GG27" s="7">
        <f>ROUND(-0.337,10)</f>
        <v>-0.33700000000000002</v>
      </c>
      <c r="GH27" s="7">
        <f>ROUND(-0.338,10)</f>
        <v>-0.33800000000000002</v>
      </c>
      <c r="GI27" s="7">
        <f>ROUND(-0.338,10)</f>
        <v>-0.33800000000000002</v>
      </c>
      <c r="GJ27" s="7">
        <f>ROUND(-0.339,10)</f>
        <v>-0.33900000000000002</v>
      </c>
      <c r="GK27" s="7">
        <f>ROUND(-0.338,10)</f>
        <v>-0.33800000000000002</v>
      </c>
      <c r="GL27" s="7">
        <f>ROUND(-0.338,10)</f>
        <v>-0.33800000000000002</v>
      </c>
      <c r="GM27" s="7">
        <f>ROUND(-0.338,10)</f>
        <v>-0.33800000000000002</v>
      </c>
      <c r="GN27" s="7">
        <f>ROUND(-0.337,10)</f>
        <v>-0.33700000000000002</v>
      </c>
      <c r="GO27" s="7">
        <f>ROUND(-0.338,10)</f>
        <v>-0.33800000000000002</v>
      </c>
      <c r="GP27" s="7">
        <f>ROUND(-0.338,10)</f>
        <v>-0.33800000000000002</v>
      </c>
      <c r="GQ27" s="7">
        <f>ROUND(-0.337,10)</f>
        <v>-0.33700000000000002</v>
      </c>
      <c r="GR27" s="7">
        <f t="shared" ref="GR27:GW27" si="29">ROUND(-0.338,10)</f>
        <v>-0.33800000000000002</v>
      </c>
      <c r="GS27" s="7">
        <f t="shared" si="29"/>
        <v>-0.33800000000000002</v>
      </c>
      <c r="GT27" s="7">
        <f t="shared" si="29"/>
        <v>-0.33800000000000002</v>
      </c>
      <c r="GU27" s="7">
        <f t="shared" si="29"/>
        <v>-0.33800000000000002</v>
      </c>
      <c r="GV27" s="7">
        <f t="shared" si="29"/>
        <v>-0.33800000000000002</v>
      </c>
      <c r="GW27" s="7">
        <f t="shared" si="29"/>
        <v>-0.33800000000000002</v>
      </c>
      <c r="GX27" s="7">
        <f>ROUND(-0.339,10)</f>
        <v>-0.33900000000000002</v>
      </c>
      <c r="GY27" s="7">
        <f>ROUND(-0.339,10)</f>
        <v>-0.33900000000000002</v>
      </c>
      <c r="GZ27" s="7">
        <f>ROUND(-0.339,10)</f>
        <v>-0.33900000000000002</v>
      </c>
      <c r="HA27" s="7">
        <f>ROUND(-0.339,10)</f>
        <v>-0.33900000000000002</v>
      </c>
      <c r="HB27" s="7">
        <f>ROUND(-0.337,10)</f>
        <v>-0.33700000000000002</v>
      </c>
      <c r="HC27" s="7">
        <f>ROUND(-0.339,10)</f>
        <v>-0.33900000000000002</v>
      </c>
      <c r="HD27" s="7">
        <f>ROUND(-0.339,10)</f>
        <v>-0.33900000000000002</v>
      </c>
      <c r="HE27" s="7">
        <f>ROUND(-0.338,10)</f>
        <v>-0.33800000000000002</v>
      </c>
      <c r="HF27" s="7">
        <f>ROUND(-0.336,10)</f>
        <v>-0.33600000000000002</v>
      </c>
      <c r="HG27" s="7">
        <f>ROUND(-0.336,10)</f>
        <v>-0.33600000000000002</v>
      </c>
      <c r="HH27" s="7">
        <f t="shared" ref="HH27:HX27" si="30">ROUND(-0.339,10)</f>
        <v>-0.33900000000000002</v>
      </c>
      <c r="HI27" s="7">
        <f t="shared" si="30"/>
        <v>-0.33900000000000002</v>
      </c>
      <c r="HJ27" s="7">
        <f t="shared" si="30"/>
        <v>-0.33900000000000002</v>
      </c>
      <c r="HK27" s="7">
        <f t="shared" si="30"/>
        <v>-0.33900000000000002</v>
      </c>
      <c r="HL27" s="7">
        <f t="shared" si="30"/>
        <v>-0.33900000000000002</v>
      </c>
      <c r="HM27" s="7">
        <f t="shared" si="30"/>
        <v>-0.33900000000000002</v>
      </c>
      <c r="HN27" s="7">
        <f t="shared" si="30"/>
        <v>-0.33900000000000002</v>
      </c>
      <c r="HO27" s="7">
        <f t="shared" si="30"/>
        <v>-0.33900000000000002</v>
      </c>
      <c r="HP27" s="7">
        <f t="shared" si="30"/>
        <v>-0.33900000000000002</v>
      </c>
      <c r="HQ27" s="7">
        <f t="shared" si="30"/>
        <v>-0.33900000000000002</v>
      </c>
      <c r="HR27" s="7">
        <f t="shared" si="30"/>
        <v>-0.33900000000000002</v>
      </c>
      <c r="HS27" s="7">
        <f t="shared" si="30"/>
        <v>-0.33900000000000002</v>
      </c>
      <c r="HT27" s="7">
        <f t="shared" si="30"/>
        <v>-0.33900000000000002</v>
      </c>
      <c r="HU27" s="7">
        <f t="shared" si="30"/>
        <v>-0.33900000000000002</v>
      </c>
      <c r="HV27" s="7">
        <f t="shared" si="30"/>
        <v>-0.33900000000000002</v>
      </c>
      <c r="HW27" s="7">
        <f t="shared" si="30"/>
        <v>-0.33900000000000002</v>
      </c>
      <c r="HX27" s="7">
        <f t="shared" si="30"/>
        <v>-0.33900000000000002</v>
      </c>
      <c r="HY27" s="7">
        <f>ROUND(-0.338,10)</f>
        <v>-0.33800000000000002</v>
      </c>
      <c r="HZ27" s="7">
        <f>ROUND(-0.339,10)</f>
        <v>-0.33900000000000002</v>
      </c>
      <c r="IA27" s="7">
        <f>ROUND(-0.339,10)</f>
        <v>-0.33900000000000002</v>
      </c>
      <c r="IB27" s="7">
        <f>ROUND(-0.339,10)</f>
        <v>-0.33900000000000002</v>
      </c>
      <c r="IC27" s="7">
        <f>ROUND(-0.336,10)</f>
        <v>-0.33600000000000002</v>
      </c>
      <c r="ID27" s="7">
        <f>ROUND(-0.336,10)</f>
        <v>-0.33600000000000002</v>
      </c>
      <c r="IE27" s="7">
        <f>ROUND(-0.336,10)</f>
        <v>-0.33600000000000002</v>
      </c>
      <c r="IF27" s="7">
        <f>ROUND(-0.338,10)</f>
        <v>-0.33800000000000002</v>
      </c>
      <c r="IG27" s="7">
        <f>ROUND(-0.337,10)</f>
        <v>-0.33700000000000002</v>
      </c>
      <c r="IH27" s="7">
        <f>ROUND(-0.338,10)</f>
        <v>-0.33800000000000002</v>
      </c>
      <c r="II27" s="7">
        <f>ROUND(-0.337,10)</f>
        <v>-0.33700000000000002</v>
      </c>
      <c r="IJ27" s="7">
        <f>ROUND(-0.337,10)</f>
        <v>-0.33700000000000002</v>
      </c>
      <c r="IK27" s="7">
        <f>ROUND(-0.337,10)</f>
        <v>-0.33700000000000002</v>
      </c>
      <c r="IL27" s="7">
        <f>ROUND(-0.338,10)</f>
        <v>-0.33800000000000002</v>
      </c>
      <c r="IM27" s="7">
        <f>ROUND(-0.336,10)</f>
        <v>-0.33600000000000002</v>
      </c>
      <c r="IN27" s="7">
        <f>ROUND(-0.337,10)</f>
        <v>-0.33700000000000002</v>
      </c>
      <c r="IO27" s="7">
        <f>ROUND(-0.336,10)</f>
        <v>-0.33600000000000002</v>
      </c>
      <c r="IP27" s="7">
        <f>ROUND(-0.337,10)</f>
        <v>-0.33700000000000002</v>
      </c>
      <c r="IQ27" s="7">
        <f>ROUND(-0.337,10)</f>
        <v>-0.33700000000000002</v>
      </c>
      <c r="IR27" s="7">
        <f>ROUND(-0.336,10)</f>
        <v>-0.33600000000000002</v>
      </c>
      <c r="IS27" s="7">
        <f>ROUND(-0.337,10)</f>
        <v>-0.33700000000000002</v>
      </c>
      <c r="IT27" s="7">
        <f>ROUND(-0.337,10)</f>
        <v>-0.33700000000000002</v>
      </c>
      <c r="IU27" s="7">
        <f>ROUND(-0.337,10)</f>
        <v>-0.33700000000000002</v>
      </c>
      <c r="IV27" s="7">
        <f>ROUND(-0.337,10)</f>
        <v>-0.33700000000000002</v>
      </c>
      <c r="IW27" s="7">
        <f>ROUND(-0.338,10)</f>
        <v>-0.33800000000000002</v>
      </c>
      <c r="IX27" s="7">
        <f>ROUND(-0.338,10)</f>
        <v>-0.33800000000000002</v>
      </c>
    </row>
    <row r="28" spans="1:258">
      <c r="A28" s="6" t="s">
        <v>39</v>
      </c>
      <c r="B28" s="7">
        <f>ROUND(-0.132,10)</f>
        <v>-0.13200000000000001</v>
      </c>
      <c r="C28" s="7">
        <f>ROUND(-0.133,10)</f>
        <v>-0.13300000000000001</v>
      </c>
      <c r="D28" s="7">
        <f>ROUND(-0.136,10)</f>
        <v>-0.13600000000000001</v>
      </c>
      <c r="E28" s="7">
        <f>ROUND(-0.142,10)</f>
        <v>-0.14199999999999999</v>
      </c>
      <c r="F28" s="7">
        <f>ROUND(-0.143,10)</f>
        <v>-0.14299999999999999</v>
      </c>
      <c r="G28" s="7">
        <f>ROUND(-0.143,10)</f>
        <v>-0.14299999999999999</v>
      </c>
      <c r="H28" s="7">
        <f>ROUND(-0.144,10)</f>
        <v>-0.14399999999999999</v>
      </c>
      <c r="I28" s="7">
        <f>ROUND(-0.144,10)</f>
        <v>-0.14399999999999999</v>
      </c>
      <c r="J28" s="7">
        <f>ROUND(-0.143,10)</f>
        <v>-0.14299999999999999</v>
      </c>
      <c r="K28" s="7">
        <f>ROUND(-0.142,10)</f>
        <v>-0.14199999999999999</v>
      </c>
      <c r="L28" s="7">
        <f>ROUND(-0.142,10)</f>
        <v>-0.14199999999999999</v>
      </c>
      <c r="M28" s="7">
        <f>ROUND(-0.143,10)</f>
        <v>-0.14299999999999999</v>
      </c>
      <c r="N28" s="7">
        <f>ROUND(-0.144,10)</f>
        <v>-0.14399999999999999</v>
      </c>
      <c r="O28" s="7">
        <f>ROUND(-0.146,10)</f>
        <v>-0.14599999999999999</v>
      </c>
      <c r="P28" s="7">
        <f>ROUND(-0.152,10)</f>
        <v>-0.152</v>
      </c>
      <c r="Q28" s="7">
        <f>ROUND(-0.155,10)</f>
        <v>-0.155</v>
      </c>
      <c r="R28" s="7">
        <f>ROUND(-0.158,10)</f>
        <v>-0.158</v>
      </c>
      <c r="S28" s="7">
        <f>ROUND(-0.159,10)</f>
        <v>-0.159</v>
      </c>
      <c r="T28" s="7">
        <f>ROUND(-0.16,10)</f>
        <v>-0.16</v>
      </c>
      <c r="U28" s="7">
        <f>ROUND(-0.162,10)</f>
        <v>-0.16200000000000001</v>
      </c>
      <c r="V28" s="7">
        <f>ROUND(-0.162,10)</f>
        <v>-0.16200000000000001</v>
      </c>
      <c r="W28" s="7">
        <f>ROUND(-0.161,10)</f>
        <v>-0.161</v>
      </c>
      <c r="X28" s="7">
        <f>ROUND(-0.162,10)</f>
        <v>-0.16200000000000001</v>
      </c>
      <c r="Y28" s="7">
        <f>ROUND(-0.166,10)</f>
        <v>-0.16600000000000001</v>
      </c>
      <c r="Z28" s="7">
        <f>ROUND(-0.167,10)</f>
        <v>-0.16700000000000001</v>
      </c>
      <c r="AA28" s="7">
        <f>ROUND(-0.169,10)</f>
        <v>-0.16900000000000001</v>
      </c>
      <c r="AB28" s="7">
        <f>ROUND(-0.171,10)</f>
        <v>-0.17100000000000001</v>
      </c>
      <c r="AC28" s="7">
        <f>ROUND(-0.175,10)</f>
        <v>-0.17499999999999999</v>
      </c>
      <c r="AD28" s="7">
        <f>ROUND(-0.179,10)</f>
        <v>-0.17899999999999999</v>
      </c>
      <c r="AE28" s="7">
        <f>ROUND(-0.183,10)</f>
        <v>-0.183</v>
      </c>
      <c r="AF28" s="7">
        <f>ROUND(-0.183,10)</f>
        <v>-0.183</v>
      </c>
      <c r="AG28" s="7">
        <f>ROUND(-0.187,10)</f>
        <v>-0.187</v>
      </c>
      <c r="AH28" s="7">
        <f>ROUND(-0.189,10)</f>
        <v>-0.189</v>
      </c>
      <c r="AI28" s="7">
        <f>ROUND(-0.195,10)</f>
        <v>-0.19500000000000001</v>
      </c>
      <c r="AJ28" s="7">
        <f>ROUND(-0.198,10)</f>
        <v>-0.19800000000000001</v>
      </c>
      <c r="AK28" s="7">
        <f>ROUND(-0.199,10)</f>
        <v>-0.19900000000000001</v>
      </c>
      <c r="AL28" s="7">
        <f>ROUND(-0.2,10)</f>
        <v>-0.2</v>
      </c>
      <c r="AM28" s="7">
        <f>ROUND(-0.201,10)</f>
        <v>-0.20100000000000001</v>
      </c>
      <c r="AN28" s="7">
        <f>ROUND(-0.201,10)</f>
        <v>-0.20100000000000001</v>
      </c>
      <c r="AO28" s="7">
        <f>ROUND(-0.202,10)</f>
        <v>-0.20200000000000001</v>
      </c>
      <c r="AP28" s="7">
        <f>ROUND(-0.205,10)</f>
        <v>-0.20499999999999999</v>
      </c>
      <c r="AQ28" s="7">
        <f>ROUND(-0.207,10)</f>
        <v>-0.20699999999999999</v>
      </c>
      <c r="AR28" s="7">
        <f>ROUND(-0.208,10)</f>
        <v>-0.20799999999999999</v>
      </c>
      <c r="AS28" s="7">
        <f>ROUND(-0.213,10)</f>
        <v>-0.21299999999999999</v>
      </c>
      <c r="AT28" s="7">
        <f>ROUND(-0.215,10)</f>
        <v>-0.215</v>
      </c>
      <c r="AU28" s="7">
        <f>ROUND(-0.216,10)</f>
        <v>-0.216</v>
      </c>
      <c r="AV28" s="7">
        <f>ROUND(-0.221,10)</f>
        <v>-0.221</v>
      </c>
      <c r="AW28" s="7">
        <f>ROUND(-0.224,10)</f>
        <v>-0.224</v>
      </c>
      <c r="AX28" s="7">
        <f>ROUND(-0.229,10)</f>
        <v>-0.22900000000000001</v>
      </c>
      <c r="AY28" s="7">
        <f>ROUND(-0.225,10)</f>
        <v>-0.22500000000000001</v>
      </c>
      <c r="AZ28" s="7">
        <f>ROUND(-0.226,10)</f>
        <v>-0.22600000000000001</v>
      </c>
      <c r="BA28" s="7">
        <f>ROUND(-0.227,10)</f>
        <v>-0.22700000000000001</v>
      </c>
      <c r="BB28" s="7">
        <f>ROUND(-0.23,10)</f>
        <v>-0.23</v>
      </c>
      <c r="BC28" s="7">
        <f>ROUND(-0.234,10)</f>
        <v>-0.23400000000000001</v>
      </c>
      <c r="BD28" s="7">
        <f>ROUND(-0.235,10)</f>
        <v>-0.23499999999999999</v>
      </c>
      <c r="BE28" s="7">
        <f>ROUND(-0.238,10)</f>
        <v>-0.23799999999999999</v>
      </c>
      <c r="BF28" s="7">
        <f>ROUND(-0.239,10)</f>
        <v>-0.23899999999999999</v>
      </c>
      <c r="BG28" s="7">
        <f>ROUND(-0.241,10)</f>
        <v>-0.24099999999999999</v>
      </c>
      <c r="BH28" s="7">
        <f>ROUND(-0.242,10)</f>
        <v>-0.24199999999999999</v>
      </c>
      <c r="BI28" s="7">
        <f>ROUND(-0.242,10)</f>
        <v>-0.24199999999999999</v>
      </c>
      <c r="BJ28" s="7">
        <f>ROUND(-0.243,10)</f>
        <v>-0.24299999999999999</v>
      </c>
      <c r="BK28" s="7">
        <f>ROUND(-0.244,10)</f>
        <v>-0.24399999999999999</v>
      </c>
      <c r="BL28" s="7">
        <f>ROUND(-0.245,10)</f>
        <v>-0.245</v>
      </c>
      <c r="BM28" s="7">
        <f>ROUND(-0.246,10)</f>
        <v>-0.246</v>
      </c>
      <c r="BN28" s="7">
        <f>ROUND(-0.248,10)</f>
        <v>-0.248</v>
      </c>
      <c r="BO28" s="7">
        <f>ROUND(-0.248,10)</f>
        <v>-0.248</v>
      </c>
      <c r="BP28" s="7">
        <f>ROUND(-0.247,10)</f>
        <v>-0.247</v>
      </c>
      <c r="BQ28" s="7">
        <f>ROUND(-0.248,10)</f>
        <v>-0.248</v>
      </c>
      <c r="BR28" s="7">
        <f>ROUND(-0.251,10)</f>
        <v>-0.251</v>
      </c>
      <c r="BS28" s="7">
        <f>ROUND(-0.249,10)</f>
        <v>-0.249</v>
      </c>
      <c r="BT28" s="7">
        <f>ROUND(-0.249,10)</f>
        <v>-0.249</v>
      </c>
      <c r="BU28" s="7">
        <f>ROUND(-0.251,10)</f>
        <v>-0.251</v>
      </c>
      <c r="BV28" s="7">
        <f>ROUND(-0.249,10)</f>
        <v>-0.249</v>
      </c>
      <c r="BW28" s="7">
        <f>ROUND(-0.249,10)</f>
        <v>-0.249</v>
      </c>
      <c r="BX28" s="7">
        <f>ROUND(-0.25,10)</f>
        <v>-0.25</v>
      </c>
      <c r="BY28" s="7">
        <f>ROUND(-0.249,10)</f>
        <v>-0.249</v>
      </c>
      <c r="BZ28" s="7">
        <f>ROUND(-0.249,10)</f>
        <v>-0.249</v>
      </c>
      <c r="CA28" s="7">
        <f>ROUND(-0.249,10)</f>
        <v>-0.249</v>
      </c>
      <c r="CB28" s="7">
        <f>ROUND(-0.25,10)</f>
        <v>-0.25</v>
      </c>
      <c r="CC28" s="7">
        <f>ROUND(-0.252,10)</f>
        <v>-0.252</v>
      </c>
      <c r="CD28" s="7">
        <f>ROUND(-0.251,10)</f>
        <v>-0.251</v>
      </c>
      <c r="CE28" s="7">
        <f>ROUND(-0.252,10)</f>
        <v>-0.252</v>
      </c>
      <c r="CF28" s="7">
        <f>ROUND(-0.251,10)</f>
        <v>-0.251</v>
      </c>
      <c r="CG28" s="7">
        <f>ROUND(-0.25,10)</f>
        <v>-0.25</v>
      </c>
      <c r="CH28" s="7">
        <f>ROUND(-0.251,10)</f>
        <v>-0.251</v>
      </c>
      <c r="CI28" s="7">
        <f>ROUND(-0.253,10)</f>
        <v>-0.253</v>
      </c>
      <c r="CJ28" s="7">
        <f>ROUND(-0.255,10)</f>
        <v>-0.255</v>
      </c>
      <c r="CK28" s="7">
        <f>ROUND(-0.256,10)</f>
        <v>-0.25600000000000001</v>
      </c>
      <c r="CL28" s="7">
        <f>ROUND(-0.258,10)</f>
        <v>-0.25800000000000001</v>
      </c>
      <c r="CM28" s="7">
        <f>ROUND(-0.26,10)</f>
        <v>-0.26</v>
      </c>
      <c r="CN28" s="7">
        <f>ROUND(-0.259,10)</f>
        <v>-0.25900000000000001</v>
      </c>
      <c r="CO28" s="7">
        <f>ROUND(-0.258,10)</f>
        <v>-0.25800000000000001</v>
      </c>
      <c r="CP28" s="7">
        <f>ROUND(-0.257,10)</f>
        <v>-0.25700000000000001</v>
      </c>
      <c r="CQ28" s="7">
        <f>ROUND(-0.257,10)</f>
        <v>-0.25700000000000001</v>
      </c>
      <c r="CR28" s="7">
        <f>ROUND(-0.257,10)</f>
        <v>-0.25700000000000001</v>
      </c>
      <c r="CS28" s="7">
        <f>ROUND(-0.257,10)</f>
        <v>-0.25700000000000001</v>
      </c>
      <c r="CT28" s="7">
        <f t="shared" ref="CT28:CY28" si="31">ROUND(-0.258,10)</f>
        <v>-0.25800000000000001</v>
      </c>
      <c r="CU28" s="7">
        <f t="shared" si="31"/>
        <v>-0.25800000000000001</v>
      </c>
      <c r="CV28" s="7">
        <f t="shared" si="31"/>
        <v>-0.25800000000000001</v>
      </c>
      <c r="CW28" s="7">
        <f t="shared" si="31"/>
        <v>-0.25800000000000001</v>
      </c>
      <c r="CX28" s="7">
        <f t="shared" si="31"/>
        <v>-0.25800000000000001</v>
      </c>
      <c r="CY28" s="7">
        <f t="shared" si="31"/>
        <v>-0.25800000000000001</v>
      </c>
      <c r="CZ28" s="7">
        <f>ROUND(-0.26,10)</f>
        <v>-0.26</v>
      </c>
      <c r="DA28" s="7">
        <f>ROUND(-0.261,10)</f>
        <v>-0.26100000000000001</v>
      </c>
      <c r="DB28" s="7">
        <f>ROUND(-0.261,10)</f>
        <v>-0.26100000000000001</v>
      </c>
      <c r="DC28" s="7">
        <f>ROUND(-0.261,10)</f>
        <v>-0.26100000000000001</v>
      </c>
      <c r="DD28" s="7">
        <f>ROUND(-0.262,10)</f>
        <v>-0.26200000000000001</v>
      </c>
      <c r="DE28" s="7">
        <f>ROUND(-0.261,10)</f>
        <v>-0.26100000000000001</v>
      </c>
      <c r="DF28" s="7">
        <f>ROUND(-0.262,10)</f>
        <v>-0.26200000000000001</v>
      </c>
      <c r="DG28" s="7">
        <f>ROUND(-0.261,10)</f>
        <v>-0.26100000000000001</v>
      </c>
      <c r="DH28" s="7">
        <f>ROUND(-0.264,10)</f>
        <v>-0.26400000000000001</v>
      </c>
      <c r="DI28" s="7">
        <f>ROUND(-0.262,10)</f>
        <v>-0.26200000000000001</v>
      </c>
      <c r="DJ28" s="7">
        <f>ROUND(-0.263,10)</f>
        <v>-0.26300000000000001</v>
      </c>
      <c r="DK28" s="7">
        <f>ROUND(-0.263,10)</f>
        <v>-0.26300000000000001</v>
      </c>
      <c r="DL28" s="7">
        <f>ROUND(-0.262,10)</f>
        <v>-0.26200000000000001</v>
      </c>
      <c r="DM28" s="7">
        <f>ROUND(-0.262,10)</f>
        <v>-0.26200000000000001</v>
      </c>
      <c r="DN28" s="7">
        <f>ROUND(-0.264,10)</f>
        <v>-0.26400000000000001</v>
      </c>
      <c r="DO28" s="7">
        <f>ROUND(-0.265,10)</f>
        <v>-0.26500000000000001</v>
      </c>
      <c r="DP28" s="7">
        <f>ROUND(-0.266,10)</f>
        <v>-0.26600000000000001</v>
      </c>
      <c r="DQ28" s="7">
        <f>ROUND(-0.266,10)</f>
        <v>-0.26600000000000001</v>
      </c>
      <c r="DR28" s="7">
        <f>ROUND(-0.268,10)</f>
        <v>-0.26800000000000002</v>
      </c>
      <c r="DS28" s="7">
        <f>ROUND(-0.269,10)</f>
        <v>-0.26900000000000002</v>
      </c>
      <c r="DT28" s="7">
        <f>ROUND(-0.281,10)</f>
        <v>-0.28100000000000003</v>
      </c>
      <c r="DU28" s="7">
        <f>ROUND(-0.283,10)</f>
        <v>-0.28299999999999997</v>
      </c>
      <c r="DV28" s="7">
        <f>ROUND(-0.281,10)</f>
        <v>-0.28100000000000003</v>
      </c>
      <c r="DW28" s="7">
        <f>ROUND(-0.282,10)</f>
        <v>-0.28199999999999997</v>
      </c>
      <c r="DX28" s="7">
        <f>ROUND(-0.286,10)</f>
        <v>-0.28599999999999998</v>
      </c>
      <c r="DY28" s="7">
        <f>ROUND(-0.29,10)</f>
        <v>-0.28999999999999998</v>
      </c>
      <c r="DZ28" s="7">
        <f>ROUND(-0.291,10)</f>
        <v>-0.29099999999999998</v>
      </c>
      <c r="EA28" s="7">
        <f>ROUND(-0.292,10)</f>
        <v>-0.29199999999999998</v>
      </c>
      <c r="EB28" s="7">
        <f>ROUND(-0.293,10)</f>
        <v>-0.29299999999999998</v>
      </c>
      <c r="EC28" s="7">
        <f>ROUND(-0.293,10)</f>
        <v>-0.29299999999999998</v>
      </c>
      <c r="ED28" s="7">
        <f>ROUND(-0.293,10)</f>
        <v>-0.29299999999999998</v>
      </c>
      <c r="EE28" s="7">
        <f>ROUND(-0.292,10)</f>
        <v>-0.29199999999999998</v>
      </c>
      <c r="EF28" s="7">
        <f>ROUND(-0.291,10)</f>
        <v>-0.29099999999999998</v>
      </c>
      <c r="EG28" s="7">
        <f>ROUND(-0.295,10)</f>
        <v>-0.29499999999999998</v>
      </c>
      <c r="EH28" s="7">
        <f>ROUND(-0.295,10)</f>
        <v>-0.29499999999999998</v>
      </c>
      <c r="EI28" s="7">
        <f>ROUND(-0.293,10)</f>
        <v>-0.29299999999999998</v>
      </c>
      <c r="EJ28" s="7">
        <f>ROUND(-0.295,10)</f>
        <v>-0.29499999999999998</v>
      </c>
      <c r="EK28" s="7">
        <f>ROUND(-0.295,10)</f>
        <v>-0.29499999999999998</v>
      </c>
      <c r="EL28" s="7">
        <f>ROUND(-0.297,10)</f>
        <v>-0.29699999999999999</v>
      </c>
      <c r="EM28" s="7">
        <f>ROUND(-0.297,10)</f>
        <v>-0.29699999999999999</v>
      </c>
      <c r="EN28" s="7">
        <f>ROUND(-0.297,10)</f>
        <v>-0.29699999999999999</v>
      </c>
      <c r="EO28" s="7">
        <f>ROUND(-0.297,10)</f>
        <v>-0.29699999999999999</v>
      </c>
      <c r="EP28" s="7">
        <f>ROUND(-0.298,10)</f>
        <v>-0.29799999999999999</v>
      </c>
      <c r="EQ28" s="7">
        <f>ROUND(-0.298,10)</f>
        <v>-0.29799999999999999</v>
      </c>
      <c r="ER28" s="7">
        <f>ROUND(-0.296,10)</f>
        <v>-0.29599999999999999</v>
      </c>
      <c r="ES28" s="7">
        <f>ROUND(-0.297,10)</f>
        <v>-0.29699999999999999</v>
      </c>
      <c r="ET28" s="7">
        <f>ROUND(-0.297,10)</f>
        <v>-0.29699999999999999</v>
      </c>
      <c r="EU28" s="7">
        <f>ROUND(-0.298,10)</f>
        <v>-0.29799999999999999</v>
      </c>
      <c r="EV28" s="7">
        <f>ROUND(-0.299,10)</f>
        <v>-0.29899999999999999</v>
      </c>
      <c r="EW28" s="7">
        <f>ROUND(-0.298,10)</f>
        <v>-0.29799999999999999</v>
      </c>
      <c r="EX28" s="7">
        <f>ROUND(-0.298,10)</f>
        <v>-0.29799999999999999</v>
      </c>
      <c r="EY28" s="7">
        <f>ROUND(-0.298,10)</f>
        <v>-0.29799999999999999</v>
      </c>
      <c r="EZ28" s="7">
        <f>ROUND(-0.298,10)</f>
        <v>-0.29799999999999999</v>
      </c>
      <c r="FA28" s="7">
        <f>ROUND(-0.297,10)</f>
        <v>-0.29699999999999999</v>
      </c>
      <c r="FB28" s="7">
        <f>ROUND(-0.299,10)</f>
        <v>-0.29899999999999999</v>
      </c>
      <c r="FC28" s="7">
        <f>ROUND(-0.299,10)</f>
        <v>-0.29899999999999999</v>
      </c>
      <c r="FD28" s="7">
        <f>ROUND(-0.298,10)</f>
        <v>-0.29799999999999999</v>
      </c>
      <c r="FE28" s="7">
        <f>ROUND(-0.299,10)</f>
        <v>-0.29899999999999999</v>
      </c>
      <c r="FF28" s="7">
        <f>ROUND(-0.298,10)</f>
        <v>-0.29799999999999999</v>
      </c>
      <c r="FG28" s="7">
        <f>ROUND(-0.299,10)</f>
        <v>-0.29899999999999999</v>
      </c>
      <c r="FH28" s="7">
        <f>ROUND(-0.298,10)</f>
        <v>-0.29799999999999999</v>
      </c>
      <c r="FI28" s="7">
        <f>ROUND(-0.299,10)</f>
        <v>-0.29899999999999999</v>
      </c>
      <c r="FJ28" s="7">
        <f>ROUND(-0.298,10)</f>
        <v>-0.29799999999999999</v>
      </c>
      <c r="FK28" s="7">
        <f>ROUND(-0.298,10)</f>
        <v>-0.29799999999999999</v>
      </c>
      <c r="FL28" s="7">
        <f>ROUND(-0.298,10)</f>
        <v>-0.29799999999999999</v>
      </c>
      <c r="FM28" s="7">
        <f>ROUND(-0.298,10)</f>
        <v>-0.29799999999999999</v>
      </c>
      <c r="FN28" s="7">
        <f>ROUND(-0.297,10)</f>
        <v>-0.29699999999999999</v>
      </c>
      <c r="FO28" s="7">
        <f>ROUND(-0.299,10)</f>
        <v>-0.29899999999999999</v>
      </c>
      <c r="FP28" s="7">
        <f>ROUND(-0.299,10)</f>
        <v>-0.29899999999999999</v>
      </c>
      <c r="FQ28" s="7">
        <f>ROUND(-0.299,10)</f>
        <v>-0.29899999999999999</v>
      </c>
      <c r="FR28" s="7">
        <f>ROUND(-0.301,10)</f>
        <v>-0.30099999999999999</v>
      </c>
      <c r="FS28" s="7">
        <f>ROUND(-0.301,10)</f>
        <v>-0.30099999999999999</v>
      </c>
      <c r="FT28" s="7">
        <f>ROUND(-0.303,10)</f>
        <v>-0.30299999999999999</v>
      </c>
      <c r="FU28" s="7">
        <f>ROUND(-0.303,10)</f>
        <v>-0.30299999999999999</v>
      </c>
      <c r="FV28" s="7">
        <f>ROUND(-0.304,10)</f>
        <v>-0.30399999999999999</v>
      </c>
      <c r="FW28" s="7">
        <f>ROUND(-0.301,10)</f>
        <v>-0.30099999999999999</v>
      </c>
      <c r="FX28" s="7">
        <f>ROUND(-0.303,10)</f>
        <v>-0.30299999999999999</v>
      </c>
      <c r="FY28" s="7">
        <f>ROUND(-0.302,10)</f>
        <v>-0.30199999999999999</v>
      </c>
      <c r="FZ28" s="7">
        <f>ROUND(-0.303,10)</f>
        <v>-0.30299999999999999</v>
      </c>
      <c r="GA28" s="7">
        <f t="shared" ref="GA28:GF28" si="32">ROUND(-0.301,10)</f>
        <v>-0.30099999999999999</v>
      </c>
      <c r="GB28" s="7">
        <f t="shared" si="32"/>
        <v>-0.30099999999999999</v>
      </c>
      <c r="GC28" s="7">
        <f t="shared" si="32"/>
        <v>-0.30099999999999999</v>
      </c>
      <c r="GD28" s="7">
        <f t="shared" si="32"/>
        <v>-0.30099999999999999</v>
      </c>
      <c r="GE28" s="7">
        <f t="shared" si="32"/>
        <v>-0.30099999999999999</v>
      </c>
      <c r="GF28" s="7">
        <f t="shared" si="32"/>
        <v>-0.30099999999999999</v>
      </c>
      <c r="GG28" s="7">
        <f>ROUND(-0.302,10)</f>
        <v>-0.30199999999999999</v>
      </c>
      <c r="GH28" s="7">
        <f>ROUND(-0.303,10)</f>
        <v>-0.30299999999999999</v>
      </c>
      <c r="GI28" s="7">
        <f>ROUND(-0.301,10)</f>
        <v>-0.30099999999999999</v>
      </c>
      <c r="GJ28" s="7">
        <f>ROUND(-0.302,10)</f>
        <v>-0.30199999999999999</v>
      </c>
      <c r="GK28" s="7">
        <f>ROUND(-0.301,10)</f>
        <v>-0.30099999999999999</v>
      </c>
      <c r="GL28" s="7">
        <f>ROUND(-0.301,10)</f>
        <v>-0.30099999999999999</v>
      </c>
      <c r="GM28" s="7">
        <f>ROUND(-0.301,10)</f>
        <v>-0.30099999999999999</v>
      </c>
      <c r="GN28" s="7">
        <f>ROUND(-0.301,10)</f>
        <v>-0.30099999999999999</v>
      </c>
      <c r="GO28" s="7">
        <f>ROUND(-0.302,10)</f>
        <v>-0.30199999999999999</v>
      </c>
      <c r="GP28" s="7">
        <f>ROUND(-0.304,10)</f>
        <v>-0.30399999999999999</v>
      </c>
      <c r="GQ28" s="7">
        <f>ROUND(-0.304,10)</f>
        <v>-0.30399999999999999</v>
      </c>
      <c r="GR28" s="7">
        <f>ROUND(-0.305,10)</f>
        <v>-0.30499999999999999</v>
      </c>
      <c r="GS28" s="7">
        <f>ROUND(-0.306,10)</f>
        <v>-0.30599999999999999</v>
      </c>
      <c r="GT28" s="7">
        <f>ROUND(-0.309,10)</f>
        <v>-0.309</v>
      </c>
      <c r="GU28" s="7">
        <f>ROUND(-0.311,10)</f>
        <v>-0.311</v>
      </c>
      <c r="GV28" s="7">
        <f>ROUND(-0.311,10)</f>
        <v>-0.311</v>
      </c>
      <c r="GW28" s="7">
        <f>ROUND(-0.311,10)</f>
        <v>-0.311</v>
      </c>
      <c r="GX28" s="7">
        <f>ROUND(-0.312,10)</f>
        <v>-0.312</v>
      </c>
      <c r="GY28" s="7">
        <f>ROUND(-0.313,10)</f>
        <v>-0.313</v>
      </c>
      <c r="GZ28" s="7">
        <f>ROUND(-0.313,10)</f>
        <v>-0.313</v>
      </c>
      <c r="HA28" s="7">
        <f>ROUND(-0.312,10)</f>
        <v>-0.312</v>
      </c>
      <c r="HB28" s="7">
        <f>ROUND(-0.311,10)</f>
        <v>-0.311</v>
      </c>
      <c r="HC28" s="7">
        <f>ROUND(-0.312,10)</f>
        <v>-0.312</v>
      </c>
      <c r="HD28" s="7">
        <f>ROUND(-0.313,10)</f>
        <v>-0.313</v>
      </c>
      <c r="HE28" s="7">
        <f>ROUND(-0.312,10)</f>
        <v>-0.312</v>
      </c>
      <c r="HF28" s="7">
        <f>ROUND(-0.313,10)</f>
        <v>-0.313</v>
      </c>
      <c r="HG28" s="7">
        <f>ROUND(-0.313,10)</f>
        <v>-0.313</v>
      </c>
      <c r="HH28" s="7">
        <f>ROUND(-0.313,10)</f>
        <v>-0.313</v>
      </c>
      <c r="HI28" s="7">
        <f>ROUND(-0.313,10)</f>
        <v>-0.313</v>
      </c>
      <c r="HJ28" s="7">
        <f>ROUND(-0.313,10)</f>
        <v>-0.313</v>
      </c>
      <c r="HK28" s="7">
        <f t="shared" ref="HK28:HR28" si="33">ROUND(-0.312,10)</f>
        <v>-0.312</v>
      </c>
      <c r="HL28" s="7">
        <f t="shared" si="33"/>
        <v>-0.312</v>
      </c>
      <c r="HM28" s="7">
        <f t="shared" si="33"/>
        <v>-0.312</v>
      </c>
      <c r="HN28" s="7">
        <f t="shared" si="33"/>
        <v>-0.312</v>
      </c>
      <c r="HO28" s="7">
        <f t="shared" si="33"/>
        <v>-0.312</v>
      </c>
      <c r="HP28" s="7">
        <f t="shared" si="33"/>
        <v>-0.312</v>
      </c>
      <c r="HQ28" s="7">
        <f t="shared" si="33"/>
        <v>-0.312</v>
      </c>
      <c r="HR28" s="7">
        <f t="shared" si="33"/>
        <v>-0.312</v>
      </c>
      <c r="HS28" s="7">
        <f>ROUND(-0.311,10)</f>
        <v>-0.311</v>
      </c>
      <c r="HT28" s="7">
        <f>ROUND(-0.312,10)</f>
        <v>-0.312</v>
      </c>
      <c r="HU28" s="7">
        <f>ROUND(-0.313,10)</f>
        <v>-0.313</v>
      </c>
      <c r="HV28" s="7">
        <f>ROUND(-0.312,10)</f>
        <v>-0.312</v>
      </c>
      <c r="HW28" s="7">
        <f>ROUND(-0.313,10)</f>
        <v>-0.313</v>
      </c>
      <c r="HX28" s="7">
        <f>ROUND(-0.313,10)</f>
        <v>-0.313</v>
      </c>
      <c r="HY28" s="7">
        <f>ROUND(-0.314,10)</f>
        <v>-0.314</v>
      </c>
      <c r="HZ28" s="7">
        <f>ROUND(-0.314,10)</f>
        <v>-0.314</v>
      </c>
      <c r="IA28" s="7">
        <f>ROUND(-0.314,10)</f>
        <v>-0.314</v>
      </c>
      <c r="IB28" s="7">
        <f>ROUND(-0.314,10)</f>
        <v>-0.314</v>
      </c>
      <c r="IC28" s="7">
        <f>ROUND(-0.314,10)</f>
        <v>-0.314</v>
      </c>
      <c r="ID28" s="7">
        <f>ROUND(-0.313,10)</f>
        <v>-0.313</v>
      </c>
      <c r="IE28" s="7">
        <f>ROUND(-0.313,10)</f>
        <v>-0.313</v>
      </c>
      <c r="IF28" s="7">
        <f>ROUND(-0.313,10)</f>
        <v>-0.313</v>
      </c>
      <c r="IG28" s="7">
        <f>ROUND(-0.315,10)</f>
        <v>-0.315</v>
      </c>
      <c r="IH28" s="7">
        <f>ROUND(-0.316,10)</f>
        <v>-0.316</v>
      </c>
      <c r="II28" s="7">
        <f>ROUND(-0.318,10)</f>
        <v>-0.318</v>
      </c>
      <c r="IJ28" s="7">
        <f>ROUND(-0.316,10)</f>
        <v>-0.316</v>
      </c>
      <c r="IK28" s="7">
        <f>ROUND(-0.316,10)</f>
        <v>-0.316</v>
      </c>
      <c r="IL28" s="7">
        <f>ROUND(-0.316,10)</f>
        <v>-0.316</v>
      </c>
      <c r="IM28" s="7">
        <f>ROUND(-0.316,10)</f>
        <v>-0.316</v>
      </c>
      <c r="IN28" s="7">
        <f>ROUND(-0.316,10)</f>
        <v>-0.316</v>
      </c>
      <c r="IO28" s="7">
        <f>ROUND(-0.314,10)</f>
        <v>-0.314</v>
      </c>
      <c r="IP28" s="7">
        <f>ROUND(-0.313,10)</f>
        <v>-0.313</v>
      </c>
      <c r="IQ28" s="7">
        <f>ROUND(-0.313,10)</f>
        <v>-0.313</v>
      </c>
      <c r="IR28" s="7">
        <f>ROUND(-0.315,10)</f>
        <v>-0.315</v>
      </c>
      <c r="IS28" s="7">
        <f>ROUND(-0.316,10)</f>
        <v>-0.316</v>
      </c>
      <c r="IT28" s="7">
        <f>ROUND(-0.317,10)</f>
        <v>-0.317</v>
      </c>
      <c r="IU28" s="7">
        <f>ROUND(-0.318,10)</f>
        <v>-0.318</v>
      </c>
      <c r="IV28" s="7">
        <f>ROUND(-0.319,10)</f>
        <v>-0.31900000000000001</v>
      </c>
      <c r="IW28" s="7">
        <f>ROUND(-0.319,10)</f>
        <v>-0.31900000000000001</v>
      </c>
      <c r="IX28" s="7">
        <f>ROUND(-0.319,10)</f>
        <v>-0.31900000000000001</v>
      </c>
    </row>
    <row r="29" spans="1:258" s="16" customFormat="1">
      <c r="A29" s="14" t="s">
        <v>40</v>
      </c>
      <c r="B29" s="17">
        <f>ROUND(-0.041,10)</f>
        <v>-4.1000000000000002E-2</v>
      </c>
      <c r="C29" s="15">
        <f>ROUND(-0.041,10)</f>
        <v>-4.1000000000000002E-2</v>
      </c>
      <c r="D29" s="15">
        <f>ROUND(-0.044,10)</f>
        <v>-4.3999999999999997E-2</v>
      </c>
      <c r="E29" s="15">
        <f>ROUND(-0.05,10)</f>
        <v>-0.05</v>
      </c>
      <c r="F29" s="15">
        <f>ROUND(-0.051,10)</f>
        <v>-5.0999999999999997E-2</v>
      </c>
      <c r="G29" s="15">
        <f>ROUND(-0.052,10)</f>
        <v>-5.1999999999999998E-2</v>
      </c>
      <c r="H29" s="15">
        <f>ROUND(-0.053,10)</f>
        <v>-5.2999999999999999E-2</v>
      </c>
      <c r="I29" s="15">
        <f>ROUND(-0.054,10)</f>
        <v>-5.3999999999999999E-2</v>
      </c>
      <c r="J29" s="15">
        <f>ROUND(-0.053,10)</f>
        <v>-5.2999999999999999E-2</v>
      </c>
      <c r="K29" s="15">
        <f>ROUND(-0.054,10)</f>
        <v>-5.3999999999999999E-2</v>
      </c>
      <c r="L29" s="15">
        <f>ROUND(-0.054,10)</f>
        <v>-5.3999999999999999E-2</v>
      </c>
      <c r="M29" s="15">
        <f>ROUND(-0.056,10)</f>
        <v>-5.6000000000000001E-2</v>
      </c>
      <c r="N29" s="15">
        <f>ROUND(-0.061,10)</f>
        <v>-6.0999999999999999E-2</v>
      </c>
      <c r="O29" s="15">
        <f>ROUND(-0.065,10)</f>
        <v>-6.5000000000000002E-2</v>
      </c>
      <c r="P29" s="15">
        <f>ROUND(-0.074,10)</f>
        <v>-7.3999999999999996E-2</v>
      </c>
      <c r="Q29" s="15">
        <f>ROUND(-0.077,10)</f>
        <v>-7.6999999999999999E-2</v>
      </c>
      <c r="R29" s="15">
        <f>ROUND(-0.082,10)</f>
        <v>-8.2000000000000003E-2</v>
      </c>
      <c r="S29" s="15">
        <f>ROUND(-0.082,10)</f>
        <v>-8.2000000000000003E-2</v>
      </c>
      <c r="T29" s="15">
        <f>ROUND(-0.083,10)</f>
        <v>-8.3000000000000004E-2</v>
      </c>
      <c r="U29" s="15">
        <f>ROUND(-0.089,10)</f>
        <v>-8.8999999999999996E-2</v>
      </c>
      <c r="V29" s="15">
        <f>ROUND(-0.094,10)</f>
        <v>-9.4E-2</v>
      </c>
      <c r="W29" s="15">
        <f>ROUND(-0.094,10)</f>
        <v>-9.4E-2</v>
      </c>
      <c r="X29" s="15">
        <f>ROUND(-0.096,10)</f>
        <v>-9.6000000000000002E-2</v>
      </c>
      <c r="Y29" s="15">
        <f>ROUND(-0.102,10)</f>
        <v>-0.10199999999999999</v>
      </c>
      <c r="Z29" s="15">
        <f>ROUND(-0.104,10)</f>
        <v>-0.104</v>
      </c>
      <c r="AA29" s="15">
        <f>ROUND(-0.107,10)</f>
        <v>-0.107</v>
      </c>
      <c r="AB29" s="15">
        <f>ROUND(-0.109,10)</f>
        <v>-0.109</v>
      </c>
      <c r="AC29" s="15">
        <f>ROUND(-0.111,10)</f>
        <v>-0.111</v>
      </c>
      <c r="AD29" s="15">
        <f>ROUND(-0.112,10)</f>
        <v>-0.112</v>
      </c>
      <c r="AE29" s="15">
        <f>ROUND(-0.116,10)</f>
        <v>-0.11600000000000001</v>
      </c>
      <c r="AF29" s="15">
        <f>ROUND(-0.116,10)</f>
        <v>-0.11600000000000001</v>
      </c>
      <c r="AG29" s="15">
        <f>ROUND(-0.12,10)</f>
        <v>-0.12</v>
      </c>
      <c r="AH29" s="15">
        <f>ROUND(-0.121,10)</f>
        <v>-0.121</v>
      </c>
      <c r="AI29" s="15">
        <f>ROUND(-0.124,10)</f>
        <v>-0.124</v>
      </c>
      <c r="AJ29" s="15">
        <f>ROUND(-0.125,10)</f>
        <v>-0.125</v>
      </c>
      <c r="AK29" s="15">
        <f>ROUND(-0.126,10)</f>
        <v>-0.126</v>
      </c>
      <c r="AL29" s="15">
        <f>ROUND(-0.125,10)</f>
        <v>-0.125</v>
      </c>
      <c r="AM29" s="15">
        <f>ROUND(-0.128,10)</f>
        <v>-0.128</v>
      </c>
      <c r="AN29" s="15">
        <f>ROUND(-0.128,10)</f>
        <v>-0.128</v>
      </c>
      <c r="AO29" s="15">
        <f>ROUND(-0.129,10)</f>
        <v>-0.129</v>
      </c>
      <c r="AP29" s="15">
        <f>ROUND(-0.134,10)</f>
        <v>-0.13400000000000001</v>
      </c>
      <c r="AQ29" s="15">
        <f>ROUND(-0.135,10)</f>
        <v>-0.13500000000000001</v>
      </c>
      <c r="AR29" s="15">
        <f>ROUND(-0.134,10)</f>
        <v>-0.13400000000000001</v>
      </c>
      <c r="AS29" s="15">
        <f>ROUND(-0.135,10)</f>
        <v>-0.13500000000000001</v>
      </c>
      <c r="AT29" s="15">
        <f>ROUND(-0.136,10)</f>
        <v>-0.13600000000000001</v>
      </c>
      <c r="AU29" s="15">
        <f>ROUND(-0.136,10)</f>
        <v>-0.13600000000000001</v>
      </c>
      <c r="AV29" s="15">
        <f>ROUND(-0.138,10)</f>
        <v>-0.13800000000000001</v>
      </c>
      <c r="AW29" s="15">
        <f>ROUND(-0.139,10)</f>
        <v>-0.13900000000000001</v>
      </c>
      <c r="AX29" s="15">
        <f>ROUND(-0.141,10)</f>
        <v>-0.14099999999999999</v>
      </c>
      <c r="AY29" s="15">
        <f>ROUND(-0.131,10)</f>
        <v>-0.13100000000000001</v>
      </c>
      <c r="AZ29" s="15">
        <f>ROUND(-0.131,10)</f>
        <v>-0.13100000000000001</v>
      </c>
      <c r="BA29" s="15">
        <f>ROUND(-0.13,10)</f>
        <v>-0.13</v>
      </c>
      <c r="BB29" s="15">
        <f>ROUND(-0.129,10)</f>
        <v>-0.129</v>
      </c>
      <c r="BC29" s="15">
        <f>ROUND(-0.131,10)</f>
        <v>-0.13100000000000001</v>
      </c>
      <c r="BD29" s="15">
        <f>ROUND(-0.131,10)</f>
        <v>-0.13100000000000001</v>
      </c>
      <c r="BE29" s="15">
        <f>ROUND(-0.131,10)</f>
        <v>-0.13100000000000001</v>
      </c>
      <c r="BF29" s="15">
        <f>ROUND(-0.132,10)</f>
        <v>-0.13200000000000001</v>
      </c>
      <c r="BG29" s="15">
        <f>ROUND(-0.133,10)</f>
        <v>-0.13300000000000001</v>
      </c>
      <c r="BH29" s="15">
        <f>ROUND(-0.134,10)</f>
        <v>-0.13400000000000001</v>
      </c>
      <c r="BI29" s="15">
        <f>ROUND(-0.134,10)</f>
        <v>-0.13400000000000001</v>
      </c>
      <c r="BJ29" s="15">
        <f>ROUND(-0.132,10)</f>
        <v>-0.13200000000000001</v>
      </c>
      <c r="BK29" s="15">
        <f>ROUND(-0.132,10)</f>
        <v>-0.13200000000000001</v>
      </c>
      <c r="BL29" s="15">
        <f>ROUND(-0.131,10)</f>
        <v>-0.13100000000000001</v>
      </c>
      <c r="BM29" s="15">
        <f>ROUND(-0.132,10)</f>
        <v>-0.13200000000000001</v>
      </c>
      <c r="BN29" s="15">
        <f>ROUND(-0.132,10)</f>
        <v>-0.13200000000000001</v>
      </c>
      <c r="BO29" s="15">
        <f>ROUND(-0.132,10)</f>
        <v>-0.13200000000000001</v>
      </c>
      <c r="BP29" s="15">
        <f>ROUND(-0.134,10)</f>
        <v>-0.13400000000000001</v>
      </c>
      <c r="BQ29" s="15">
        <f>ROUND(-0.134,10)</f>
        <v>-0.13400000000000001</v>
      </c>
      <c r="BR29" s="15">
        <f>ROUND(-0.133,10)</f>
        <v>-0.13300000000000001</v>
      </c>
      <c r="BS29" s="15">
        <f>ROUND(-0.136,10)</f>
        <v>-0.13600000000000001</v>
      </c>
      <c r="BT29" s="15">
        <f>ROUND(-0.138,10)</f>
        <v>-0.13800000000000001</v>
      </c>
      <c r="BU29" s="15">
        <f>ROUND(-0.138,10)</f>
        <v>-0.13800000000000001</v>
      </c>
      <c r="BV29" s="15">
        <f>ROUND(-0.14,10)</f>
        <v>-0.14000000000000001</v>
      </c>
      <c r="BW29" s="15">
        <f>ROUND(-0.139,10)</f>
        <v>-0.13900000000000001</v>
      </c>
      <c r="BX29" s="15">
        <f>ROUND(-0.139,10)</f>
        <v>-0.13900000000000001</v>
      </c>
      <c r="BY29" s="15">
        <f>ROUND(-0.141,10)</f>
        <v>-0.14099999999999999</v>
      </c>
      <c r="BZ29" s="15">
        <f>ROUND(-0.143,10)</f>
        <v>-0.14299999999999999</v>
      </c>
      <c r="CA29" s="15">
        <f>ROUND(-0.143,10)</f>
        <v>-0.14299999999999999</v>
      </c>
      <c r="CB29" s="15">
        <f>ROUND(-0.144,10)</f>
        <v>-0.14399999999999999</v>
      </c>
      <c r="CC29" s="15">
        <f>ROUND(-0.143,10)</f>
        <v>-0.14299999999999999</v>
      </c>
      <c r="CD29" s="15">
        <f>ROUND(-0.142,10)</f>
        <v>-0.14199999999999999</v>
      </c>
      <c r="CE29" s="15">
        <f>ROUND(-0.142,10)</f>
        <v>-0.14199999999999999</v>
      </c>
      <c r="CF29" s="15">
        <f>ROUND(-0.141,10)</f>
        <v>-0.14099999999999999</v>
      </c>
      <c r="CG29" s="15">
        <f>ROUND(-0.141,10)</f>
        <v>-0.14099999999999999</v>
      </c>
      <c r="CH29" s="15">
        <f>ROUND(-0.142,10)</f>
        <v>-0.14199999999999999</v>
      </c>
      <c r="CI29" s="15">
        <f>ROUND(-0.142,10)</f>
        <v>-0.14199999999999999</v>
      </c>
      <c r="CJ29" s="15">
        <f>ROUND(-0.144,10)</f>
        <v>-0.14399999999999999</v>
      </c>
      <c r="CK29" s="15">
        <f>ROUND(-0.144,10)</f>
        <v>-0.14399999999999999</v>
      </c>
      <c r="CL29" s="15">
        <f>ROUND(-0.143,10)</f>
        <v>-0.14299999999999999</v>
      </c>
      <c r="CM29" s="15">
        <f>ROUND(-0.144,10)</f>
        <v>-0.14399999999999999</v>
      </c>
      <c r="CN29" s="15">
        <f>ROUND(-0.144,10)</f>
        <v>-0.14399999999999999</v>
      </c>
      <c r="CO29" s="15">
        <f>ROUND(-0.144,10)</f>
        <v>-0.14399999999999999</v>
      </c>
      <c r="CP29" s="15">
        <f>ROUND(-0.144,10)</f>
        <v>-0.14399999999999999</v>
      </c>
      <c r="CQ29" s="15">
        <f>ROUND(-0.143,10)</f>
        <v>-0.14299999999999999</v>
      </c>
      <c r="CR29" s="15">
        <f>ROUND(-0.143,10)</f>
        <v>-0.14299999999999999</v>
      </c>
      <c r="CS29" s="15">
        <f>ROUND(-0.144,10)</f>
        <v>-0.14399999999999999</v>
      </c>
      <c r="CT29" s="15">
        <f>ROUND(-0.143,10)</f>
        <v>-0.14299999999999999</v>
      </c>
      <c r="CU29" s="15">
        <f>ROUND(-0.143,10)</f>
        <v>-0.14299999999999999</v>
      </c>
      <c r="CV29" s="15">
        <f>ROUND(-0.144,10)</f>
        <v>-0.14399999999999999</v>
      </c>
      <c r="CW29" s="15">
        <f>ROUND(-0.144,10)</f>
        <v>-0.14399999999999999</v>
      </c>
      <c r="CX29" s="15">
        <f>ROUND(-0.144,10)</f>
        <v>-0.14399999999999999</v>
      </c>
      <c r="CY29" s="15">
        <f>ROUND(-0.146,10)</f>
        <v>-0.14599999999999999</v>
      </c>
      <c r="CZ29" s="15">
        <f>ROUND(-0.149,10)</f>
        <v>-0.14899999999999999</v>
      </c>
      <c r="DA29" s="15">
        <f>ROUND(-0.151,10)</f>
        <v>-0.151</v>
      </c>
      <c r="DB29" s="15">
        <f>ROUND(-0.153,10)</f>
        <v>-0.153</v>
      </c>
      <c r="DC29" s="15">
        <f>ROUND(-0.153,10)</f>
        <v>-0.153</v>
      </c>
      <c r="DD29" s="15">
        <f>ROUND(-0.153,10)</f>
        <v>-0.153</v>
      </c>
      <c r="DE29" s="15">
        <f>ROUND(-0.154,10)</f>
        <v>-0.154</v>
      </c>
      <c r="DF29" s="15">
        <f>ROUND(-0.157,10)</f>
        <v>-0.157</v>
      </c>
      <c r="DG29" s="15">
        <f>ROUND(-0.159,10)</f>
        <v>-0.159</v>
      </c>
      <c r="DH29" s="15">
        <f>ROUND(-0.16,10)</f>
        <v>-0.16</v>
      </c>
      <c r="DI29" s="15">
        <f>ROUND(-0.159,10)</f>
        <v>-0.159</v>
      </c>
      <c r="DJ29" s="15">
        <f>ROUND(-0.159,10)</f>
        <v>-0.159</v>
      </c>
      <c r="DK29" s="15">
        <f>ROUND(-0.158,10)</f>
        <v>-0.158</v>
      </c>
      <c r="DL29" s="15">
        <f>ROUND(-0.159,10)</f>
        <v>-0.159</v>
      </c>
      <c r="DM29" s="15">
        <f>ROUND(-0.159,10)</f>
        <v>-0.159</v>
      </c>
      <c r="DN29" s="15">
        <f>ROUND(-0.16,10)</f>
        <v>-0.16</v>
      </c>
      <c r="DO29" s="15">
        <f>ROUND(-0.159,10)</f>
        <v>-0.159</v>
      </c>
      <c r="DP29" s="15">
        <f>ROUND(-0.159,10)</f>
        <v>-0.159</v>
      </c>
      <c r="DQ29" s="15">
        <f>ROUND(-0.159,10)</f>
        <v>-0.159</v>
      </c>
      <c r="DR29" s="15">
        <f>ROUND(-0.161,10)</f>
        <v>-0.161</v>
      </c>
      <c r="DS29" s="15">
        <f>ROUND(-0.161,10)</f>
        <v>-0.161</v>
      </c>
      <c r="DT29" s="15">
        <f>ROUND(-0.175,10)</f>
        <v>-0.17499999999999999</v>
      </c>
      <c r="DU29" s="15">
        <f>ROUND(-0.176,10)</f>
        <v>-0.17599999999999999</v>
      </c>
      <c r="DV29" s="15">
        <f>ROUND(-0.176,10)</f>
        <v>-0.17599999999999999</v>
      </c>
      <c r="DW29" s="15">
        <f>ROUND(-0.178,10)</f>
        <v>-0.17799999999999999</v>
      </c>
      <c r="DX29" s="15">
        <f>ROUND(-0.179,10)</f>
        <v>-0.17899999999999999</v>
      </c>
      <c r="DY29" s="15">
        <f>ROUND(-0.182,10)</f>
        <v>-0.182</v>
      </c>
      <c r="DZ29" s="17">
        <f>ROUND(-0.185,10)</f>
        <v>-0.185</v>
      </c>
      <c r="EA29" s="15">
        <f>ROUND(-0.188,10)</f>
        <v>-0.188</v>
      </c>
      <c r="EB29" s="15">
        <f>ROUND(-0.189,10)</f>
        <v>-0.189</v>
      </c>
      <c r="EC29" s="15">
        <f>ROUND(-0.189,10)</f>
        <v>-0.189</v>
      </c>
      <c r="ED29" s="15">
        <f>ROUND(-0.19,10)</f>
        <v>-0.19</v>
      </c>
      <c r="EE29" s="15">
        <f>ROUND(-0.19,10)</f>
        <v>-0.19</v>
      </c>
      <c r="EF29" s="15">
        <f>ROUND(-0.191,10)</f>
        <v>-0.191</v>
      </c>
      <c r="EG29" s="15">
        <f>ROUND(-0.191,10)</f>
        <v>-0.191</v>
      </c>
      <c r="EH29" s="15">
        <f>ROUND(-0.19,10)</f>
        <v>-0.19</v>
      </c>
      <c r="EI29" s="15">
        <f>ROUND(-0.187,10)</f>
        <v>-0.187</v>
      </c>
      <c r="EJ29" s="15">
        <f>ROUND(-0.191,10)</f>
        <v>-0.191</v>
      </c>
      <c r="EK29" s="15">
        <f>ROUND(-0.189,10)</f>
        <v>-0.189</v>
      </c>
      <c r="EL29" s="15">
        <f>ROUND(-0.189,10)</f>
        <v>-0.189</v>
      </c>
      <c r="EM29" s="15">
        <f>ROUND(-0.188,10)</f>
        <v>-0.188</v>
      </c>
      <c r="EN29" s="15">
        <f>ROUND(-0.189,10)</f>
        <v>-0.189</v>
      </c>
      <c r="EO29" s="15">
        <f>ROUND(-0.188,10)</f>
        <v>-0.188</v>
      </c>
      <c r="EP29" s="15">
        <f>ROUND(-0.187,10)</f>
        <v>-0.187</v>
      </c>
      <c r="EQ29" s="15">
        <f>ROUND(-0.187,10)</f>
        <v>-0.187</v>
      </c>
      <c r="ER29" s="15">
        <f>ROUND(-0.186,10)</f>
        <v>-0.186</v>
      </c>
      <c r="ES29" s="15">
        <f>ROUND(-0.186,10)</f>
        <v>-0.186</v>
      </c>
      <c r="ET29" s="15">
        <f>ROUND(-0.186,10)</f>
        <v>-0.186</v>
      </c>
      <c r="EU29" s="15">
        <f>ROUND(-0.184,10)</f>
        <v>-0.184</v>
      </c>
      <c r="EV29" s="15">
        <f>ROUND(-0.183,10)</f>
        <v>-0.183</v>
      </c>
      <c r="EW29" s="15">
        <f>ROUND(-0.183,10)</f>
        <v>-0.183</v>
      </c>
      <c r="EX29" s="15">
        <f>ROUND(-0.185,10)</f>
        <v>-0.185</v>
      </c>
      <c r="EY29" s="15">
        <f>ROUND(-0.185,10)</f>
        <v>-0.185</v>
      </c>
      <c r="EZ29" s="15">
        <f>ROUND(-0.187,10)</f>
        <v>-0.187</v>
      </c>
      <c r="FA29" s="15">
        <f>ROUND(-0.188,10)</f>
        <v>-0.188</v>
      </c>
      <c r="FB29" s="15">
        <f>ROUND(-0.189,10)</f>
        <v>-0.189</v>
      </c>
      <c r="FC29" s="15">
        <f>ROUND(-0.188,10)</f>
        <v>-0.188</v>
      </c>
      <c r="FD29" s="15">
        <f>ROUND(-0.189,10)</f>
        <v>-0.189</v>
      </c>
      <c r="FE29" s="15">
        <f>ROUND(-0.189,10)</f>
        <v>-0.189</v>
      </c>
      <c r="FF29" s="15">
        <f>ROUND(-0.19,10)</f>
        <v>-0.19</v>
      </c>
      <c r="FG29" s="15">
        <f>ROUND(-0.191,10)</f>
        <v>-0.191</v>
      </c>
      <c r="FH29" s="15">
        <f>ROUND(-0.189,10)</f>
        <v>-0.189</v>
      </c>
      <c r="FI29" s="15">
        <f>ROUND(-0.19,10)</f>
        <v>-0.19</v>
      </c>
      <c r="FJ29" s="15">
        <f>ROUND(-0.192,10)</f>
        <v>-0.192</v>
      </c>
      <c r="FK29" s="15">
        <f>ROUND(-0.191,10)</f>
        <v>-0.191</v>
      </c>
      <c r="FL29" s="15">
        <f>ROUND(-0.192,10)</f>
        <v>-0.192</v>
      </c>
      <c r="FM29" s="15">
        <f>ROUND(-0.191,10)</f>
        <v>-0.191</v>
      </c>
      <c r="FN29" s="15">
        <f>ROUND(-0.193,10)</f>
        <v>-0.193</v>
      </c>
      <c r="FO29" s="15">
        <f>ROUND(-0.192,10)</f>
        <v>-0.192</v>
      </c>
      <c r="FP29" s="15">
        <f>ROUND(-0.192,10)</f>
        <v>-0.192</v>
      </c>
      <c r="FQ29" s="15">
        <f>ROUND(-0.193,10)</f>
        <v>-0.193</v>
      </c>
      <c r="FR29" s="15">
        <f>ROUND(-0.193,10)</f>
        <v>-0.193</v>
      </c>
      <c r="FS29" s="15">
        <f>ROUND(-0.195,10)</f>
        <v>-0.19500000000000001</v>
      </c>
      <c r="FT29" s="15">
        <f>ROUND(-0.197,10)</f>
        <v>-0.19700000000000001</v>
      </c>
      <c r="FU29" s="15">
        <f>ROUND(-0.198,10)</f>
        <v>-0.19800000000000001</v>
      </c>
      <c r="FV29" s="15">
        <f>ROUND(-0.201,10)</f>
        <v>-0.20100000000000001</v>
      </c>
      <c r="FW29" s="15">
        <f>ROUND(-0.198,10)</f>
        <v>-0.19800000000000001</v>
      </c>
      <c r="FX29" s="15">
        <f>ROUND(-0.198,10)</f>
        <v>-0.19800000000000001</v>
      </c>
      <c r="FY29" s="15">
        <f>ROUND(-0.199,10)</f>
        <v>-0.19900000000000001</v>
      </c>
      <c r="FZ29" s="15">
        <f>ROUND(-0.199,10)</f>
        <v>-0.19900000000000001</v>
      </c>
      <c r="GA29" s="15">
        <f>ROUND(-0.199,10)</f>
        <v>-0.19900000000000001</v>
      </c>
      <c r="GB29" s="15">
        <f>ROUND(-0.201,10)</f>
        <v>-0.20100000000000001</v>
      </c>
      <c r="GC29" s="15">
        <f>ROUND(-0.202,10)</f>
        <v>-0.20200000000000001</v>
      </c>
      <c r="GD29" s="15">
        <f>ROUND(-0.2,10)</f>
        <v>-0.2</v>
      </c>
      <c r="GE29" s="15">
        <f>ROUND(-0.201,10)</f>
        <v>-0.20100000000000001</v>
      </c>
      <c r="GF29" s="15">
        <f>ROUND(-0.201,10)</f>
        <v>-0.20100000000000001</v>
      </c>
      <c r="GG29" s="15">
        <f>ROUND(-0.2,10)</f>
        <v>-0.2</v>
      </c>
      <c r="GH29" s="15">
        <f>ROUND(-0.199,10)</f>
        <v>-0.19900000000000001</v>
      </c>
      <c r="GI29" s="15">
        <f>ROUND(-0.201,10)</f>
        <v>-0.20100000000000001</v>
      </c>
      <c r="GJ29" s="15">
        <f>ROUND(-0.202,10)</f>
        <v>-0.20200000000000001</v>
      </c>
      <c r="GK29" s="15">
        <f>ROUND(-0.201,10)</f>
        <v>-0.20100000000000001</v>
      </c>
      <c r="GL29" s="15">
        <f>ROUND(-0.203,10)</f>
        <v>-0.20300000000000001</v>
      </c>
      <c r="GM29" s="15">
        <f>ROUND(-0.203,10)</f>
        <v>-0.20300000000000001</v>
      </c>
      <c r="GN29" s="15">
        <f>ROUND(-0.202,10)</f>
        <v>-0.20200000000000001</v>
      </c>
      <c r="GO29" s="15">
        <f>ROUND(-0.203,10)</f>
        <v>-0.20300000000000001</v>
      </c>
      <c r="GP29" s="15">
        <f>ROUND(-0.202,10)</f>
        <v>-0.20200000000000001</v>
      </c>
      <c r="GQ29" s="15">
        <f>ROUND(-0.203,10)</f>
        <v>-0.20300000000000001</v>
      </c>
      <c r="GR29" s="15">
        <f>ROUND(-0.203,10)</f>
        <v>-0.20300000000000001</v>
      </c>
      <c r="GS29" s="15">
        <f>ROUND(-0.203,10)</f>
        <v>-0.20300000000000001</v>
      </c>
      <c r="GT29" s="15">
        <f>ROUND(-0.204,10)</f>
        <v>-0.20399999999999999</v>
      </c>
      <c r="GU29" s="15">
        <f>ROUND(-0.204,10)</f>
        <v>-0.20399999999999999</v>
      </c>
      <c r="GV29" s="15">
        <f>ROUND(-0.204,10)</f>
        <v>-0.20399999999999999</v>
      </c>
      <c r="GW29" s="15">
        <f>ROUND(-0.204,10)</f>
        <v>-0.20399999999999999</v>
      </c>
      <c r="GX29" s="15">
        <f>ROUND(-0.209,10)</f>
        <v>-0.20899999999999999</v>
      </c>
      <c r="GY29" s="15">
        <f>ROUND(-0.21,10)</f>
        <v>-0.21</v>
      </c>
      <c r="GZ29" s="15">
        <f>ROUND(-0.211,10)</f>
        <v>-0.21099999999999999</v>
      </c>
      <c r="HA29" s="15">
        <f>ROUND(-0.211,10)</f>
        <v>-0.21099999999999999</v>
      </c>
      <c r="HB29" s="15">
        <f>ROUND(-0.212,10)</f>
        <v>-0.21199999999999999</v>
      </c>
      <c r="HC29" s="15">
        <f>ROUND(-0.212,10)</f>
        <v>-0.21199999999999999</v>
      </c>
      <c r="HD29" s="15">
        <f>ROUND(-0.212,10)</f>
        <v>-0.21199999999999999</v>
      </c>
      <c r="HE29" s="15">
        <f>ROUND(-0.213,10)</f>
        <v>-0.21299999999999999</v>
      </c>
      <c r="HF29" s="15">
        <f>ROUND(-0.212,10)</f>
        <v>-0.21199999999999999</v>
      </c>
      <c r="HG29" s="15">
        <f>ROUND(-0.212,10)</f>
        <v>-0.21199999999999999</v>
      </c>
      <c r="HH29" s="15">
        <f>ROUND(-0.211,10)</f>
        <v>-0.21099999999999999</v>
      </c>
      <c r="HI29" s="15">
        <f>ROUND(-0.213,10)</f>
        <v>-0.21299999999999999</v>
      </c>
      <c r="HJ29" s="15">
        <f>ROUND(-0.213,10)</f>
        <v>-0.21299999999999999</v>
      </c>
      <c r="HK29" s="15">
        <f>ROUND(-0.213,10)</f>
        <v>-0.21299999999999999</v>
      </c>
      <c r="HL29" s="15">
        <f>ROUND(-0.211,10)</f>
        <v>-0.21099999999999999</v>
      </c>
      <c r="HM29" s="15">
        <f>ROUND(-0.211,10)</f>
        <v>-0.21099999999999999</v>
      </c>
      <c r="HN29" s="15">
        <f>ROUND(-0.211,10)</f>
        <v>-0.21099999999999999</v>
      </c>
      <c r="HO29" s="15">
        <f>ROUND(-0.211,10)</f>
        <v>-0.21099999999999999</v>
      </c>
      <c r="HP29" s="15">
        <f>ROUND(-0.21,10)</f>
        <v>-0.21</v>
      </c>
      <c r="HQ29" s="15">
        <f>ROUND(-0.211,10)</f>
        <v>-0.21099999999999999</v>
      </c>
      <c r="HR29" s="15">
        <f>ROUND(-0.211,10)</f>
        <v>-0.21099999999999999</v>
      </c>
      <c r="HS29" s="15">
        <f>ROUND(-0.214,10)</f>
        <v>-0.214</v>
      </c>
      <c r="HT29" s="15">
        <f>ROUND(-0.215,10)</f>
        <v>-0.215</v>
      </c>
      <c r="HU29" s="15">
        <f>ROUND(-0.217,10)</f>
        <v>-0.217</v>
      </c>
      <c r="HV29" s="15">
        <f>ROUND(-0.219,10)</f>
        <v>-0.219</v>
      </c>
      <c r="HW29" s="15">
        <f>ROUND(-0.22,10)</f>
        <v>-0.22</v>
      </c>
      <c r="HX29" s="15">
        <f>ROUND(-0.22,10)</f>
        <v>-0.22</v>
      </c>
      <c r="HY29" s="15">
        <f t="shared" ref="HY29:ID29" si="34">ROUND(-0.219,10)</f>
        <v>-0.219</v>
      </c>
      <c r="HZ29" s="15">
        <f t="shared" si="34"/>
        <v>-0.219</v>
      </c>
      <c r="IA29" s="15">
        <f t="shared" si="34"/>
        <v>-0.219</v>
      </c>
      <c r="IB29" s="15">
        <f t="shared" si="34"/>
        <v>-0.219</v>
      </c>
      <c r="IC29" s="15">
        <f t="shared" si="34"/>
        <v>-0.219</v>
      </c>
      <c r="ID29" s="15">
        <f t="shared" si="34"/>
        <v>-0.219</v>
      </c>
      <c r="IE29" s="15">
        <f>ROUND(-0.218,10)</f>
        <v>-0.218</v>
      </c>
      <c r="IF29" s="15">
        <f>ROUND(-0.218,10)</f>
        <v>-0.218</v>
      </c>
      <c r="IG29" s="15">
        <f>ROUND(-0.219,10)</f>
        <v>-0.219</v>
      </c>
      <c r="IH29" s="15">
        <f>ROUND(-0.217,10)</f>
        <v>-0.217</v>
      </c>
      <c r="II29" s="15">
        <f>ROUND(-0.217,10)</f>
        <v>-0.217</v>
      </c>
      <c r="IJ29" s="15">
        <f>ROUND(-0.217,10)</f>
        <v>-0.217</v>
      </c>
      <c r="IK29" s="15">
        <f>ROUND(-0.217,10)</f>
        <v>-0.217</v>
      </c>
      <c r="IL29" s="15">
        <f>ROUND(-0.218,10)</f>
        <v>-0.218</v>
      </c>
      <c r="IM29" s="15">
        <f>ROUND(-0.217,10)</f>
        <v>-0.217</v>
      </c>
      <c r="IN29" s="15">
        <f>ROUND(-0.217,10)</f>
        <v>-0.217</v>
      </c>
      <c r="IO29" s="15">
        <f>ROUND(-0.216,10)</f>
        <v>-0.216</v>
      </c>
      <c r="IP29" s="15">
        <f>ROUND(-0.216,10)</f>
        <v>-0.216</v>
      </c>
      <c r="IQ29" s="15">
        <f>ROUND(-0.218,10)</f>
        <v>-0.218</v>
      </c>
      <c r="IR29" s="15">
        <f>ROUND(-0.216,10)</f>
        <v>-0.216</v>
      </c>
      <c r="IS29" s="15">
        <f>ROUND(-0.216,10)</f>
        <v>-0.216</v>
      </c>
      <c r="IT29" s="15">
        <f>ROUND(-0.217,10)</f>
        <v>-0.217</v>
      </c>
      <c r="IU29" s="15">
        <f>ROUND(-0.22,10)</f>
        <v>-0.22</v>
      </c>
      <c r="IV29" s="15">
        <f>ROUND(-0.221,10)</f>
        <v>-0.221</v>
      </c>
      <c r="IW29" s="15">
        <f>ROUND(-0.221,10)</f>
        <v>-0.221</v>
      </c>
      <c r="IX29" s="15">
        <f>ROUND(-0.221,10)</f>
        <v>-0.221</v>
      </c>
    </row>
    <row r="30" spans="1:258">
      <c r="A30" s="6" t="s">
        <v>41</v>
      </c>
      <c r="B30" s="7">
        <f>ROUND(0.002,10)</f>
        <v>2E-3</v>
      </c>
      <c r="C30" s="7">
        <f>ROUND(0.002,10)</f>
        <v>2E-3</v>
      </c>
      <c r="D30" s="7">
        <f>ROUND(0.001,10)</f>
        <v>1E-3</v>
      </c>
      <c r="E30" s="7">
        <f>ROUND(-0.003,10)</f>
        <v>-3.0000000000000001E-3</v>
      </c>
      <c r="F30" s="7">
        <f>ROUND(-0.003,10)</f>
        <v>-3.0000000000000001E-3</v>
      </c>
      <c r="G30" s="7">
        <f>ROUND(-0.004,10)</f>
        <v>-4.0000000000000001E-3</v>
      </c>
      <c r="H30" s="7">
        <f>ROUND(-0.006,10)</f>
        <v>-6.0000000000000001E-3</v>
      </c>
      <c r="I30" s="7">
        <f>ROUND(-0.007,10)</f>
        <v>-7.0000000000000001E-3</v>
      </c>
      <c r="J30" s="7">
        <f>ROUND(-0.009,10)</f>
        <v>-8.9999999999999993E-3</v>
      </c>
      <c r="K30" s="7">
        <f>ROUND(-0.01,10)</f>
        <v>-0.01</v>
      </c>
      <c r="L30" s="7">
        <f>ROUND(-0.009,10)</f>
        <v>-8.9999999999999993E-3</v>
      </c>
      <c r="M30" s="7">
        <f>ROUND(-0.011,10)</f>
        <v>-1.0999999999999999E-2</v>
      </c>
      <c r="N30" s="7">
        <f>ROUND(-0.013,10)</f>
        <v>-1.2999999999999999E-2</v>
      </c>
      <c r="O30" s="7">
        <f>ROUND(-0.014,10)</f>
        <v>-1.4E-2</v>
      </c>
      <c r="P30" s="7">
        <f>ROUND(-0.024,10)</f>
        <v>-2.4E-2</v>
      </c>
      <c r="Q30" s="7">
        <f>ROUND(-0.027,10)</f>
        <v>-2.7E-2</v>
      </c>
      <c r="R30" s="7">
        <f>ROUND(-0.032,10)</f>
        <v>-3.2000000000000001E-2</v>
      </c>
      <c r="S30" s="7">
        <f>ROUND(-0.032,10)</f>
        <v>-3.2000000000000001E-2</v>
      </c>
      <c r="T30" s="7">
        <f>ROUND(-0.034,10)</f>
        <v>-3.4000000000000002E-2</v>
      </c>
      <c r="U30" s="7">
        <f>ROUND(-0.039,10)</f>
        <v>-3.9E-2</v>
      </c>
      <c r="V30" s="7">
        <f>ROUND(-0.044,10)</f>
        <v>-4.3999999999999997E-2</v>
      </c>
      <c r="W30" s="7">
        <f>ROUND(-0.044,10)</f>
        <v>-4.3999999999999997E-2</v>
      </c>
      <c r="X30" s="7">
        <f>ROUND(-0.047,10)</f>
        <v>-4.7E-2</v>
      </c>
      <c r="Y30" s="7">
        <f>ROUND(-0.054,10)</f>
        <v>-5.3999999999999999E-2</v>
      </c>
      <c r="Z30" s="7">
        <f>ROUND(-0.054,10)</f>
        <v>-5.3999999999999999E-2</v>
      </c>
      <c r="AA30" s="7">
        <f>ROUND(-0.058,10)</f>
        <v>-5.8000000000000003E-2</v>
      </c>
      <c r="AB30" s="7">
        <f>ROUND(-0.058,10)</f>
        <v>-5.8000000000000003E-2</v>
      </c>
      <c r="AC30" s="7">
        <f>ROUND(-0.059,10)</f>
        <v>-5.8999999999999997E-2</v>
      </c>
      <c r="AD30" s="7">
        <f>ROUND(-0.061,10)</f>
        <v>-6.0999999999999999E-2</v>
      </c>
      <c r="AE30" s="7">
        <f>ROUND(-0.064,10)</f>
        <v>-6.4000000000000001E-2</v>
      </c>
      <c r="AF30" s="7">
        <f>ROUND(-0.063,10)</f>
        <v>-6.3E-2</v>
      </c>
      <c r="AG30" s="7">
        <f>ROUND(-0.068,10)</f>
        <v>-6.8000000000000005E-2</v>
      </c>
      <c r="AH30" s="7">
        <f>ROUND(-0.068,10)</f>
        <v>-6.8000000000000005E-2</v>
      </c>
      <c r="AI30" s="7">
        <f>ROUND(-0.071,10)</f>
        <v>-7.0999999999999994E-2</v>
      </c>
      <c r="AJ30" s="7">
        <f>ROUND(-0.072,10)</f>
        <v>-7.1999999999999995E-2</v>
      </c>
      <c r="AK30" s="7">
        <f>ROUND(-0.071,10)</f>
        <v>-7.0999999999999994E-2</v>
      </c>
      <c r="AL30" s="7">
        <f>ROUND(-0.071,10)</f>
        <v>-7.0999999999999994E-2</v>
      </c>
      <c r="AM30" s="7">
        <f>ROUND(-0.072,10)</f>
        <v>-7.1999999999999995E-2</v>
      </c>
      <c r="AN30" s="7">
        <f>ROUND(-0.072,10)</f>
        <v>-7.1999999999999995E-2</v>
      </c>
      <c r="AO30" s="7">
        <f>ROUND(-0.075,10)</f>
        <v>-7.4999999999999997E-2</v>
      </c>
      <c r="AP30" s="7">
        <f>ROUND(-0.079,10)</f>
        <v>-7.9000000000000001E-2</v>
      </c>
      <c r="AQ30" s="7">
        <f>ROUND(-0.08,10)</f>
        <v>-0.08</v>
      </c>
      <c r="AR30" s="7">
        <f>ROUND(-0.08,10)</f>
        <v>-0.08</v>
      </c>
      <c r="AS30" s="7">
        <f>ROUND(-0.081,10)</f>
        <v>-8.1000000000000003E-2</v>
      </c>
      <c r="AT30" s="7">
        <f>ROUND(-0.081,10)</f>
        <v>-8.1000000000000003E-2</v>
      </c>
      <c r="AU30" s="7">
        <f>ROUND(-0.079,10)</f>
        <v>-7.9000000000000001E-2</v>
      </c>
      <c r="AV30" s="7">
        <f>ROUND(-0.08,10)</f>
        <v>-0.08</v>
      </c>
      <c r="AW30" s="7">
        <f>ROUND(-0.081,10)</f>
        <v>-8.1000000000000003E-2</v>
      </c>
      <c r="AX30" s="7">
        <f>ROUND(-0.084,10)</f>
        <v>-8.4000000000000005E-2</v>
      </c>
      <c r="AY30" s="7">
        <f>ROUND(-0.071,10)</f>
        <v>-7.0999999999999994E-2</v>
      </c>
      <c r="AZ30" s="7">
        <f>ROUND(-0.069,10)</f>
        <v>-6.9000000000000006E-2</v>
      </c>
      <c r="BA30" s="7">
        <f>ROUND(-0.068,10)</f>
        <v>-6.8000000000000005E-2</v>
      </c>
      <c r="BB30" s="7">
        <f>ROUND(-0.067,10)</f>
        <v>-6.7000000000000004E-2</v>
      </c>
      <c r="BC30" s="7">
        <f>ROUND(-0.068,10)</f>
        <v>-6.8000000000000005E-2</v>
      </c>
      <c r="BD30" s="7">
        <f>ROUND(-0.069,10)</f>
        <v>-6.9000000000000006E-2</v>
      </c>
      <c r="BE30" s="7">
        <f>ROUND(-0.069,10)</f>
        <v>-6.9000000000000006E-2</v>
      </c>
      <c r="BF30" s="7">
        <f>ROUND(-0.07,10)</f>
        <v>-7.0000000000000007E-2</v>
      </c>
      <c r="BG30" s="7">
        <f>ROUND(-0.071,10)</f>
        <v>-7.0999999999999994E-2</v>
      </c>
      <c r="BH30" s="7">
        <f>ROUND(-0.072,10)</f>
        <v>-7.1999999999999995E-2</v>
      </c>
      <c r="BI30" s="7">
        <f>ROUND(-0.071,10)</f>
        <v>-7.0999999999999994E-2</v>
      </c>
      <c r="BJ30" s="7">
        <f>ROUND(-0.069,10)</f>
        <v>-6.9000000000000006E-2</v>
      </c>
      <c r="BK30" s="7">
        <f>ROUND(-0.069,10)</f>
        <v>-6.9000000000000006E-2</v>
      </c>
      <c r="BL30" s="7">
        <f>ROUND(-0.068,10)</f>
        <v>-6.8000000000000005E-2</v>
      </c>
      <c r="BM30" s="7">
        <f>ROUND(-0.068,10)</f>
        <v>-6.8000000000000005E-2</v>
      </c>
      <c r="BN30" s="7">
        <f>ROUND(-0.069,10)</f>
        <v>-6.9000000000000006E-2</v>
      </c>
      <c r="BO30" s="7">
        <f>ROUND(-0.069,10)</f>
        <v>-6.9000000000000006E-2</v>
      </c>
      <c r="BP30" s="7">
        <f>ROUND(-0.071,10)</f>
        <v>-7.0999999999999994E-2</v>
      </c>
      <c r="BQ30" s="7">
        <f>ROUND(-0.072,10)</f>
        <v>-7.1999999999999995E-2</v>
      </c>
      <c r="BR30" s="7">
        <f>ROUND(-0.072,10)</f>
        <v>-7.1999999999999995E-2</v>
      </c>
      <c r="BS30" s="7">
        <f>ROUND(-0.073,10)</f>
        <v>-7.2999999999999995E-2</v>
      </c>
      <c r="BT30" s="7">
        <f>ROUND(-0.074,10)</f>
        <v>-7.3999999999999996E-2</v>
      </c>
      <c r="BU30" s="7">
        <f>ROUND(-0.073,10)</f>
        <v>-7.2999999999999995E-2</v>
      </c>
      <c r="BV30" s="7">
        <f>ROUND(-0.073,10)</f>
        <v>-7.2999999999999995E-2</v>
      </c>
      <c r="BW30" s="7">
        <f>ROUND(-0.073,10)</f>
        <v>-7.2999999999999995E-2</v>
      </c>
      <c r="BX30" s="7">
        <f>ROUND(-0.072,10)</f>
        <v>-7.1999999999999995E-2</v>
      </c>
      <c r="BY30" s="7">
        <f>ROUND(-0.074,10)</f>
        <v>-7.3999999999999996E-2</v>
      </c>
      <c r="BZ30" s="7">
        <f>ROUND(-0.075,10)</f>
        <v>-7.4999999999999997E-2</v>
      </c>
      <c r="CA30" s="7">
        <f>ROUND(-0.076,10)</f>
        <v>-7.5999999999999998E-2</v>
      </c>
      <c r="CB30" s="7">
        <f>ROUND(-0.078,10)</f>
        <v>-7.8E-2</v>
      </c>
      <c r="CC30" s="7">
        <f>ROUND(-0.077,10)</f>
        <v>-7.6999999999999999E-2</v>
      </c>
      <c r="CD30" s="7">
        <f>ROUND(-0.078,10)</f>
        <v>-7.8E-2</v>
      </c>
      <c r="CE30" s="7">
        <f>ROUND(-0.078,10)</f>
        <v>-7.8E-2</v>
      </c>
      <c r="CF30" s="7">
        <f>ROUND(-0.077,10)</f>
        <v>-7.6999999999999999E-2</v>
      </c>
      <c r="CG30" s="7">
        <f>ROUND(-0.077,10)</f>
        <v>-7.6999999999999999E-2</v>
      </c>
      <c r="CH30" s="7">
        <f>ROUND(-0.078,10)</f>
        <v>-7.8E-2</v>
      </c>
      <c r="CI30" s="7">
        <f>ROUND(-0.079,10)</f>
        <v>-7.9000000000000001E-2</v>
      </c>
      <c r="CJ30" s="7">
        <f>ROUND(-0.079,10)</f>
        <v>-7.9000000000000001E-2</v>
      </c>
      <c r="CK30" s="7">
        <f>ROUND(-0.079,10)</f>
        <v>-7.9000000000000001E-2</v>
      </c>
      <c r="CL30" s="7">
        <f>ROUND(-0.079,10)</f>
        <v>-7.9000000000000001E-2</v>
      </c>
      <c r="CM30" s="7">
        <f>ROUND(-0.078,10)</f>
        <v>-7.8E-2</v>
      </c>
      <c r="CN30" s="7">
        <f>ROUND(-0.078,10)</f>
        <v>-7.8E-2</v>
      </c>
      <c r="CO30" s="7">
        <f>ROUND(-0.079,10)</f>
        <v>-7.9000000000000001E-2</v>
      </c>
      <c r="CP30" s="7">
        <f>ROUND(-0.077,10)</f>
        <v>-7.6999999999999999E-2</v>
      </c>
      <c r="CQ30" s="7">
        <f>ROUND(-0.079,10)</f>
        <v>-7.9000000000000001E-2</v>
      </c>
      <c r="CR30" s="7">
        <f>ROUND(-0.077,10)</f>
        <v>-7.6999999999999999E-2</v>
      </c>
      <c r="CS30" s="7">
        <f>ROUND(-0.078,10)</f>
        <v>-7.8E-2</v>
      </c>
      <c r="CT30" s="7">
        <f>ROUND(-0.078,10)</f>
        <v>-7.8E-2</v>
      </c>
      <c r="CU30" s="7">
        <f>ROUND(-0.077,10)</f>
        <v>-7.6999999999999999E-2</v>
      </c>
      <c r="CV30" s="7">
        <f>ROUND(-0.079,10)</f>
        <v>-7.9000000000000001E-2</v>
      </c>
      <c r="CW30" s="7">
        <f>ROUND(-0.078,10)</f>
        <v>-7.8E-2</v>
      </c>
      <c r="CX30" s="7">
        <f>ROUND(-0.079,10)</f>
        <v>-7.9000000000000001E-2</v>
      </c>
      <c r="CY30" s="7">
        <f>ROUND(-0.08,10)</f>
        <v>-0.08</v>
      </c>
      <c r="CZ30" s="7">
        <f>ROUND(-0.082,10)</f>
        <v>-8.2000000000000003E-2</v>
      </c>
      <c r="DA30" s="7">
        <f>ROUND(-0.084,10)</f>
        <v>-8.4000000000000005E-2</v>
      </c>
      <c r="DB30" s="7">
        <f>ROUND(-0.084,10)</f>
        <v>-8.4000000000000005E-2</v>
      </c>
      <c r="DC30" s="7">
        <f>ROUND(-0.086,10)</f>
        <v>-8.5999999999999993E-2</v>
      </c>
      <c r="DD30" s="7">
        <f>ROUND(-0.088,10)</f>
        <v>-8.7999999999999995E-2</v>
      </c>
      <c r="DE30" s="7">
        <f>ROUND(-0.088,10)</f>
        <v>-8.7999999999999995E-2</v>
      </c>
      <c r="DF30" s="7">
        <f>ROUND(-0.089,10)</f>
        <v>-8.8999999999999996E-2</v>
      </c>
      <c r="DG30" s="7">
        <f>ROUND(-0.089,10)</f>
        <v>-8.8999999999999996E-2</v>
      </c>
      <c r="DH30" s="7">
        <f>ROUND(-0.09,10)</f>
        <v>-0.09</v>
      </c>
      <c r="DI30" s="7">
        <f>ROUND(-0.089,10)</f>
        <v>-8.8999999999999996E-2</v>
      </c>
      <c r="DJ30" s="7">
        <f>ROUND(-0.088,10)</f>
        <v>-8.7999999999999995E-2</v>
      </c>
      <c r="DK30" s="7">
        <f>ROUND(-0.089,10)</f>
        <v>-8.8999999999999996E-2</v>
      </c>
      <c r="DL30" s="7">
        <f>ROUND(-0.089,10)</f>
        <v>-8.8999999999999996E-2</v>
      </c>
      <c r="DM30" s="7">
        <f>ROUND(-0.089,10)</f>
        <v>-8.8999999999999996E-2</v>
      </c>
      <c r="DN30" s="7">
        <f>ROUND(-0.093,10)</f>
        <v>-9.2999999999999999E-2</v>
      </c>
      <c r="DO30" s="7">
        <f>ROUND(-0.093,10)</f>
        <v>-9.2999999999999999E-2</v>
      </c>
      <c r="DP30" s="7">
        <f>ROUND(-0.093,10)</f>
        <v>-9.2999999999999999E-2</v>
      </c>
      <c r="DQ30" s="7">
        <f>ROUND(-0.094,10)</f>
        <v>-9.4E-2</v>
      </c>
      <c r="DR30" s="7">
        <f>ROUND(-0.094,10)</f>
        <v>-9.4E-2</v>
      </c>
      <c r="DS30" s="7">
        <f>ROUND(-0.095,10)</f>
        <v>-9.5000000000000001E-2</v>
      </c>
      <c r="DT30" s="7">
        <f>ROUND(-0.11,10)</f>
        <v>-0.11</v>
      </c>
      <c r="DU30" s="7">
        <f>ROUND(-0.113,10)</f>
        <v>-0.113</v>
      </c>
      <c r="DV30" s="7">
        <f>ROUND(-0.112,10)</f>
        <v>-0.112</v>
      </c>
      <c r="DW30" s="7">
        <f>ROUND(-0.115,10)</f>
        <v>-0.115</v>
      </c>
      <c r="DX30" s="7">
        <f>ROUND(-0.116,10)</f>
        <v>-0.11600000000000001</v>
      </c>
      <c r="DY30" s="7">
        <f>ROUND(-0.119,10)</f>
        <v>-0.11899999999999999</v>
      </c>
      <c r="DZ30" s="7">
        <f>ROUND(-0.122,10)</f>
        <v>-0.122</v>
      </c>
      <c r="EA30" s="7">
        <f>ROUND(-0.125,10)</f>
        <v>-0.125</v>
      </c>
      <c r="EB30" s="7">
        <f>ROUND(-0.129,10)</f>
        <v>-0.129</v>
      </c>
      <c r="EC30" s="7">
        <f>ROUND(-0.129,10)</f>
        <v>-0.129</v>
      </c>
      <c r="ED30" s="7">
        <f>ROUND(-0.128,10)</f>
        <v>-0.128</v>
      </c>
      <c r="EE30" s="7">
        <f>ROUND(-0.13,10)</f>
        <v>-0.13</v>
      </c>
      <c r="EF30" s="7">
        <f>ROUND(-0.129,10)</f>
        <v>-0.129</v>
      </c>
      <c r="EG30" s="7">
        <f>ROUND(-0.129,10)</f>
        <v>-0.129</v>
      </c>
      <c r="EH30" s="7">
        <f>ROUND(-0.127,10)</f>
        <v>-0.127</v>
      </c>
      <c r="EI30" s="7">
        <f>ROUND(-0.123,10)</f>
        <v>-0.123</v>
      </c>
      <c r="EJ30" s="7">
        <f>ROUND(-0.124,10)</f>
        <v>-0.124</v>
      </c>
      <c r="EK30" s="7">
        <f>ROUND(-0.123,10)</f>
        <v>-0.123</v>
      </c>
      <c r="EL30" s="7">
        <f>ROUND(-0.122,10)</f>
        <v>-0.122</v>
      </c>
      <c r="EM30" s="7">
        <f>ROUND(-0.121,10)</f>
        <v>-0.121</v>
      </c>
      <c r="EN30" s="7">
        <f>ROUND(-0.121,10)</f>
        <v>-0.121</v>
      </c>
      <c r="EO30" s="7">
        <f>ROUND(-0.12,10)</f>
        <v>-0.12</v>
      </c>
      <c r="EP30" s="7">
        <f>ROUND(-0.121,10)</f>
        <v>-0.121</v>
      </c>
      <c r="EQ30" s="7">
        <f>ROUND(-0.12,10)</f>
        <v>-0.12</v>
      </c>
      <c r="ER30" s="7">
        <f>ROUND(-0.119,10)</f>
        <v>-0.11899999999999999</v>
      </c>
      <c r="ES30" s="7">
        <f>ROUND(-0.119,10)</f>
        <v>-0.11899999999999999</v>
      </c>
      <c r="ET30" s="7">
        <f>ROUND(-0.119,10)</f>
        <v>-0.11899999999999999</v>
      </c>
      <c r="EU30" s="7">
        <f>ROUND(-0.12,10)</f>
        <v>-0.12</v>
      </c>
      <c r="EV30" s="7">
        <f>ROUND(-0.119,10)</f>
        <v>-0.11899999999999999</v>
      </c>
      <c r="EW30" s="7">
        <f>ROUND(-0.116,10)</f>
        <v>-0.11600000000000001</v>
      </c>
      <c r="EX30" s="7">
        <f>ROUND(-0.118,10)</f>
        <v>-0.11799999999999999</v>
      </c>
      <c r="EY30" s="7">
        <f>ROUND(-0.117,10)</f>
        <v>-0.11700000000000001</v>
      </c>
      <c r="EZ30" s="7">
        <f>ROUND(-0.117,10)</f>
        <v>-0.11700000000000001</v>
      </c>
      <c r="FA30" s="7">
        <f>ROUND(-0.118,10)</f>
        <v>-0.11799999999999999</v>
      </c>
      <c r="FB30" s="7">
        <f>ROUND(-0.119,10)</f>
        <v>-0.11899999999999999</v>
      </c>
      <c r="FC30" s="7">
        <f>ROUND(-0.119,10)</f>
        <v>-0.11899999999999999</v>
      </c>
      <c r="FD30" s="7">
        <f>ROUND(-0.119,10)</f>
        <v>-0.11899999999999999</v>
      </c>
      <c r="FE30" s="7">
        <f>ROUND(-0.12,10)</f>
        <v>-0.12</v>
      </c>
      <c r="FF30" s="7">
        <f>ROUND(-0.119,10)</f>
        <v>-0.11899999999999999</v>
      </c>
      <c r="FG30" s="7">
        <f>ROUND(-0.119,10)</f>
        <v>-0.11899999999999999</v>
      </c>
      <c r="FH30" s="7">
        <f>ROUND(-0.118,10)</f>
        <v>-0.11799999999999999</v>
      </c>
      <c r="FI30" s="7">
        <f>ROUND(-0.118,10)</f>
        <v>-0.11799999999999999</v>
      </c>
      <c r="FJ30" s="7">
        <f>ROUND(-0.119,10)</f>
        <v>-0.11899999999999999</v>
      </c>
      <c r="FK30" s="7">
        <f>ROUND(-0.119,10)</f>
        <v>-0.11899999999999999</v>
      </c>
      <c r="FL30" s="7">
        <f>ROUND(-0.119,10)</f>
        <v>-0.11899999999999999</v>
      </c>
      <c r="FM30" s="7">
        <f>ROUND(-0.121,10)</f>
        <v>-0.121</v>
      </c>
      <c r="FN30" s="7">
        <f>ROUND(-0.121,10)</f>
        <v>-0.121</v>
      </c>
      <c r="FO30" s="7">
        <f>ROUND(-0.121,10)</f>
        <v>-0.121</v>
      </c>
      <c r="FP30" s="7">
        <f>ROUND(-0.122,10)</f>
        <v>-0.122</v>
      </c>
      <c r="FQ30" s="7">
        <f>ROUND(-0.122,10)</f>
        <v>-0.122</v>
      </c>
      <c r="FR30" s="7">
        <f>ROUND(-0.122,10)</f>
        <v>-0.122</v>
      </c>
      <c r="FS30" s="7">
        <f>ROUND(-0.123,10)</f>
        <v>-0.123</v>
      </c>
      <c r="FT30" s="7">
        <f>ROUND(-0.123,10)</f>
        <v>-0.123</v>
      </c>
      <c r="FU30" s="7">
        <f>ROUND(-0.129,10)</f>
        <v>-0.129</v>
      </c>
      <c r="FV30" s="7">
        <f>ROUND(-0.131,10)</f>
        <v>-0.13100000000000001</v>
      </c>
      <c r="FW30" s="7">
        <f>ROUND(-0.127,10)</f>
        <v>-0.127</v>
      </c>
      <c r="FX30" s="7">
        <f>ROUND(-0.127,10)</f>
        <v>-0.127</v>
      </c>
      <c r="FY30" s="7">
        <f>ROUND(-0.125,10)</f>
        <v>-0.125</v>
      </c>
      <c r="FZ30" s="7">
        <f>ROUND(-0.125,10)</f>
        <v>-0.125</v>
      </c>
      <c r="GA30" s="7">
        <f>ROUND(-0.125,10)</f>
        <v>-0.125</v>
      </c>
      <c r="GB30" s="7">
        <f>ROUND(-0.127,10)</f>
        <v>-0.127</v>
      </c>
      <c r="GC30" s="7">
        <f>ROUND(-0.128,10)</f>
        <v>-0.128</v>
      </c>
      <c r="GD30" s="7">
        <f>ROUND(-0.126,10)</f>
        <v>-0.126</v>
      </c>
      <c r="GE30" s="7">
        <f>ROUND(-0.126,10)</f>
        <v>-0.126</v>
      </c>
      <c r="GF30" s="7">
        <f>ROUND(-0.126,10)</f>
        <v>-0.126</v>
      </c>
      <c r="GG30" s="7">
        <f>ROUND(-0.127,10)</f>
        <v>-0.127</v>
      </c>
      <c r="GH30" s="7">
        <f>ROUND(-0.128,10)</f>
        <v>-0.128</v>
      </c>
      <c r="GI30" s="7">
        <f>ROUND(-0.129,10)</f>
        <v>-0.129</v>
      </c>
      <c r="GJ30" s="7">
        <f>ROUND(-0.129,10)</f>
        <v>-0.129</v>
      </c>
      <c r="GK30" s="7">
        <f>ROUND(-0.13,10)</f>
        <v>-0.13</v>
      </c>
      <c r="GL30" s="7">
        <f>ROUND(-0.131,10)</f>
        <v>-0.13100000000000001</v>
      </c>
      <c r="GM30" s="7">
        <f>ROUND(-0.131,10)</f>
        <v>-0.13100000000000001</v>
      </c>
      <c r="GN30" s="7">
        <f>ROUND(-0.131,10)</f>
        <v>-0.13100000000000001</v>
      </c>
      <c r="GO30" s="7">
        <f>ROUND(-0.131,10)</f>
        <v>-0.13100000000000001</v>
      </c>
      <c r="GP30" s="7">
        <f>ROUND(-0.132,10)</f>
        <v>-0.13200000000000001</v>
      </c>
      <c r="GQ30" s="7">
        <f>ROUND(-0.131,10)</f>
        <v>-0.13100000000000001</v>
      </c>
      <c r="GR30" s="7">
        <f>ROUND(-0.132,10)</f>
        <v>-0.13200000000000001</v>
      </c>
      <c r="GS30" s="7">
        <f>ROUND(-0.132,10)</f>
        <v>-0.13200000000000001</v>
      </c>
      <c r="GT30" s="7">
        <f>ROUND(-0.132,10)</f>
        <v>-0.13200000000000001</v>
      </c>
      <c r="GU30" s="7">
        <f>ROUND(-0.133,10)</f>
        <v>-0.13300000000000001</v>
      </c>
      <c r="GV30" s="7">
        <f>ROUND(-0.133,10)</f>
        <v>-0.13300000000000001</v>
      </c>
      <c r="GW30" s="7">
        <f>ROUND(-0.132,10)</f>
        <v>-0.13200000000000001</v>
      </c>
      <c r="GX30" s="7">
        <f>ROUND(-0.133,10)</f>
        <v>-0.13300000000000001</v>
      </c>
      <c r="GY30" s="7">
        <f>ROUND(-0.132,10)</f>
        <v>-0.13200000000000001</v>
      </c>
      <c r="GZ30" s="7">
        <f>ROUND(-0.133,10)</f>
        <v>-0.13300000000000001</v>
      </c>
      <c r="HA30" s="7">
        <f>ROUND(-0.133,10)</f>
        <v>-0.13300000000000001</v>
      </c>
      <c r="HB30" s="7">
        <f t="shared" ref="HB30:HI30" si="35">ROUND(-0.131,10)</f>
        <v>-0.13100000000000001</v>
      </c>
      <c r="HC30" s="7">
        <f t="shared" si="35"/>
        <v>-0.13100000000000001</v>
      </c>
      <c r="HD30" s="7">
        <f t="shared" si="35"/>
        <v>-0.13100000000000001</v>
      </c>
      <c r="HE30" s="7">
        <f t="shared" si="35"/>
        <v>-0.13100000000000001</v>
      </c>
      <c r="HF30" s="7">
        <f t="shared" si="35"/>
        <v>-0.13100000000000001</v>
      </c>
      <c r="HG30" s="7">
        <f t="shared" si="35"/>
        <v>-0.13100000000000001</v>
      </c>
      <c r="HH30" s="7">
        <f t="shared" si="35"/>
        <v>-0.13100000000000001</v>
      </c>
      <c r="HI30" s="7">
        <f t="shared" si="35"/>
        <v>-0.13100000000000001</v>
      </c>
      <c r="HJ30" s="7">
        <f>ROUND(-0.13,10)</f>
        <v>-0.13</v>
      </c>
      <c r="HK30" s="7">
        <f>ROUND(-0.13,10)</f>
        <v>-0.13</v>
      </c>
      <c r="HL30" s="7">
        <f>ROUND(-0.13,10)</f>
        <v>-0.13</v>
      </c>
      <c r="HM30" s="7">
        <f>ROUND(-0.129,10)</f>
        <v>-0.129</v>
      </c>
      <c r="HN30" s="7">
        <f>ROUND(-0.13,10)</f>
        <v>-0.13</v>
      </c>
      <c r="HO30" s="7">
        <f>ROUND(-0.129,10)</f>
        <v>-0.129</v>
      </c>
      <c r="HP30" s="7">
        <f>ROUND(-0.13,10)</f>
        <v>-0.13</v>
      </c>
      <c r="HQ30" s="7">
        <f>ROUND(-0.131,10)</f>
        <v>-0.13100000000000001</v>
      </c>
      <c r="HR30" s="7">
        <f>ROUND(-0.133,10)</f>
        <v>-0.13300000000000001</v>
      </c>
      <c r="HS30" s="7">
        <f>ROUND(-0.133,10)</f>
        <v>-0.13300000000000001</v>
      </c>
      <c r="HT30" s="7">
        <f>ROUND(-0.135,10)</f>
        <v>-0.13500000000000001</v>
      </c>
      <c r="HU30" s="7">
        <f>ROUND(-0.136,10)</f>
        <v>-0.13600000000000001</v>
      </c>
      <c r="HV30" s="7">
        <f>ROUND(-0.138,10)</f>
        <v>-0.13800000000000001</v>
      </c>
      <c r="HW30" s="7">
        <f>ROUND(-0.139,10)</f>
        <v>-0.13900000000000001</v>
      </c>
      <c r="HX30" s="7">
        <f>ROUND(-0.136,10)</f>
        <v>-0.13600000000000001</v>
      </c>
      <c r="HY30" s="7">
        <f>ROUND(-0.136,10)</f>
        <v>-0.13600000000000001</v>
      </c>
      <c r="HZ30" s="7">
        <f>ROUND(-0.135,10)</f>
        <v>-0.13500000000000001</v>
      </c>
      <c r="IA30" s="7">
        <f>ROUND(-0.136,10)</f>
        <v>-0.13600000000000001</v>
      </c>
      <c r="IB30" s="7">
        <f>ROUND(-0.135,10)</f>
        <v>-0.13500000000000001</v>
      </c>
      <c r="IC30" s="7">
        <f>ROUND(-0.135,10)</f>
        <v>-0.13500000000000001</v>
      </c>
      <c r="ID30" s="7">
        <f>ROUND(-0.135,10)</f>
        <v>-0.13500000000000001</v>
      </c>
      <c r="IE30" s="7">
        <f>ROUND(-0.135,10)</f>
        <v>-0.13500000000000001</v>
      </c>
      <c r="IF30" s="7">
        <f>ROUND(-0.136,10)</f>
        <v>-0.13600000000000001</v>
      </c>
      <c r="IG30" s="7">
        <f>ROUND(-0.138,10)</f>
        <v>-0.13800000000000001</v>
      </c>
      <c r="IH30" s="7">
        <f>ROUND(-0.135,10)</f>
        <v>-0.13500000000000001</v>
      </c>
      <c r="II30" s="7">
        <f>ROUND(-0.134,10)</f>
        <v>-0.13400000000000001</v>
      </c>
      <c r="IJ30" s="7">
        <f>ROUND(-0.138,10)</f>
        <v>-0.13800000000000001</v>
      </c>
      <c r="IK30" s="7">
        <f>ROUND(-0.138,10)</f>
        <v>-0.13800000000000001</v>
      </c>
      <c r="IL30" s="7">
        <f>ROUND(-0.137,10)</f>
        <v>-0.13700000000000001</v>
      </c>
      <c r="IM30" s="7">
        <f>ROUND(-0.137,10)</f>
        <v>-0.13700000000000001</v>
      </c>
      <c r="IN30" s="7">
        <f>ROUND(-0.137,10)</f>
        <v>-0.13700000000000001</v>
      </c>
      <c r="IO30" s="7">
        <f>ROUND(-0.136,10)</f>
        <v>-0.13600000000000001</v>
      </c>
      <c r="IP30" s="7">
        <f>ROUND(-0.136,10)</f>
        <v>-0.13600000000000001</v>
      </c>
      <c r="IQ30" s="7">
        <f>ROUND(-0.138,10)</f>
        <v>-0.13800000000000001</v>
      </c>
      <c r="IR30" s="7">
        <f>ROUND(-0.138,10)</f>
        <v>-0.13800000000000001</v>
      </c>
      <c r="IS30" s="7">
        <f>ROUND(-0.138,10)</f>
        <v>-0.13800000000000001</v>
      </c>
      <c r="IT30" s="7">
        <f>ROUND(-0.139,10)</f>
        <v>-0.13900000000000001</v>
      </c>
      <c r="IU30" s="7">
        <f>ROUND(-0.139,10)</f>
        <v>-0.13900000000000001</v>
      </c>
      <c r="IV30" s="7">
        <f>ROUND(-0.139,10)</f>
        <v>-0.13900000000000001</v>
      </c>
      <c r="IW30" s="7">
        <f>ROUND(-0.139,10)</f>
        <v>-0.13900000000000001</v>
      </c>
      <c r="IX30" s="7">
        <f>ROUND(-0.139,10)</f>
        <v>-0.13900000000000001</v>
      </c>
    </row>
    <row r="31" spans="1:258">
      <c r="A31" s="6" t="s">
        <v>42</v>
      </c>
      <c r="B31" s="7">
        <f>ROUND(0.058,10)</f>
        <v>5.8000000000000003E-2</v>
      </c>
      <c r="C31" s="7">
        <f>ROUND(0.059,10)</f>
        <v>5.8999999999999997E-2</v>
      </c>
      <c r="D31" s="7">
        <f>ROUND(0.056,10)</f>
        <v>5.6000000000000001E-2</v>
      </c>
      <c r="E31" s="7">
        <f>ROUND(0.051,10)</f>
        <v>5.0999999999999997E-2</v>
      </c>
      <c r="F31" s="7">
        <f>ROUND(0.051,10)</f>
        <v>5.0999999999999997E-2</v>
      </c>
      <c r="G31" s="7">
        <f>ROUND(0.05,10)</f>
        <v>0.05</v>
      </c>
      <c r="H31" s="7">
        <f>ROUND(0.048,10)</f>
        <v>4.8000000000000001E-2</v>
      </c>
      <c r="I31" s="7">
        <f>ROUND(0.049,10)</f>
        <v>4.9000000000000002E-2</v>
      </c>
      <c r="J31" s="7">
        <f>ROUND(0.048,10)</f>
        <v>4.8000000000000001E-2</v>
      </c>
      <c r="K31" s="7">
        <f>ROUND(0.049,10)</f>
        <v>4.9000000000000002E-2</v>
      </c>
      <c r="L31" s="7">
        <f>ROUND(0.049,10)</f>
        <v>4.9000000000000002E-2</v>
      </c>
      <c r="M31" s="7">
        <f>ROUND(0.048,10)</f>
        <v>4.8000000000000001E-2</v>
      </c>
      <c r="N31" s="7">
        <f>ROUND(0.045,10)</f>
        <v>4.4999999999999998E-2</v>
      </c>
      <c r="O31" s="7">
        <f>ROUND(0.042,10)</f>
        <v>4.2000000000000003E-2</v>
      </c>
      <c r="P31" s="7">
        <f>ROUND(0.032,10)</f>
        <v>3.2000000000000001E-2</v>
      </c>
      <c r="Q31" s="7">
        <f>ROUND(0.028,10)</f>
        <v>2.8000000000000001E-2</v>
      </c>
      <c r="R31" s="7">
        <f>ROUND(0.025,10)</f>
        <v>2.5000000000000001E-2</v>
      </c>
      <c r="S31" s="7">
        <f>ROUND(0.022,10)</f>
        <v>2.1999999999999999E-2</v>
      </c>
      <c r="T31" s="7">
        <f>ROUND(0.022,10)</f>
        <v>2.1999999999999999E-2</v>
      </c>
      <c r="U31" s="7">
        <f>ROUND(0.015,10)</f>
        <v>1.4999999999999999E-2</v>
      </c>
      <c r="V31" s="7">
        <f>ROUND(0.01,10)</f>
        <v>0.01</v>
      </c>
      <c r="W31" s="7">
        <f>ROUND(0.009,10)</f>
        <v>8.9999999999999993E-3</v>
      </c>
      <c r="X31" s="7">
        <f>ROUND(0.008,10)</f>
        <v>8.0000000000000002E-3</v>
      </c>
      <c r="Y31" s="7">
        <f>ROUND(0.002,10)</f>
        <v>2E-3</v>
      </c>
      <c r="Z31" s="7">
        <f>ROUND(-0.002,10)</f>
        <v>-2E-3</v>
      </c>
      <c r="AA31" s="7">
        <f>ROUND(-0.005,10)</f>
        <v>-5.0000000000000001E-3</v>
      </c>
      <c r="AB31" s="7">
        <f>ROUND(-0.004,10)</f>
        <v>-4.0000000000000001E-3</v>
      </c>
      <c r="AC31" s="7">
        <f>ROUND(-0.001,10)</f>
        <v>-1E-3</v>
      </c>
      <c r="AD31" s="7">
        <f>ROUND(-0.006,10)</f>
        <v>-6.0000000000000001E-3</v>
      </c>
      <c r="AE31" s="7">
        <f>ROUND(-0.009,10)</f>
        <v>-8.9999999999999993E-3</v>
      </c>
      <c r="AF31" s="7">
        <f>ROUND(-0.008,10)</f>
        <v>-8.0000000000000002E-3</v>
      </c>
      <c r="AG31" s="7">
        <f>ROUND(-0.012,10)</f>
        <v>-1.2E-2</v>
      </c>
      <c r="AH31" s="7">
        <f>ROUND(-0.011,10)</f>
        <v>-1.0999999999999999E-2</v>
      </c>
      <c r="AI31" s="7">
        <f>ROUND(-0.014,10)</f>
        <v>-1.4E-2</v>
      </c>
      <c r="AJ31" s="7">
        <f>ROUND(-0.017,10)</f>
        <v>-1.7000000000000001E-2</v>
      </c>
      <c r="AK31" s="7">
        <f>ROUND(-0.018,10)</f>
        <v>-1.7999999999999999E-2</v>
      </c>
      <c r="AL31" s="7">
        <f>ROUND(-0.016,10)</f>
        <v>-1.6E-2</v>
      </c>
      <c r="AM31" s="7">
        <f>ROUND(-0.015,10)</f>
        <v>-1.4999999999999999E-2</v>
      </c>
      <c r="AN31" s="7">
        <f>ROUND(-0.015,10)</f>
        <v>-1.4999999999999999E-2</v>
      </c>
      <c r="AO31" s="7">
        <f>ROUND(-0.017,10)</f>
        <v>-1.7000000000000001E-2</v>
      </c>
      <c r="AP31" s="7">
        <f>ROUND(-0.024,10)</f>
        <v>-2.4E-2</v>
      </c>
      <c r="AQ31" s="7">
        <f>ROUND(-0.026,10)</f>
        <v>-2.5999999999999999E-2</v>
      </c>
      <c r="AR31" s="7">
        <f>ROUND(-0.024,10)</f>
        <v>-2.4E-2</v>
      </c>
      <c r="AS31" s="7">
        <f>ROUND(-0.025,10)</f>
        <v>-2.5000000000000001E-2</v>
      </c>
      <c r="AT31" s="7">
        <f>ROUND(-0.028,10)</f>
        <v>-2.8000000000000001E-2</v>
      </c>
      <c r="AU31" s="7">
        <f>ROUND(-0.024,10)</f>
        <v>-2.4E-2</v>
      </c>
      <c r="AV31" s="7">
        <f>ROUND(-0.025,10)</f>
        <v>-2.5000000000000001E-2</v>
      </c>
      <c r="AW31" s="7">
        <f>ROUND(-0.023,10)</f>
        <v>-2.3E-2</v>
      </c>
      <c r="AX31" s="7">
        <f>ROUND(-0.025,10)</f>
        <v>-2.5000000000000001E-2</v>
      </c>
      <c r="AY31" s="7">
        <f>ROUND(-0.009,10)</f>
        <v>-8.9999999999999993E-3</v>
      </c>
      <c r="AZ31" s="7">
        <f>ROUND(-0.008,10)</f>
        <v>-8.0000000000000002E-3</v>
      </c>
      <c r="BA31" s="7">
        <f>ROUND(-0.006,10)</f>
        <v>-6.0000000000000001E-3</v>
      </c>
      <c r="BB31" s="7">
        <f>ROUND(-0.004,10)</f>
        <v>-4.0000000000000001E-3</v>
      </c>
      <c r="BC31" s="7">
        <f>ROUND(-0.003,10)</f>
        <v>-3.0000000000000001E-3</v>
      </c>
      <c r="BD31" s="7">
        <f>ROUND(-0.003,10)</f>
        <v>-3.0000000000000001E-3</v>
      </c>
      <c r="BE31" s="7">
        <f>ROUND(-0.002,10)</f>
        <v>-2E-3</v>
      </c>
      <c r="BF31" s="7">
        <f>ROUND(-0.002,10)</f>
        <v>-2E-3</v>
      </c>
      <c r="BG31" s="7">
        <f>ROUND(-0.003,10)</f>
        <v>-3.0000000000000001E-3</v>
      </c>
      <c r="BH31" s="7">
        <f>ROUND(-0.005,10)</f>
        <v>-5.0000000000000001E-3</v>
      </c>
      <c r="BI31" s="7">
        <f>ROUND(-0.006,10)</f>
        <v>-6.0000000000000001E-3</v>
      </c>
      <c r="BJ31" s="7">
        <f>ROUND(-0.004,10)</f>
        <v>-4.0000000000000001E-3</v>
      </c>
      <c r="BK31" s="7">
        <f>ROUND(-0.005,10)</f>
        <v>-5.0000000000000001E-3</v>
      </c>
      <c r="BL31" s="7">
        <f>ROUND(-0.002,10)</f>
        <v>-2E-3</v>
      </c>
      <c r="BM31" s="7">
        <f>ROUND(-0.001,10)</f>
        <v>-1E-3</v>
      </c>
      <c r="BN31" s="7">
        <f>ROUND(-0.004,10)</f>
        <v>-4.0000000000000001E-3</v>
      </c>
      <c r="BO31" s="7">
        <f>ROUND(-0.005,10)</f>
        <v>-5.0000000000000001E-3</v>
      </c>
      <c r="BP31" s="7">
        <f>ROUND(-0.007,10)</f>
        <v>-7.0000000000000001E-3</v>
      </c>
      <c r="BQ31" s="7">
        <f>ROUND(-0.01,10)</f>
        <v>-0.01</v>
      </c>
      <c r="BR31" s="7">
        <f>ROUND(-0.011,10)</f>
        <v>-1.0999999999999999E-2</v>
      </c>
      <c r="BS31" s="7">
        <f>ROUND(-0.012,10)</f>
        <v>-1.2E-2</v>
      </c>
      <c r="BT31" s="7">
        <f>ROUND(-0.013,10)</f>
        <v>-1.2999999999999999E-2</v>
      </c>
      <c r="BU31" s="7">
        <f>ROUND(-0.011,10)</f>
        <v>-1.0999999999999999E-2</v>
      </c>
      <c r="BV31" s="7">
        <f>ROUND(-0.011,10)</f>
        <v>-1.0999999999999999E-2</v>
      </c>
      <c r="BW31" s="7">
        <f>ROUND(-0.012,10)</f>
        <v>-1.2E-2</v>
      </c>
      <c r="BX31" s="7">
        <f>ROUND(-0.011,10)</f>
        <v>-1.0999999999999999E-2</v>
      </c>
      <c r="BY31" s="7">
        <f>ROUND(-0.011,10)</f>
        <v>-1.0999999999999999E-2</v>
      </c>
      <c r="BZ31" s="7">
        <f>ROUND(-0.011,10)</f>
        <v>-1.0999999999999999E-2</v>
      </c>
      <c r="CA31" s="7">
        <f>ROUND(-0.011,10)</f>
        <v>-1.0999999999999999E-2</v>
      </c>
      <c r="CB31" s="7">
        <f>ROUND(-0.013,10)</f>
        <v>-1.2999999999999999E-2</v>
      </c>
      <c r="CC31" s="7">
        <f>ROUND(-0.014,10)</f>
        <v>-1.4E-2</v>
      </c>
      <c r="CD31" s="7">
        <f>ROUND(-0.011,10)</f>
        <v>-1.0999999999999999E-2</v>
      </c>
      <c r="CE31" s="7">
        <f>ROUND(-0.012,10)</f>
        <v>-1.2E-2</v>
      </c>
      <c r="CF31" s="7">
        <f>ROUND(-0.012,10)</f>
        <v>-1.2E-2</v>
      </c>
      <c r="CG31" s="7">
        <f>ROUND(-0.012,10)</f>
        <v>-1.2E-2</v>
      </c>
      <c r="CH31" s="7">
        <f>ROUND(-0.012,10)</f>
        <v>-1.2E-2</v>
      </c>
      <c r="CI31" s="7">
        <f>ROUND(-0.012,10)</f>
        <v>-1.2E-2</v>
      </c>
      <c r="CJ31" s="7">
        <f>ROUND(-0.013,10)</f>
        <v>-1.2999999999999999E-2</v>
      </c>
      <c r="CK31" s="7">
        <f>ROUND(-0.013,10)</f>
        <v>-1.2999999999999999E-2</v>
      </c>
      <c r="CL31" s="7">
        <f>ROUND(-0.014,10)</f>
        <v>-1.4E-2</v>
      </c>
      <c r="CM31" s="7">
        <f>ROUND(-0.013,10)</f>
        <v>-1.2999999999999999E-2</v>
      </c>
      <c r="CN31" s="7">
        <f>ROUND(-0.012,10)</f>
        <v>-1.2E-2</v>
      </c>
      <c r="CO31" s="7">
        <f>ROUND(-0.012,10)</f>
        <v>-1.2E-2</v>
      </c>
      <c r="CP31" s="7">
        <f>ROUND(-0.012,10)</f>
        <v>-1.2E-2</v>
      </c>
      <c r="CQ31" s="7">
        <f>ROUND(-0.012,10)</f>
        <v>-1.2E-2</v>
      </c>
      <c r="CR31" s="7">
        <f>ROUND(-0.011,10)</f>
        <v>-1.0999999999999999E-2</v>
      </c>
      <c r="CS31" s="7">
        <f>ROUND(-0.011,10)</f>
        <v>-1.0999999999999999E-2</v>
      </c>
      <c r="CT31" s="7">
        <f>ROUND(-0.011,10)</f>
        <v>-1.0999999999999999E-2</v>
      </c>
      <c r="CU31" s="7">
        <f>ROUND(-0.011,10)</f>
        <v>-1.0999999999999999E-2</v>
      </c>
      <c r="CV31" s="7">
        <f>ROUND(-0.012,10)</f>
        <v>-1.2E-2</v>
      </c>
      <c r="CW31" s="7">
        <f>ROUND(-0.012,10)</f>
        <v>-1.2E-2</v>
      </c>
      <c r="CX31" s="7">
        <f>ROUND(-0.013,10)</f>
        <v>-1.2999999999999999E-2</v>
      </c>
      <c r="CY31" s="7">
        <f>ROUND(-0.014,10)</f>
        <v>-1.4E-2</v>
      </c>
      <c r="CZ31" s="7">
        <f>ROUND(-0.015,10)</f>
        <v>-1.4999999999999999E-2</v>
      </c>
      <c r="DA31" s="7">
        <f>ROUND(-0.015,10)</f>
        <v>-1.4999999999999999E-2</v>
      </c>
      <c r="DB31" s="7">
        <f>ROUND(-0.015,10)</f>
        <v>-1.4999999999999999E-2</v>
      </c>
      <c r="DC31" s="7">
        <f>ROUND(-0.018,10)</f>
        <v>-1.7999999999999999E-2</v>
      </c>
      <c r="DD31" s="7">
        <f>ROUND(-0.017,10)</f>
        <v>-1.7000000000000001E-2</v>
      </c>
      <c r="DE31" s="7">
        <f>ROUND(-0.016,10)</f>
        <v>-1.6E-2</v>
      </c>
      <c r="DF31" s="7">
        <f>ROUND(-0.018,10)</f>
        <v>-1.7999999999999999E-2</v>
      </c>
      <c r="DG31" s="7">
        <f>ROUND(-0.018,10)</f>
        <v>-1.7999999999999999E-2</v>
      </c>
      <c r="DH31" s="7">
        <f>ROUND(-0.018,10)</f>
        <v>-1.7999999999999999E-2</v>
      </c>
      <c r="DI31" s="7">
        <f>ROUND(-0.018,10)</f>
        <v>-1.7999999999999999E-2</v>
      </c>
      <c r="DJ31" s="7">
        <f>ROUND(-0.018,10)</f>
        <v>-1.7999999999999999E-2</v>
      </c>
      <c r="DK31" s="7">
        <f>ROUND(-0.02,10)</f>
        <v>-0.02</v>
      </c>
      <c r="DL31" s="7">
        <f>ROUND(-0.021,10)</f>
        <v>-2.1000000000000001E-2</v>
      </c>
      <c r="DM31" s="7">
        <f>ROUND(-0.021,10)</f>
        <v>-2.1000000000000001E-2</v>
      </c>
      <c r="DN31" s="7">
        <f>ROUND(-0.026,10)</f>
        <v>-2.5999999999999999E-2</v>
      </c>
      <c r="DO31" s="7">
        <f>ROUND(-0.026,10)</f>
        <v>-2.5999999999999999E-2</v>
      </c>
      <c r="DP31" s="7">
        <f>ROUND(-0.028,10)</f>
        <v>-2.8000000000000001E-2</v>
      </c>
      <c r="DQ31" s="7">
        <f>ROUND(-0.029,10)</f>
        <v>-2.9000000000000001E-2</v>
      </c>
      <c r="DR31" s="7">
        <f>ROUND(-0.029,10)</f>
        <v>-2.9000000000000001E-2</v>
      </c>
      <c r="DS31" s="7">
        <f>ROUND(-0.029,10)</f>
        <v>-2.9000000000000001E-2</v>
      </c>
      <c r="DT31" s="7">
        <f>ROUND(-0.047,10)</f>
        <v>-4.7E-2</v>
      </c>
      <c r="DU31" s="7">
        <f>ROUND(-0.048,10)</f>
        <v>-4.8000000000000001E-2</v>
      </c>
      <c r="DV31" s="7">
        <f>ROUND(-0.049,10)</f>
        <v>-4.9000000000000002E-2</v>
      </c>
      <c r="DW31" s="7">
        <f>ROUND(-0.051,10)</f>
        <v>-5.0999999999999997E-2</v>
      </c>
      <c r="DX31" s="7">
        <f>ROUND(-0.051,10)</f>
        <v>-5.0999999999999997E-2</v>
      </c>
      <c r="DY31" s="7">
        <f>ROUND(-0.052,10)</f>
        <v>-5.1999999999999998E-2</v>
      </c>
      <c r="DZ31" s="7">
        <f>ROUND(-0.055,10)</f>
        <v>-5.5E-2</v>
      </c>
      <c r="EA31" s="7">
        <f>ROUND(-0.059,10)</f>
        <v>-5.8999999999999997E-2</v>
      </c>
      <c r="EB31" s="7">
        <f>ROUND(-0.062,10)</f>
        <v>-6.2E-2</v>
      </c>
      <c r="EC31" s="7">
        <f>ROUND(-0.063,10)</f>
        <v>-6.3E-2</v>
      </c>
      <c r="ED31" s="7">
        <f>ROUND(-0.059,10)</f>
        <v>-5.8999999999999997E-2</v>
      </c>
      <c r="EE31" s="7">
        <f>ROUND(-0.063,10)</f>
        <v>-6.3E-2</v>
      </c>
      <c r="EF31" s="7">
        <f>ROUND(-0.061,10)</f>
        <v>-6.0999999999999999E-2</v>
      </c>
      <c r="EG31" s="7">
        <f>ROUND(-0.061,10)</f>
        <v>-6.0999999999999999E-2</v>
      </c>
      <c r="EH31" s="7">
        <f>ROUND(-0.061,10)</f>
        <v>-6.0999999999999999E-2</v>
      </c>
      <c r="EI31" s="7">
        <f>ROUND(-0.057,10)</f>
        <v>-5.7000000000000002E-2</v>
      </c>
      <c r="EJ31" s="7">
        <f>ROUND(-0.061,10)</f>
        <v>-6.0999999999999999E-2</v>
      </c>
      <c r="EK31" s="7">
        <f>ROUND(-0.059,10)</f>
        <v>-5.8999999999999997E-2</v>
      </c>
      <c r="EL31" s="7">
        <f>ROUND(-0.056,10)</f>
        <v>-5.6000000000000001E-2</v>
      </c>
      <c r="EM31" s="7">
        <f>ROUND(-0.054,10)</f>
        <v>-5.3999999999999999E-2</v>
      </c>
      <c r="EN31" s="7">
        <f>ROUND(-0.05,10)</f>
        <v>-0.05</v>
      </c>
      <c r="EO31" s="7">
        <f>ROUND(-0.049,10)</f>
        <v>-4.9000000000000002E-2</v>
      </c>
      <c r="EP31" s="7">
        <f>ROUND(-0.048,10)</f>
        <v>-4.8000000000000001E-2</v>
      </c>
      <c r="EQ31" s="7">
        <f>ROUND(-0.049,10)</f>
        <v>-4.9000000000000002E-2</v>
      </c>
      <c r="ER31" s="7">
        <f>ROUND(-0.049,10)</f>
        <v>-4.9000000000000002E-2</v>
      </c>
      <c r="ES31" s="7">
        <f>ROUND(-0.049,10)</f>
        <v>-4.9000000000000002E-2</v>
      </c>
      <c r="ET31" s="7">
        <f>ROUND(-0.048,10)</f>
        <v>-4.8000000000000001E-2</v>
      </c>
      <c r="EU31" s="7">
        <f>ROUND(-0.048,10)</f>
        <v>-4.8000000000000001E-2</v>
      </c>
      <c r="EV31" s="7">
        <f>ROUND(-0.047,10)</f>
        <v>-4.7E-2</v>
      </c>
      <c r="EW31" s="7">
        <f>ROUND(-0.045,10)</f>
        <v>-4.4999999999999998E-2</v>
      </c>
      <c r="EX31" s="7">
        <f>ROUND(-0.047,10)</f>
        <v>-4.7E-2</v>
      </c>
      <c r="EY31" s="7">
        <f>ROUND(-0.046,10)</f>
        <v>-4.5999999999999999E-2</v>
      </c>
      <c r="EZ31" s="7">
        <f>ROUND(-0.047,10)</f>
        <v>-4.7E-2</v>
      </c>
      <c r="FA31" s="7">
        <f>ROUND(-0.048,10)</f>
        <v>-4.8000000000000001E-2</v>
      </c>
      <c r="FB31" s="7">
        <f>ROUND(-0.049,10)</f>
        <v>-4.9000000000000002E-2</v>
      </c>
      <c r="FC31" s="7">
        <f>ROUND(-0.049,10)</f>
        <v>-4.9000000000000002E-2</v>
      </c>
      <c r="FD31" s="7">
        <f>ROUND(-0.05,10)</f>
        <v>-0.05</v>
      </c>
      <c r="FE31" s="7">
        <f>ROUND(-0.05,10)</f>
        <v>-0.05</v>
      </c>
      <c r="FF31" s="7">
        <f>ROUND(-0.049,10)</f>
        <v>-4.9000000000000002E-2</v>
      </c>
      <c r="FG31" s="7">
        <f>ROUND(-0.048,10)</f>
        <v>-4.8000000000000001E-2</v>
      </c>
      <c r="FH31" s="7">
        <f>ROUND(-0.047,10)</f>
        <v>-4.7E-2</v>
      </c>
      <c r="FI31" s="7">
        <f>ROUND(-0.046,10)</f>
        <v>-4.5999999999999999E-2</v>
      </c>
      <c r="FJ31" s="7">
        <f>ROUND(-0.047,10)</f>
        <v>-4.7E-2</v>
      </c>
      <c r="FK31" s="7">
        <f>ROUND(-0.048,10)</f>
        <v>-4.8000000000000001E-2</v>
      </c>
      <c r="FL31" s="7">
        <f>ROUND(-0.049,10)</f>
        <v>-4.9000000000000002E-2</v>
      </c>
      <c r="FM31" s="7">
        <f>ROUND(-0.05,10)</f>
        <v>-0.05</v>
      </c>
      <c r="FN31" s="7">
        <f>ROUND(-0.05,10)</f>
        <v>-0.05</v>
      </c>
      <c r="FO31" s="7">
        <f>ROUND(-0.051,10)</f>
        <v>-5.0999999999999997E-2</v>
      </c>
      <c r="FP31" s="7">
        <f>ROUND(-0.052,10)</f>
        <v>-5.1999999999999998E-2</v>
      </c>
      <c r="FQ31" s="7">
        <f>ROUND(-0.051,10)</f>
        <v>-5.0999999999999997E-2</v>
      </c>
      <c r="FR31" s="7">
        <f>ROUND(-0.052,10)</f>
        <v>-5.1999999999999998E-2</v>
      </c>
      <c r="FS31" s="7">
        <f>ROUND(-0.052,10)</f>
        <v>-5.1999999999999998E-2</v>
      </c>
      <c r="FT31" s="7">
        <f>ROUND(-0.054,10)</f>
        <v>-5.3999999999999999E-2</v>
      </c>
      <c r="FU31" s="7">
        <f>ROUND(-0.059,10)</f>
        <v>-5.8999999999999997E-2</v>
      </c>
      <c r="FV31" s="7">
        <f>ROUND(-0.06,10)</f>
        <v>-0.06</v>
      </c>
      <c r="FW31" s="7">
        <f>ROUND(-0.057,10)</f>
        <v>-5.7000000000000002E-2</v>
      </c>
      <c r="FX31" s="7">
        <f>ROUND(-0.057,10)</f>
        <v>-5.7000000000000002E-2</v>
      </c>
      <c r="FY31" s="7">
        <f>ROUND(-0.055,10)</f>
        <v>-5.5E-2</v>
      </c>
      <c r="FZ31" s="7">
        <f>ROUND(-0.054,10)</f>
        <v>-5.3999999999999999E-2</v>
      </c>
      <c r="GA31" s="7">
        <f>ROUND(-0.053,10)</f>
        <v>-5.2999999999999999E-2</v>
      </c>
      <c r="GB31" s="7">
        <f>ROUND(-0.054,10)</f>
        <v>-5.3999999999999999E-2</v>
      </c>
      <c r="GC31" s="7">
        <f>ROUND(-0.056,10)</f>
        <v>-5.6000000000000001E-2</v>
      </c>
      <c r="GD31" s="7">
        <f>ROUND(-0.057,10)</f>
        <v>-5.7000000000000002E-2</v>
      </c>
      <c r="GE31" s="7">
        <f>ROUND(-0.058,10)</f>
        <v>-5.8000000000000003E-2</v>
      </c>
      <c r="GF31" s="7">
        <f>ROUND(-0.059,10)</f>
        <v>-5.8999999999999997E-2</v>
      </c>
      <c r="GG31" s="7">
        <f>ROUND(-0.059,10)</f>
        <v>-5.8999999999999997E-2</v>
      </c>
      <c r="GH31" s="7">
        <f>ROUND(-0.06,10)</f>
        <v>-0.06</v>
      </c>
      <c r="GI31" s="7">
        <f>ROUND(-0.06,10)</f>
        <v>-0.06</v>
      </c>
      <c r="GJ31" s="7">
        <f>ROUND(-0.061,10)</f>
        <v>-6.0999999999999999E-2</v>
      </c>
      <c r="GK31" s="7">
        <f t="shared" ref="GK31:GP31" si="36">ROUND(-0.064,10)</f>
        <v>-6.4000000000000001E-2</v>
      </c>
      <c r="GL31" s="7">
        <f t="shared" si="36"/>
        <v>-6.4000000000000001E-2</v>
      </c>
      <c r="GM31" s="7">
        <f t="shared" si="36"/>
        <v>-6.4000000000000001E-2</v>
      </c>
      <c r="GN31" s="7">
        <f t="shared" si="36"/>
        <v>-6.4000000000000001E-2</v>
      </c>
      <c r="GO31" s="7">
        <f t="shared" si="36"/>
        <v>-6.4000000000000001E-2</v>
      </c>
      <c r="GP31" s="7">
        <f t="shared" si="36"/>
        <v>-6.4000000000000001E-2</v>
      </c>
      <c r="GQ31" s="7">
        <f>ROUND(-0.063,10)</f>
        <v>-6.3E-2</v>
      </c>
      <c r="GR31" s="7">
        <f>ROUND(-0.064,10)</f>
        <v>-6.4000000000000001E-2</v>
      </c>
      <c r="GS31" s="7">
        <f>ROUND(-0.066,10)</f>
        <v>-6.6000000000000003E-2</v>
      </c>
      <c r="GT31" s="7">
        <f>ROUND(-0.069,10)</f>
        <v>-6.9000000000000006E-2</v>
      </c>
      <c r="GU31" s="7">
        <f>ROUND(-0.071,10)</f>
        <v>-7.0999999999999994E-2</v>
      </c>
      <c r="GV31" s="7">
        <f>ROUND(-0.072,10)</f>
        <v>-7.1999999999999995E-2</v>
      </c>
      <c r="GW31" s="7">
        <f>ROUND(-0.071,10)</f>
        <v>-7.0999999999999994E-2</v>
      </c>
      <c r="GX31" s="7">
        <f>ROUND(-0.073,10)</f>
        <v>-7.2999999999999995E-2</v>
      </c>
      <c r="GY31" s="7">
        <f>ROUND(-0.073,10)</f>
        <v>-7.2999999999999995E-2</v>
      </c>
      <c r="GZ31" s="7">
        <f>ROUND(-0.073,10)</f>
        <v>-7.2999999999999995E-2</v>
      </c>
      <c r="HA31" s="7">
        <f>ROUND(-0.074,10)</f>
        <v>-7.3999999999999996E-2</v>
      </c>
      <c r="HB31" s="7">
        <f>ROUND(-0.07,10)</f>
        <v>-7.0000000000000007E-2</v>
      </c>
      <c r="HC31" s="7">
        <f>ROUND(-0.071,10)</f>
        <v>-7.0999999999999994E-2</v>
      </c>
      <c r="HD31" s="7">
        <f>ROUND(-0.07,10)</f>
        <v>-7.0000000000000007E-2</v>
      </c>
      <c r="HE31" s="7">
        <f>ROUND(-0.07,10)</f>
        <v>-7.0000000000000007E-2</v>
      </c>
      <c r="HF31" s="7">
        <f>ROUND(-0.069,10)</f>
        <v>-6.9000000000000006E-2</v>
      </c>
      <c r="HG31" s="7">
        <f>ROUND(-0.069,10)</f>
        <v>-6.9000000000000006E-2</v>
      </c>
      <c r="HH31" s="7">
        <f>ROUND(-0.069,10)</f>
        <v>-6.9000000000000006E-2</v>
      </c>
      <c r="HI31" s="7">
        <f>ROUND(-0.071,10)</f>
        <v>-7.0999999999999994E-2</v>
      </c>
      <c r="HJ31" s="7">
        <f>ROUND(-0.071,10)</f>
        <v>-7.0999999999999994E-2</v>
      </c>
      <c r="HK31" s="7">
        <f>ROUND(-0.071,10)</f>
        <v>-7.0999999999999994E-2</v>
      </c>
      <c r="HL31" s="7">
        <f>ROUND(-0.07,10)</f>
        <v>-7.0000000000000007E-2</v>
      </c>
      <c r="HM31" s="7">
        <f>ROUND(-0.07,10)</f>
        <v>-7.0000000000000007E-2</v>
      </c>
      <c r="HN31" s="7">
        <f>ROUND(-0.07,10)</f>
        <v>-7.0000000000000007E-2</v>
      </c>
      <c r="HO31" s="7">
        <f>ROUND(-0.071,10)</f>
        <v>-7.0999999999999994E-2</v>
      </c>
      <c r="HP31" s="7">
        <f>ROUND(-0.069,10)</f>
        <v>-6.9000000000000006E-2</v>
      </c>
      <c r="HQ31" s="7">
        <f>ROUND(-0.07,10)</f>
        <v>-7.0000000000000007E-2</v>
      </c>
      <c r="HR31" s="7">
        <f>ROUND(-0.071,10)</f>
        <v>-7.0999999999999994E-2</v>
      </c>
      <c r="HS31" s="7">
        <f>ROUND(-0.073,10)</f>
        <v>-7.2999999999999995E-2</v>
      </c>
      <c r="HT31" s="7">
        <f>ROUND(-0.075,10)</f>
        <v>-7.4999999999999997E-2</v>
      </c>
      <c r="HU31" s="7">
        <f>ROUND(-0.077,10)</f>
        <v>-7.6999999999999999E-2</v>
      </c>
      <c r="HV31" s="7">
        <f>ROUND(-0.078,10)</f>
        <v>-7.8E-2</v>
      </c>
      <c r="HW31" s="7">
        <f>ROUND(-0.079,10)</f>
        <v>-7.9000000000000001E-2</v>
      </c>
      <c r="HX31" s="7">
        <f>ROUND(-0.078,10)</f>
        <v>-7.8E-2</v>
      </c>
      <c r="HY31" s="7">
        <f>ROUND(-0.079,10)</f>
        <v>-7.9000000000000001E-2</v>
      </c>
      <c r="HZ31" s="7">
        <f>ROUND(-0.079,10)</f>
        <v>-7.9000000000000001E-2</v>
      </c>
      <c r="IA31" s="7">
        <f>ROUND(-0.079,10)</f>
        <v>-7.9000000000000001E-2</v>
      </c>
      <c r="IB31" s="7">
        <f>ROUND(-0.079,10)</f>
        <v>-7.9000000000000001E-2</v>
      </c>
      <c r="IC31" s="7">
        <f>ROUND(-0.08,10)</f>
        <v>-0.08</v>
      </c>
      <c r="ID31" s="7">
        <f>ROUND(-0.079,10)</f>
        <v>-7.9000000000000001E-2</v>
      </c>
      <c r="IE31" s="7">
        <f>ROUND(-0.076,10)</f>
        <v>-7.5999999999999998E-2</v>
      </c>
      <c r="IF31" s="7">
        <f>ROUND(-0.078,10)</f>
        <v>-7.8E-2</v>
      </c>
      <c r="IG31" s="7">
        <f>ROUND(-0.079,10)</f>
        <v>-7.9000000000000001E-2</v>
      </c>
      <c r="IH31" s="7">
        <f>ROUND(-0.078,10)</f>
        <v>-7.8E-2</v>
      </c>
      <c r="II31" s="7">
        <f>ROUND(-0.078,10)</f>
        <v>-7.8E-2</v>
      </c>
      <c r="IJ31" s="7">
        <f>ROUND(-0.081,10)</f>
        <v>-8.1000000000000003E-2</v>
      </c>
      <c r="IK31" s="7">
        <f>ROUND(-0.081,10)</f>
        <v>-8.1000000000000003E-2</v>
      </c>
      <c r="IL31" s="7">
        <f>ROUND(-0.081,10)</f>
        <v>-8.1000000000000003E-2</v>
      </c>
      <c r="IM31" s="7">
        <f>ROUND(-0.082,10)</f>
        <v>-8.2000000000000003E-2</v>
      </c>
      <c r="IN31" s="7">
        <f>ROUND(-0.081,10)</f>
        <v>-8.1000000000000003E-2</v>
      </c>
      <c r="IO31" s="7">
        <f>ROUND(-0.081,10)</f>
        <v>-8.1000000000000003E-2</v>
      </c>
      <c r="IP31" s="7">
        <f>ROUND(-0.081,10)</f>
        <v>-8.1000000000000003E-2</v>
      </c>
      <c r="IQ31" s="7">
        <f>ROUND(-0.081,10)</f>
        <v>-8.1000000000000003E-2</v>
      </c>
      <c r="IR31" s="7">
        <f>ROUND(-0.082,10)</f>
        <v>-8.2000000000000003E-2</v>
      </c>
      <c r="IS31" s="7">
        <f>ROUND(-0.082,10)</f>
        <v>-8.2000000000000003E-2</v>
      </c>
      <c r="IT31" s="7">
        <f>ROUND(-0.082,10)</f>
        <v>-8.2000000000000003E-2</v>
      </c>
      <c r="IU31" s="7">
        <f>ROUND(-0.081,10)</f>
        <v>-8.1000000000000003E-2</v>
      </c>
      <c r="IV31" s="7">
        <f>ROUND(-0.082,10)</f>
        <v>-8.2000000000000003E-2</v>
      </c>
      <c r="IW31" s="7">
        <f>ROUND(-0.081,10)</f>
        <v>-8.1000000000000003E-2</v>
      </c>
      <c r="IX31" s="7">
        <f>ROUND(-0.082,10)</f>
        <v>-8.2000000000000003E-2</v>
      </c>
    </row>
    <row r="34" spans="1:256">
      <c r="A34" s="8">
        <v>2017</v>
      </c>
      <c r="B34" s="5">
        <v>42737</v>
      </c>
      <c r="C34" s="5">
        <v>42738</v>
      </c>
      <c r="D34" s="5">
        <v>42739</v>
      </c>
      <c r="E34" s="5">
        <v>42740</v>
      </c>
      <c r="F34" s="5">
        <v>42741</v>
      </c>
      <c r="G34" s="5">
        <v>42744</v>
      </c>
      <c r="H34" s="5">
        <v>42745</v>
      </c>
      <c r="I34" s="5">
        <v>42746</v>
      </c>
      <c r="J34" s="5">
        <v>42747</v>
      </c>
      <c r="K34" s="5">
        <v>42748</v>
      </c>
      <c r="L34" s="5">
        <v>42751</v>
      </c>
      <c r="M34" s="5">
        <v>42752</v>
      </c>
      <c r="N34" s="5">
        <v>42753</v>
      </c>
      <c r="O34" s="5">
        <v>42754</v>
      </c>
      <c r="P34" s="5">
        <v>42755</v>
      </c>
      <c r="Q34" s="5">
        <v>42758</v>
      </c>
      <c r="R34" s="5">
        <v>42759</v>
      </c>
      <c r="S34" s="5">
        <v>42760</v>
      </c>
      <c r="T34" s="5">
        <v>42761</v>
      </c>
      <c r="U34" s="5">
        <v>42762</v>
      </c>
      <c r="V34" s="5">
        <v>42765</v>
      </c>
      <c r="W34" s="5">
        <v>42766</v>
      </c>
      <c r="X34" s="5">
        <v>42767</v>
      </c>
      <c r="Y34" s="5">
        <v>42768</v>
      </c>
      <c r="Z34" s="5">
        <v>42769</v>
      </c>
      <c r="AA34" s="5">
        <v>42772</v>
      </c>
      <c r="AB34" s="5">
        <v>42773</v>
      </c>
      <c r="AC34" s="5">
        <v>42774</v>
      </c>
      <c r="AD34" s="5">
        <v>42775</v>
      </c>
      <c r="AE34" s="5">
        <v>42776</v>
      </c>
      <c r="AF34" s="5">
        <v>42779</v>
      </c>
      <c r="AG34" s="5">
        <v>42780</v>
      </c>
      <c r="AH34" s="5">
        <v>42781</v>
      </c>
      <c r="AI34" s="5">
        <v>42782</v>
      </c>
      <c r="AJ34" s="5">
        <v>42783</v>
      </c>
      <c r="AK34" s="5">
        <v>42786</v>
      </c>
      <c r="AL34" s="5">
        <v>42787</v>
      </c>
      <c r="AM34" s="5">
        <v>42788</v>
      </c>
      <c r="AN34" s="5">
        <v>42789</v>
      </c>
      <c r="AO34" s="5">
        <v>42790</v>
      </c>
      <c r="AP34" s="5">
        <v>42793</v>
      </c>
      <c r="AQ34" s="5">
        <v>42794</v>
      </c>
      <c r="AR34" s="5">
        <v>42795</v>
      </c>
      <c r="AS34" s="5">
        <v>42796</v>
      </c>
      <c r="AT34" s="5">
        <v>42797</v>
      </c>
      <c r="AU34" s="5">
        <v>42800</v>
      </c>
      <c r="AV34" s="5">
        <v>42801</v>
      </c>
      <c r="AW34" s="5">
        <v>42802</v>
      </c>
      <c r="AX34" s="5">
        <v>42803</v>
      </c>
      <c r="AY34" s="5">
        <v>42804</v>
      </c>
      <c r="AZ34" s="5">
        <v>42807</v>
      </c>
      <c r="BA34" s="5">
        <v>42808</v>
      </c>
      <c r="BB34" s="5">
        <v>42809</v>
      </c>
      <c r="BC34" s="5">
        <v>42810</v>
      </c>
      <c r="BD34" s="5">
        <v>42811</v>
      </c>
      <c r="BE34" s="5">
        <v>42814</v>
      </c>
      <c r="BF34" s="5">
        <v>42815</v>
      </c>
      <c r="BG34" s="5">
        <v>42816</v>
      </c>
      <c r="BH34" s="5">
        <v>42817</v>
      </c>
      <c r="BI34" s="5">
        <v>42818</v>
      </c>
      <c r="BJ34" s="5">
        <v>42821</v>
      </c>
      <c r="BK34" s="5">
        <v>42822</v>
      </c>
      <c r="BL34" s="5">
        <v>42823</v>
      </c>
      <c r="BM34" s="5">
        <v>42824</v>
      </c>
      <c r="BN34" s="5">
        <v>42825</v>
      </c>
      <c r="BO34" s="5">
        <v>42828</v>
      </c>
      <c r="BP34" s="5">
        <v>42829</v>
      </c>
      <c r="BQ34" s="5">
        <v>42830</v>
      </c>
      <c r="BR34" s="5">
        <v>42831</v>
      </c>
      <c r="BS34" s="5">
        <v>42832</v>
      </c>
      <c r="BT34" s="5">
        <v>42835</v>
      </c>
      <c r="BU34" s="5">
        <v>42836</v>
      </c>
      <c r="BV34" s="5">
        <v>42837</v>
      </c>
      <c r="BW34" s="5">
        <v>42838</v>
      </c>
      <c r="BX34" s="5">
        <v>42843</v>
      </c>
      <c r="BY34" s="5">
        <v>42844</v>
      </c>
      <c r="BZ34" s="5">
        <v>42845</v>
      </c>
      <c r="CA34" s="5">
        <v>42846</v>
      </c>
      <c r="CB34" s="5">
        <v>42849</v>
      </c>
      <c r="CC34" s="5">
        <v>42850</v>
      </c>
      <c r="CD34" s="5">
        <v>42851</v>
      </c>
      <c r="CE34" s="5">
        <v>42852</v>
      </c>
      <c r="CF34" s="5">
        <v>42853</v>
      </c>
      <c r="CG34" s="5">
        <v>42857</v>
      </c>
      <c r="CH34" s="5">
        <v>42858</v>
      </c>
      <c r="CI34" s="5">
        <v>42859</v>
      </c>
      <c r="CJ34" s="5">
        <v>42860</v>
      </c>
      <c r="CK34" s="5">
        <v>42863</v>
      </c>
      <c r="CL34" s="5">
        <v>42864</v>
      </c>
      <c r="CM34" s="5">
        <v>42865</v>
      </c>
      <c r="CN34" s="5">
        <v>42866</v>
      </c>
      <c r="CO34" s="5">
        <v>42867</v>
      </c>
      <c r="CP34" s="5">
        <v>42870</v>
      </c>
      <c r="CQ34" s="5">
        <v>42871</v>
      </c>
      <c r="CR34" s="5">
        <v>42872</v>
      </c>
      <c r="CS34" s="5">
        <v>42873</v>
      </c>
      <c r="CT34" s="5">
        <v>42874</v>
      </c>
      <c r="CU34" s="5">
        <v>42877</v>
      </c>
      <c r="CV34" s="5">
        <v>42878</v>
      </c>
      <c r="CW34" s="5">
        <v>42879</v>
      </c>
      <c r="CX34" s="5">
        <v>42880</v>
      </c>
      <c r="CY34" s="5">
        <v>42881</v>
      </c>
      <c r="CZ34" s="5">
        <v>42884</v>
      </c>
      <c r="DA34" s="5">
        <v>42885</v>
      </c>
      <c r="DB34" s="5">
        <v>42886</v>
      </c>
      <c r="DC34" s="5">
        <v>42887</v>
      </c>
      <c r="DD34" s="5">
        <v>42888</v>
      </c>
      <c r="DE34" s="5">
        <v>42891</v>
      </c>
      <c r="DF34" s="5">
        <v>42892</v>
      </c>
      <c r="DG34" s="5">
        <v>42893</v>
      </c>
      <c r="DH34" s="5">
        <v>42894</v>
      </c>
      <c r="DI34" s="5">
        <v>42895</v>
      </c>
      <c r="DJ34" s="5">
        <v>42898</v>
      </c>
      <c r="DK34" s="5">
        <v>42899</v>
      </c>
      <c r="DL34" s="5">
        <v>42900</v>
      </c>
      <c r="DM34" s="5">
        <v>42901</v>
      </c>
      <c r="DN34" s="5">
        <v>42902</v>
      </c>
      <c r="DO34" s="5">
        <v>42905</v>
      </c>
      <c r="DP34" s="5">
        <v>42906</v>
      </c>
      <c r="DQ34" s="5">
        <v>42907</v>
      </c>
      <c r="DR34" s="5">
        <v>42908</v>
      </c>
      <c r="DS34" s="5">
        <v>42909</v>
      </c>
      <c r="DT34" s="5">
        <v>42912</v>
      </c>
      <c r="DU34" s="5">
        <v>42913</v>
      </c>
      <c r="DV34" s="5">
        <v>42914</v>
      </c>
      <c r="DW34" s="5">
        <v>42915</v>
      </c>
      <c r="DX34" s="5">
        <v>42916</v>
      </c>
      <c r="DY34" s="5">
        <v>42919</v>
      </c>
      <c r="DZ34" s="5">
        <v>42920</v>
      </c>
      <c r="EA34" s="5">
        <v>42921</v>
      </c>
      <c r="EB34" s="5">
        <v>42922</v>
      </c>
      <c r="EC34" s="5">
        <v>42923</v>
      </c>
      <c r="ED34" s="5">
        <v>42926</v>
      </c>
      <c r="EE34" s="5">
        <v>42927</v>
      </c>
      <c r="EF34" s="5">
        <v>42928</v>
      </c>
      <c r="EG34" s="5">
        <v>42929</v>
      </c>
      <c r="EH34" s="5">
        <v>42930</v>
      </c>
      <c r="EI34" s="5">
        <v>42933</v>
      </c>
      <c r="EJ34" s="5">
        <v>42934</v>
      </c>
      <c r="EK34" s="5">
        <v>42935</v>
      </c>
      <c r="EL34" s="5">
        <v>42936</v>
      </c>
      <c r="EM34" s="5">
        <v>42937</v>
      </c>
      <c r="EN34" s="5">
        <v>42940</v>
      </c>
      <c r="EO34" s="5">
        <v>42941</v>
      </c>
      <c r="EP34" s="5">
        <v>42942</v>
      </c>
      <c r="EQ34" s="5">
        <v>42943</v>
      </c>
      <c r="ER34" s="5">
        <v>42944</v>
      </c>
      <c r="ES34" s="5">
        <v>42947</v>
      </c>
      <c r="ET34" s="5">
        <v>42948</v>
      </c>
      <c r="EU34" s="5">
        <v>42949</v>
      </c>
      <c r="EV34" s="5">
        <v>42950</v>
      </c>
      <c r="EW34" s="5">
        <v>42951</v>
      </c>
      <c r="EX34" s="5">
        <v>42954</v>
      </c>
      <c r="EY34" s="5">
        <v>42955</v>
      </c>
      <c r="EZ34" s="5">
        <v>42956</v>
      </c>
      <c r="FA34" s="5">
        <v>42957</v>
      </c>
      <c r="FB34" s="5">
        <v>42958</v>
      </c>
      <c r="FC34" s="5">
        <v>42961</v>
      </c>
      <c r="FD34" s="5">
        <v>42962</v>
      </c>
      <c r="FE34" s="5">
        <v>42963</v>
      </c>
      <c r="FF34" s="5">
        <v>42964</v>
      </c>
      <c r="FG34" s="5">
        <v>42965</v>
      </c>
      <c r="FH34" s="5">
        <v>42968</v>
      </c>
      <c r="FI34" s="5">
        <v>42969</v>
      </c>
      <c r="FJ34" s="5">
        <v>42970</v>
      </c>
      <c r="FK34" s="5">
        <v>42971</v>
      </c>
      <c r="FL34" s="5">
        <v>42972</v>
      </c>
      <c r="FM34" s="5">
        <v>42975</v>
      </c>
      <c r="FN34" s="5">
        <v>42976</v>
      </c>
      <c r="FO34" s="5">
        <v>42977</v>
      </c>
      <c r="FP34" s="5">
        <v>42978</v>
      </c>
      <c r="FQ34" s="5">
        <v>42979</v>
      </c>
      <c r="FR34" s="5">
        <v>42982</v>
      </c>
      <c r="FS34" s="5">
        <v>42983</v>
      </c>
      <c r="FT34" s="5">
        <v>42984</v>
      </c>
      <c r="FU34" s="5">
        <v>42985</v>
      </c>
      <c r="FV34" s="5">
        <v>42986</v>
      </c>
      <c r="FW34" s="5">
        <v>42989</v>
      </c>
      <c r="FX34" s="5">
        <v>42990</v>
      </c>
      <c r="FY34" s="5">
        <v>42991</v>
      </c>
      <c r="FZ34" s="5">
        <v>42992</v>
      </c>
      <c r="GA34" s="5">
        <v>42993</v>
      </c>
      <c r="GB34" s="5">
        <v>42996</v>
      </c>
      <c r="GC34" s="5">
        <v>42997</v>
      </c>
      <c r="GD34" s="5">
        <v>42998</v>
      </c>
      <c r="GE34" s="5">
        <v>42999</v>
      </c>
      <c r="GF34" s="5">
        <v>43000</v>
      </c>
      <c r="GG34" s="5">
        <v>43003</v>
      </c>
      <c r="GH34" s="5">
        <v>43004</v>
      </c>
      <c r="GI34" s="5">
        <v>43005</v>
      </c>
      <c r="GJ34" s="5">
        <v>43006</v>
      </c>
      <c r="GK34" s="5">
        <v>43007</v>
      </c>
      <c r="GL34" s="5">
        <v>43010</v>
      </c>
      <c r="GM34" s="5">
        <v>43011</v>
      </c>
      <c r="GN34" s="5">
        <v>43012</v>
      </c>
      <c r="GO34" s="5">
        <v>43013</v>
      </c>
      <c r="GP34" s="5">
        <v>43014</v>
      </c>
      <c r="GQ34" s="5">
        <v>43017</v>
      </c>
      <c r="GR34" s="5">
        <v>43018</v>
      </c>
      <c r="GS34" s="5">
        <v>43019</v>
      </c>
      <c r="GT34" s="5">
        <v>43020</v>
      </c>
      <c r="GU34" s="5">
        <v>43021</v>
      </c>
      <c r="GV34" s="5">
        <v>43024</v>
      </c>
      <c r="GW34" s="5">
        <v>43025</v>
      </c>
      <c r="GX34" s="5">
        <v>43026</v>
      </c>
      <c r="GY34" s="5">
        <v>43027</v>
      </c>
      <c r="GZ34" s="5">
        <v>43028</v>
      </c>
      <c r="HA34" s="5">
        <v>43031</v>
      </c>
      <c r="HB34" s="5">
        <v>43032</v>
      </c>
      <c r="HC34" s="5">
        <v>43033</v>
      </c>
      <c r="HD34" s="5">
        <v>43034</v>
      </c>
      <c r="HE34" s="5">
        <v>43035</v>
      </c>
      <c r="HF34" s="5">
        <v>43038</v>
      </c>
      <c r="HG34" s="5">
        <v>43039</v>
      </c>
      <c r="HH34" s="5">
        <v>43040</v>
      </c>
      <c r="HI34" s="5">
        <v>43041</v>
      </c>
      <c r="HJ34" s="5">
        <v>43042</v>
      </c>
      <c r="HK34" s="5">
        <v>43045</v>
      </c>
      <c r="HL34" s="5">
        <v>43046</v>
      </c>
      <c r="HM34" s="5">
        <v>43047</v>
      </c>
      <c r="HN34" s="5">
        <v>43048</v>
      </c>
      <c r="HO34" s="5">
        <v>43049</v>
      </c>
      <c r="HP34" s="5">
        <v>43052</v>
      </c>
      <c r="HQ34" s="5">
        <v>43053</v>
      </c>
      <c r="HR34" s="5">
        <v>43054</v>
      </c>
      <c r="HS34" s="5">
        <v>43055</v>
      </c>
      <c r="HT34" s="5">
        <v>43056</v>
      </c>
      <c r="HU34" s="5">
        <v>43059</v>
      </c>
      <c r="HV34" s="5">
        <v>43060</v>
      </c>
      <c r="HW34" s="5">
        <v>43061</v>
      </c>
      <c r="HX34" s="5">
        <v>43062</v>
      </c>
      <c r="HY34" s="5">
        <v>43063</v>
      </c>
      <c r="HZ34" s="5">
        <v>43066</v>
      </c>
      <c r="IA34" s="5">
        <v>43067</v>
      </c>
      <c r="IB34" s="5">
        <v>43068</v>
      </c>
      <c r="IC34" s="5">
        <v>43069</v>
      </c>
      <c r="ID34" s="5">
        <v>43070</v>
      </c>
      <c r="IE34" s="5">
        <v>43073</v>
      </c>
      <c r="IF34" s="5">
        <v>43074</v>
      </c>
      <c r="IG34" s="5">
        <v>43075</v>
      </c>
      <c r="IH34" s="5">
        <v>43076</v>
      </c>
      <c r="II34" s="5">
        <v>43077</v>
      </c>
      <c r="IJ34" s="5">
        <v>43080</v>
      </c>
      <c r="IK34" s="5">
        <v>43081</v>
      </c>
      <c r="IL34" s="5">
        <v>43082</v>
      </c>
      <c r="IM34" s="5">
        <v>43083</v>
      </c>
      <c r="IN34" s="5">
        <v>43084</v>
      </c>
      <c r="IO34" s="5">
        <v>43087</v>
      </c>
      <c r="IP34" s="5">
        <v>43088</v>
      </c>
      <c r="IQ34" s="5">
        <v>43089</v>
      </c>
      <c r="IR34" s="5">
        <v>43090</v>
      </c>
      <c r="IS34" s="5">
        <v>43091</v>
      </c>
      <c r="IT34" s="5">
        <v>43096</v>
      </c>
      <c r="IU34" s="5">
        <v>43097</v>
      </c>
      <c r="IV34" s="5">
        <v>43098</v>
      </c>
    </row>
    <row r="35" spans="1:256">
      <c r="A35" s="6" t="s">
        <v>35</v>
      </c>
      <c r="B35" s="7">
        <f>ROUND(-0.371,10)</f>
        <v>-0.371</v>
      </c>
      <c r="C35" s="7">
        <f>ROUND(-0.374,10)</f>
        <v>-0.374</v>
      </c>
      <c r="D35" s="7">
        <f>ROUND(-0.374,10)</f>
        <v>-0.374</v>
      </c>
      <c r="E35" s="7">
        <f>ROUND(-0.376,10)</f>
        <v>-0.376</v>
      </c>
      <c r="F35" s="7">
        <f>ROUND(-0.379,10)</f>
        <v>-0.379</v>
      </c>
      <c r="G35" s="7">
        <f>ROUND(-0.379,10)</f>
        <v>-0.379</v>
      </c>
      <c r="H35" s="7">
        <f>ROUND(-0.38,10)</f>
        <v>-0.38</v>
      </c>
      <c r="I35" s="7">
        <f>ROUND(-0.381,10)</f>
        <v>-0.38100000000000001</v>
      </c>
      <c r="J35" s="7">
        <f>ROUND(-0.379,10)</f>
        <v>-0.379</v>
      </c>
      <c r="K35" s="7">
        <f>ROUND(-0.379,10)</f>
        <v>-0.379</v>
      </c>
      <c r="L35" s="7">
        <f>ROUND(-0.38,10)</f>
        <v>-0.38</v>
      </c>
      <c r="M35" s="7">
        <f>ROUND(-0.38,10)</f>
        <v>-0.38</v>
      </c>
      <c r="N35" s="7">
        <f>ROUND(-0.38,10)</f>
        <v>-0.38</v>
      </c>
      <c r="O35" s="7">
        <f>ROUND(-0.38,10)</f>
        <v>-0.38</v>
      </c>
      <c r="P35" s="7">
        <f>ROUND(-0.38,10)</f>
        <v>-0.38</v>
      </c>
      <c r="Q35" s="7">
        <f>ROUND(-0.379,10)</f>
        <v>-0.379</v>
      </c>
      <c r="R35" s="7">
        <f>ROUND(-0.379,10)</f>
        <v>-0.379</v>
      </c>
      <c r="S35" s="7">
        <f>ROUND(-0.379,10)</f>
        <v>-0.379</v>
      </c>
      <c r="T35" s="7">
        <f>ROUND(-0.379,10)</f>
        <v>-0.379</v>
      </c>
      <c r="U35" s="7">
        <f>ROUND(-0.38,10)</f>
        <v>-0.38</v>
      </c>
      <c r="V35" s="7">
        <f>ROUND(-0.379,10)</f>
        <v>-0.379</v>
      </c>
      <c r="W35" s="7">
        <f>ROUND(-0.379,10)</f>
        <v>-0.379</v>
      </c>
      <c r="X35" s="7">
        <f>ROUND(-0.38,10)</f>
        <v>-0.38</v>
      </c>
      <c r="Y35" s="7">
        <f>ROUND(-0.379,10)</f>
        <v>-0.379</v>
      </c>
      <c r="Z35" s="7">
        <f>ROUND(-0.379,10)</f>
        <v>-0.379</v>
      </c>
      <c r="AA35" s="7">
        <f>ROUND(-0.379,10)</f>
        <v>-0.379</v>
      </c>
      <c r="AB35" s="7">
        <f>ROUND(-0.379,10)</f>
        <v>-0.379</v>
      </c>
      <c r="AC35" s="7">
        <f>ROUND(-0.379,10)</f>
        <v>-0.379</v>
      </c>
      <c r="AD35" s="7">
        <f>ROUND(-0.378,10)</f>
        <v>-0.378</v>
      </c>
      <c r="AE35" s="7">
        <f>ROUND(-0.379,10)</f>
        <v>-0.379</v>
      </c>
      <c r="AF35" s="7">
        <f>ROUND(-0.378,10)</f>
        <v>-0.378</v>
      </c>
      <c r="AG35" s="7">
        <f>ROUND(-0.38,10)</f>
        <v>-0.38</v>
      </c>
      <c r="AH35" s="7">
        <f>ROUND(-0.38,10)</f>
        <v>-0.38</v>
      </c>
      <c r="AI35" s="7">
        <f>ROUND(-0.379,10)</f>
        <v>-0.379</v>
      </c>
      <c r="AJ35" s="7">
        <f>ROUND(-0.38,10)</f>
        <v>-0.38</v>
      </c>
      <c r="AK35" s="7">
        <f t="shared" ref="AK35:AP35" si="37">ROUND(-0.379,10)</f>
        <v>-0.379</v>
      </c>
      <c r="AL35" s="7">
        <f t="shared" si="37"/>
        <v>-0.379</v>
      </c>
      <c r="AM35" s="7">
        <f t="shared" si="37"/>
        <v>-0.379</v>
      </c>
      <c r="AN35" s="7">
        <f t="shared" si="37"/>
        <v>-0.379</v>
      </c>
      <c r="AO35" s="7">
        <f t="shared" si="37"/>
        <v>-0.379</v>
      </c>
      <c r="AP35" s="7">
        <f t="shared" si="37"/>
        <v>-0.379</v>
      </c>
      <c r="AQ35" s="7">
        <f>ROUND(-0.378,10)</f>
        <v>-0.378</v>
      </c>
      <c r="AR35" s="7">
        <f>ROUND(-0.378,10)</f>
        <v>-0.378</v>
      </c>
      <c r="AS35" s="7">
        <f>ROUND(-0.378,10)</f>
        <v>-0.378</v>
      </c>
      <c r="AT35" s="7">
        <f>ROUND(-0.379,10)</f>
        <v>-0.379</v>
      </c>
      <c r="AU35" s="7">
        <f>ROUND(-0.379,10)</f>
        <v>-0.379</v>
      </c>
      <c r="AV35" s="7">
        <f>ROUND(-0.38,10)</f>
        <v>-0.38</v>
      </c>
      <c r="AW35" s="7">
        <f>ROUND(-0.38,10)</f>
        <v>-0.38</v>
      </c>
      <c r="AX35" s="7">
        <f>ROUND(-0.38,10)</f>
        <v>-0.38</v>
      </c>
      <c r="AY35" s="7">
        <f>ROUND(-0.379,10)</f>
        <v>-0.379</v>
      </c>
      <c r="AZ35" s="7">
        <f>ROUND(-0.379,10)</f>
        <v>-0.379</v>
      </c>
      <c r="BA35" s="7">
        <f>ROUND(-0.379,10)</f>
        <v>-0.379</v>
      </c>
      <c r="BB35" s="7">
        <f>ROUND(-0.38,10)</f>
        <v>-0.38</v>
      </c>
      <c r="BC35" s="7">
        <f>ROUND(-0.379,10)</f>
        <v>-0.379</v>
      </c>
      <c r="BD35" s="7">
        <f>ROUND(-0.38,10)</f>
        <v>-0.38</v>
      </c>
      <c r="BE35" s="7">
        <f>ROUND(-0.379,10)</f>
        <v>-0.379</v>
      </c>
      <c r="BF35" s="7">
        <f>ROUND(-0.379,10)</f>
        <v>-0.379</v>
      </c>
      <c r="BG35" s="7">
        <f t="shared" ref="BG35:BL35" si="38">ROUND(-0.38,10)</f>
        <v>-0.38</v>
      </c>
      <c r="BH35" s="7">
        <f t="shared" si="38"/>
        <v>-0.38</v>
      </c>
      <c r="BI35" s="7">
        <f t="shared" si="38"/>
        <v>-0.38</v>
      </c>
      <c r="BJ35" s="7">
        <f t="shared" si="38"/>
        <v>-0.38</v>
      </c>
      <c r="BK35" s="7">
        <f t="shared" si="38"/>
        <v>-0.38</v>
      </c>
      <c r="BL35" s="7">
        <f t="shared" si="38"/>
        <v>-0.38</v>
      </c>
      <c r="BM35" s="7">
        <f>ROUND(-0.379,10)</f>
        <v>-0.379</v>
      </c>
      <c r="BN35" s="7">
        <f>ROUND(-0.379,10)</f>
        <v>-0.379</v>
      </c>
      <c r="BO35" s="7">
        <f>ROUND(-0.379,10)</f>
        <v>-0.379</v>
      </c>
      <c r="BP35" s="7">
        <f>ROUND(-0.38,10)</f>
        <v>-0.38</v>
      </c>
      <c r="BQ35" s="7">
        <f>ROUND(-0.38,10)</f>
        <v>-0.38</v>
      </c>
      <c r="BR35" s="7">
        <f>ROUND(-0.379,10)</f>
        <v>-0.379</v>
      </c>
      <c r="BS35" s="7">
        <f>ROUND(-0.38,10)</f>
        <v>-0.38</v>
      </c>
      <c r="BT35" s="7">
        <f>ROUND(-0.38,10)</f>
        <v>-0.38</v>
      </c>
      <c r="BU35" s="7">
        <f>ROUND(-0.379,10)</f>
        <v>-0.379</v>
      </c>
      <c r="BV35" s="7">
        <f>ROUND(-0.38,10)</f>
        <v>-0.38</v>
      </c>
      <c r="BW35" s="7">
        <f>ROUND(-0.38,10)</f>
        <v>-0.38</v>
      </c>
      <c r="BX35" s="7">
        <f>ROUND(-0.38,10)</f>
        <v>-0.38</v>
      </c>
      <c r="BY35" s="7">
        <f>ROUND(-0.38,10)</f>
        <v>-0.38</v>
      </c>
      <c r="BZ35" s="7">
        <f>ROUND(-0.379,10)</f>
        <v>-0.379</v>
      </c>
      <c r="CA35" s="7">
        <f>ROUND(-0.379,10)</f>
        <v>-0.379</v>
      </c>
      <c r="CB35" s="7">
        <f>ROUND(-0.379,10)</f>
        <v>-0.379</v>
      </c>
      <c r="CC35" s="7">
        <f>ROUND(-0.378,10)</f>
        <v>-0.378</v>
      </c>
      <c r="CD35" s="7">
        <f>ROUND(-0.38,10)</f>
        <v>-0.38</v>
      </c>
      <c r="CE35" s="7">
        <f>ROUND(-0.379,10)</f>
        <v>-0.379</v>
      </c>
      <c r="CF35" s="7">
        <f>ROUND(-0.379,10)</f>
        <v>-0.379</v>
      </c>
      <c r="CG35" s="7">
        <f>ROUND(-0.378,10)</f>
        <v>-0.378</v>
      </c>
      <c r="CH35" s="7">
        <f>ROUND(-0.379,10)</f>
        <v>-0.379</v>
      </c>
      <c r="CI35" s="7">
        <f>ROUND(-0.379,10)</f>
        <v>-0.379</v>
      </c>
      <c r="CJ35" s="7">
        <f>ROUND(-0.38,10)</f>
        <v>-0.38</v>
      </c>
      <c r="CK35" s="7">
        <f>ROUND(-0.379,10)</f>
        <v>-0.379</v>
      </c>
      <c r="CL35" s="7">
        <f>ROUND(-0.38,10)</f>
        <v>-0.38</v>
      </c>
      <c r="CM35" s="7">
        <f>ROUND(-0.38,10)</f>
        <v>-0.38</v>
      </c>
      <c r="CN35" s="7">
        <f>ROUND(-0.379,10)</f>
        <v>-0.379</v>
      </c>
      <c r="CO35" s="7">
        <f>ROUND(-0.38,10)</f>
        <v>-0.38</v>
      </c>
      <c r="CP35" s="7">
        <f>ROUND(-0.38,10)</f>
        <v>-0.38</v>
      </c>
      <c r="CQ35" s="7">
        <f>ROUND(-0.379,10)</f>
        <v>-0.379</v>
      </c>
      <c r="CR35" s="7">
        <f>ROUND(-0.38,10)</f>
        <v>-0.38</v>
      </c>
      <c r="CS35" s="7">
        <f>ROUND(-0.379,10)</f>
        <v>-0.379</v>
      </c>
      <c r="CT35" s="7">
        <f>ROUND(-0.379,10)</f>
        <v>-0.379</v>
      </c>
      <c r="CU35" s="7">
        <f>ROUND(-0.379,10)</f>
        <v>-0.379</v>
      </c>
      <c r="CV35" s="7">
        <f>ROUND(-0.379,10)</f>
        <v>-0.379</v>
      </c>
      <c r="CW35" s="7">
        <f>ROUND(-0.379,10)</f>
        <v>-0.379</v>
      </c>
      <c r="CX35" s="7">
        <f>ROUND(-0.38,10)</f>
        <v>-0.38</v>
      </c>
      <c r="CY35" s="7">
        <f>ROUND(-0.379,10)</f>
        <v>-0.379</v>
      </c>
      <c r="CZ35" s="7">
        <f>ROUND(-0.379,10)</f>
        <v>-0.379</v>
      </c>
      <c r="DA35" s="7">
        <f>ROUND(-0.379,10)</f>
        <v>-0.379</v>
      </c>
      <c r="DB35" s="7">
        <f>ROUND(-0.38,10)</f>
        <v>-0.38</v>
      </c>
      <c r="DC35" s="7">
        <f t="shared" ref="DC35:DK35" si="39">ROUND(-0.379,10)</f>
        <v>-0.379</v>
      </c>
      <c r="DD35" s="7">
        <f t="shared" si="39"/>
        <v>-0.379</v>
      </c>
      <c r="DE35" s="7">
        <f t="shared" si="39"/>
        <v>-0.379</v>
      </c>
      <c r="DF35" s="7">
        <f t="shared" si="39"/>
        <v>-0.379</v>
      </c>
      <c r="DG35" s="7">
        <f t="shared" si="39"/>
        <v>-0.379</v>
      </c>
      <c r="DH35" s="7">
        <f t="shared" si="39"/>
        <v>-0.379</v>
      </c>
      <c r="DI35" s="7">
        <f t="shared" si="39"/>
        <v>-0.379</v>
      </c>
      <c r="DJ35" s="7">
        <f t="shared" si="39"/>
        <v>-0.379</v>
      </c>
      <c r="DK35" s="7">
        <f t="shared" si="39"/>
        <v>-0.379</v>
      </c>
      <c r="DL35" s="7">
        <f>ROUND(-0.38,10)</f>
        <v>-0.38</v>
      </c>
      <c r="DM35" s="7">
        <f>ROUND(-0.38,10)</f>
        <v>-0.38</v>
      </c>
      <c r="DN35" s="7">
        <f>ROUND(-0.379,10)</f>
        <v>-0.379</v>
      </c>
      <c r="DO35" s="7">
        <f>ROUND(-0.38,10)</f>
        <v>-0.38</v>
      </c>
      <c r="DP35" s="7">
        <f>ROUND(-0.378,10)</f>
        <v>-0.378</v>
      </c>
      <c r="DQ35" s="7">
        <f>ROUND(-0.38,10)</f>
        <v>-0.38</v>
      </c>
      <c r="DR35" s="7">
        <f>ROUND(-0.379,10)</f>
        <v>-0.379</v>
      </c>
      <c r="DS35" s="7">
        <f>ROUND(-0.38,10)</f>
        <v>-0.38</v>
      </c>
      <c r="DT35" s="7">
        <f t="shared" ref="DT35:ED35" si="40">ROUND(-0.379,10)</f>
        <v>-0.379</v>
      </c>
      <c r="DU35" s="7">
        <f t="shared" si="40"/>
        <v>-0.379</v>
      </c>
      <c r="DV35" s="7">
        <f t="shared" si="40"/>
        <v>-0.379</v>
      </c>
      <c r="DW35" s="7">
        <f t="shared" si="40"/>
        <v>-0.379</v>
      </c>
      <c r="DX35" s="7">
        <f t="shared" si="40"/>
        <v>-0.379</v>
      </c>
      <c r="DY35" s="7">
        <f t="shared" si="40"/>
        <v>-0.379</v>
      </c>
      <c r="DZ35" s="7">
        <f t="shared" si="40"/>
        <v>-0.379</v>
      </c>
      <c r="EA35" s="7">
        <f t="shared" si="40"/>
        <v>-0.379</v>
      </c>
      <c r="EB35" s="7">
        <f t="shared" si="40"/>
        <v>-0.379</v>
      </c>
      <c r="EC35" s="7">
        <f t="shared" si="40"/>
        <v>-0.379</v>
      </c>
      <c r="ED35" s="7">
        <f t="shared" si="40"/>
        <v>-0.379</v>
      </c>
      <c r="EE35" s="7">
        <f>ROUND(-0.378,10)</f>
        <v>-0.378</v>
      </c>
      <c r="EF35" s="7">
        <f>ROUND(-0.379,10)</f>
        <v>-0.379</v>
      </c>
      <c r="EG35" s="7">
        <f>ROUND(-0.38,10)</f>
        <v>-0.38</v>
      </c>
      <c r="EH35" s="7">
        <f t="shared" ref="EH35:EM35" si="41">ROUND(-0.379,10)</f>
        <v>-0.379</v>
      </c>
      <c r="EI35" s="7">
        <f t="shared" si="41"/>
        <v>-0.379</v>
      </c>
      <c r="EJ35" s="7">
        <f t="shared" si="41"/>
        <v>-0.379</v>
      </c>
      <c r="EK35" s="7">
        <f t="shared" si="41"/>
        <v>-0.379</v>
      </c>
      <c r="EL35" s="7">
        <f t="shared" si="41"/>
        <v>-0.379</v>
      </c>
      <c r="EM35" s="7">
        <f t="shared" si="41"/>
        <v>-0.379</v>
      </c>
      <c r="EN35" s="7">
        <f>ROUND(-0.38,10)</f>
        <v>-0.38</v>
      </c>
      <c r="EO35" s="7">
        <f>ROUND(-0.379,10)</f>
        <v>-0.379</v>
      </c>
      <c r="EP35" s="7">
        <f>ROUND(-0.379,10)</f>
        <v>-0.379</v>
      </c>
      <c r="EQ35" s="7">
        <f>ROUND(-0.38,10)</f>
        <v>-0.38</v>
      </c>
      <c r="ER35" s="7">
        <f t="shared" ref="ER35:EY35" si="42">ROUND(-0.379,10)</f>
        <v>-0.379</v>
      </c>
      <c r="ES35" s="7">
        <f t="shared" si="42"/>
        <v>-0.379</v>
      </c>
      <c r="ET35" s="7">
        <f t="shared" si="42"/>
        <v>-0.379</v>
      </c>
      <c r="EU35" s="7">
        <f t="shared" si="42"/>
        <v>-0.379</v>
      </c>
      <c r="EV35" s="7">
        <f t="shared" si="42"/>
        <v>-0.379</v>
      </c>
      <c r="EW35" s="7">
        <f t="shared" si="42"/>
        <v>-0.379</v>
      </c>
      <c r="EX35" s="7">
        <f t="shared" si="42"/>
        <v>-0.379</v>
      </c>
      <c r="EY35" s="7">
        <f t="shared" si="42"/>
        <v>-0.379</v>
      </c>
      <c r="EZ35" s="7">
        <f>ROUND(-0.38,10)</f>
        <v>-0.38</v>
      </c>
      <c r="FA35" s="7">
        <f t="shared" ref="FA35:FM35" si="43">ROUND(-0.379,10)</f>
        <v>-0.379</v>
      </c>
      <c r="FB35" s="7">
        <f t="shared" si="43"/>
        <v>-0.379</v>
      </c>
      <c r="FC35" s="7">
        <f t="shared" si="43"/>
        <v>-0.379</v>
      </c>
      <c r="FD35" s="7">
        <f t="shared" si="43"/>
        <v>-0.379</v>
      </c>
      <c r="FE35" s="7">
        <f t="shared" si="43"/>
        <v>-0.379</v>
      </c>
      <c r="FF35" s="7">
        <f t="shared" si="43"/>
        <v>-0.379</v>
      </c>
      <c r="FG35" s="7">
        <f t="shared" si="43"/>
        <v>-0.379</v>
      </c>
      <c r="FH35" s="7">
        <f t="shared" si="43"/>
        <v>-0.379</v>
      </c>
      <c r="FI35" s="7">
        <f t="shared" si="43"/>
        <v>-0.379</v>
      </c>
      <c r="FJ35" s="7">
        <f t="shared" si="43"/>
        <v>-0.379</v>
      </c>
      <c r="FK35" s="7">
        <f t="shared" si="43"/>
        <v>-0.379</v>
      </c>
      <c r="FL35" s="7">
        <f t="shared" si="43"/>
        <v>-0.379</v>
      </c>
      <c r="FM35" s="7">
        <f t="shared" si="43"/>
        <v>-0.379</v>
      </c>
      <c r="FN35" s="7">
        <f>ROUND(-0.38,10)</f>
        <v>-0.38</v>
      </c>
      <c r="FO35" s="7">
        <f>ROUND(-0.379,10)</f>
        <v>-0.379</v>
      </c>
      <c r="FP35" s="7">
        <f>ROUND(-0.378,10)</f>
        <v>-0.378</v>
      </c>
      <c r="FQ35" s="7">
        <f>ROUND(-0.379,10)</f>
        <v>-0.379</v>
      </c>
      <c r="FR35" s="7">
        <f>ROUND(-0.379,10)</f>
        <v>-0.379</v>
      </c>
      <c r="FS35" s="7">
        <f>ROUND(-0.378,10)</f>
        <v>-0.378</v>
      </c>
      <c r="FT35" s="7">
        <f>ROUND(-0.379,10)</f>
        <v>-0.379</v>
      </c>
      <c r="FU35" s="7">
        <f>ROUND(-0.379,10)</f>
        <v>-0.379</v>
      </c>
      <c r="FV35" s="7">
        <f>ROUND(-0.379,10)</f>
        <v>-0.379</v>
      </c>
      <c r="FW35" s="7">
        <f>ROUND(-0.379,10)</f>
        <v>-0.379</v>
      </c>
      <c r="FX35" s="7">
        <f>ROUND(-0.38,10)</f>
        <v>-0.38</v>
      </c>
      <c r="FY35" s="7">
        <f>ROUND(-0.38,10)</f>
        <v>-0.38</v>
      </c>
      <c r="FZ35" s="7">
        <f>ROUND(-0.379,10)</f>
        <v>-0.379</v>
      </c>
      <c r="GA35" s="7">
        <f>ROUND(-0.38,10)</f>
        <v>-0.38</v>
      </c>
      <c r="GB35" s="7">
        <f>ROUND(-0.378,10)</f>
        <v>-0.378</v>
      </c>
      <c r="GC35" s="7">
        <f>ROUND(-0.379,10)</f>
        <v>-0.379</v>
      </c>
      <c r="GD35" s="7">
        <f>ROUND(-0.379,10)</f>
        <v>-0.379</v>
      </c>
      <c r="GE35" s="7">
        <f>ROUND(-0.38,10)</f>
        <v>-0.38</v>
      </c>
      <c r="GF35" s="7">
        <f>ROUND(-0.38,10)</f>
        <v>-0.38</v>
      </c>
      <c r="GG35" s="7">
        <f>ROUND(-0.379,10)</f>
        <v>-0.379</v>
      </c>
      <c r="GH35" s="7">
        <f>ROUND(-0.379,10)</f>
        <v>-0.379</v>
      </c>
      <c r="GI35" s="7">
        <f>ROUND(-0.379,10)</f>
        <v>-0.379</v>
      </c>
      <c r="GJ35" s="7">
        <f>ROUND(-0.382,10)</f>
        <v>-0.38200000000000001</v>
      </c>
      <c r="GK35" s="7">
        <f>ROUND(-0.381,10)</f>
        <v>-0.38100000000000001</v>
      </c>
      <c r="GL35" s="7">
        <f>ROUND(-0.38,10)</f>
        <v>-0.38</v>
      </c>
      <c r="GM35" s="7">
        <f>ROUND(-0.38,10)</f>
        <v>-0.38</v>
      </c>
      <c r="GN35" s="7">
        <f>ROUND(-0.38,10)</f>
        <v>-0.38</v>
      </c>
      <c r="GO35" s="7">
        <f>ROUND(-0.38,10)</f>
        <v>-0.38</v>
      </c>
      <c r="GP35" s="7">
        <f>ROUND(-0.379,10)</f>
        <v>-0.379</v>
      </c>
      <c r="GQ35" s="7">
        <f>ROUND(-0.379,10)</f>
        <v>-0.379</v>
      </c>
      <c r="GR35" s="7">
        <f>ROUND(-0.379,10)</f>
        <v>-0.379</v>
      </c>
      <c r="GS35" s="7">
        <f>ROUND(-0.38,10)</f>
        <v>-0.38</v>
      </c>
      <c r="GT35" s="7">
        <f>ROUND(-0.381,10)</f>
        <v>-0.38100000000000001</v>
      </c>
      <c r="GU35" s="7">
        <f>ROUND(-0.381,10)</f>
        <v>-0.38100000000000001</v>
      </c>
      <c r="GV35" s="7">
        <f>ROUND(-0.381,10)</f>
        <v>-0.38100000000000001</v>
      </c>
      <c r="GW35" s="7">
        <f>ROUND(-0.38,10)</f>
        <v>-0.38</v>
      </c>
      <c r="GX35" s="7">
        <f>ROUND(-0.381,10)</f>
        <v>-0.38100000000000001</v>
      </c>
      <c r="GY35" s="7">
        <f>ROUND(-0.381,10)</f>
        <v>-0.38100000000000001</v>
      </c>
      <c r="GZ35" s="7">
        <f t="shared" ref="GZ35:HL35" si="44">ROUND(-0.379,10)</f>
        <v>-0.379</v>
      </c>
      <c r="HA35" s="7">
        <f t="shared" si="44"/>
        <v>-0.379</v>
      </c>
      <c r="HB35" s="7">
        <f t="shared" si="44"/>
        <v>-0.379</v>
      </c>
      <c r="HC35" s="7">
        <f t="shared" si="44"/>
        <v>-0.379</v>
      </c>
      <c r="HD35" s="7">
        <f t="shared" si="44"/>
        <v>-0.379</v>
      </c>
      <c r="HE35" s="7">
        <f t="shared" si="44"/>
        <v>-0.379</v>
      </c>
      <c r="HF35" s="7">
        <f t="shared" si="44"/>
        <v>-0.379</v>
      </c>
      <c r="HG35" s="7">
        <f t="shared" si="44"/>
        <v>-0.379</v>
      </c>
      <c r="HH35" s="7">
        <f t="shared" si="44"/>
        <v>-0.379</v>
      </c>
      <c r="HI35" s="7">
        <f t="shared" si="44"/>
        <v>-0.379</v>
      </c>
      <c r="HJ35" s="7">
        <f t="shared" si="44"/>
        <v>-0.379</v>
      </c>
      <c r="HK35" s="7">
        <f t="shared" si="44"/>
        <v>-0.379</v>
      </c>
      <c r="HL35" s="7">
        <f t="shared" si="44"/>
        <v>-0.379</v>
      </c>
      <c r="HM35" s="7">
        <f>ROUND(-0.38,10)</f>
        <v>-0.38</v>
      </c>
      <c r="HN35" s="7">
        <f>ROUND(-0.38,10)</f>
        <v>-0.38</v>
      </c>
      <c r="HO35" s="7">
        <f>ROUND(-0.379,10)</f>
        <v>-0.379</v>
      </c>
      <c r="HP35" s="7">
        <f>ROUND(-0.379,10)</f>
        <v>-0.379</v>
      </c>
      <c r="HQ35" s="7">
        <f>ROUND(-0.379,10)</f>
        <v>-0.379</v>
      </c>
      <c r="HR35" s="7">
        <f>ROUND(-0.38,10)</f>
        <v>-0.38</v>
      </c>
      <c r="HS35" s="7">
        <f>ROUND(-0.38,10)</f>
        <v>-0.38</v>
      </c>
      <c r="HT35" s="7">
        <f>ROUND(-0.379,10)</f>
        <v>-0.379</v>
      </c>
      <c r="HU35" s="7">
        <f>ROUND(-0.379,10)</f>
        <v>-0.379</v>
      </c>
      <c r="HV35" s="7">
        <f>ROUND(-0.379,10)</f>
        <v>-0.379</v>
      </c>
      <c r="HW35" s="7">
        <f>ROUND(-0.378,10)</f>
        <v>-0.378</v>
      </c>
      <c r="HX35" s="7">
        <f>ROUND(-0.381,10)</f>
        <v>-0.38100000000000001</v>
      </c>
      <c r="HY35" s="7">
        <f>ROUND(-0.381,10)</f>
        <v>-0.38100000000000001</v>
      </c>
      <c r="HZ35" s="7">
        <f>ROUND(-0.38,10)</f>
        <v>-0.38</v>
      </c>
      <c r="IA35" s="7">
        <f>ROUND(-0.379,10)</f>
        <v>-0.379</v>
      </c>
      <c r="IB35" s="7">
        <f>ROUND(-0.38,10)</f>
        <v>-0.38</v>
      </c>
      <c r="IC35" s="7">
        <f>ROUND(-0.379,10)</f>
        <v>-0.379</v>
      </c>
      <c r="ID35" s="7">
        <f>ROUND(-0.376,10)</f>
        <v>-0.376</v>
      </c>
      <c r="IE35" s="7">
        <f>ROUND(-0.374,10)</f>
        <v>-0.374</v>
      </c>
      <c r="IF35" s="7">
        <f>ROUND(-0.374,10)</f>
        <v>-0.374</v>
      </c>
      <c r="IG35" s="7">
        <f>ROUND(-0.374,10)</f>
        <v>-0.374</v>
      </c>
      <c r="IH35" s="7">
        <f>ROUND(-0.375,10)</f>
        <v>-0.375</v>
      </c>
      <c r="II35" s="7">
        <f>ROUND(-0.377,10)</f>
        <v>-0.377</v>
      </c>
      <c r="IJ35" s="7">
        <f>ROUND(-0.379,10)</f>
        <v>-0.379</v>
      </c>
      <c r="IK35" s="7">
        <f>ROUND(-0.377,10)</f>
        <v>-0.377</v>
      </c>
      <c r="IL35" s="7">
        <f>ROUND(-0.379,10)</f>
        <v>-0.379</v>
      </c>
      <c r="IM35" s="7">
        <f>ROUND(-0.379,10)</f>
        <v>-0.379</v>
      </c>
      <c r="IN35" s="7">
        <f>ROUND(-0.379,10)</f>
        <v>-0.379</v>
      </c>
      <c r="IO35" s="7">
        <f>ROUND(-0.378,10)</f>
        <v>-0.378</v>
      </c>
      <c r="IP35" s="7">
        <f>ROUND(-0.378,10)</f>
        <v>-0.378</v>
      </c>
      <c r="IQ35" s="7">
        <f>ROUND(-0.378,10)</f>
        <v>-0.378</v>
      </c>
      <c r="IR35" s="7">
        <f>ROUND(-0.376,10)</f>
        <v>-0.376</v>
      </c>
      <c r="IS35" s="7">
        <f>ROUND(-0.376,10)</f>
        <v>-0.376</v>
      </c>
      <c r="IT35" s="7">
        <f>ROUND(-0.377,10)</f>
        <v>-0.377</v>
      </c>
      <c r="IU35" s="7">
        <f>ROUND(-0.377,10)</f>
        <v>-0.377</v>
      </c>
      <c r="IV35" s="7">
        <f>ROUND(-0.378,10)</f>
        <v>-0.378</v>
      </c>
    </row>
    <row r="36" spans="1:256">
      <c r="A36" s="6" t="s">
        <v>36</v>
      </c>
      <c r="B36" s="7">
        <f>ROUND(-0.374,10)</f>
        <v>-0.374</v>
      </c>
      <c r="C36" s="7">
        <f>ROUND(-0.374,10)</f>
        <v>-0.374</v>
      </c>
      <c r="D36" s="7">
        <f>ROUND(-0.373,10)</f>
        <v>-0.373</v>
      </c>
      <c r="E36" s="7">
        <f>ROUND(-0.374,10)</f>
        <v>-0.374</v>
      </c>
      <c r="F36" s="7">
        <f>ROUND(-0.374,10)</f>
        <v>-0.374</v>
      </c>
      <c r="G36" s="7">
        <f>ROUND(-0.374,10)</f>
        <v>-0.374</v>
      </c>
      <c r="H36" s="7">
        <f>ROUND(-0.373,10)</f>
        <v>-0.373</v>
      </c>
      <c r="I36" s="7">
        <f>ROUND(-0.373,10)</f>
        <v>-0.373</v>
      </c>
      <c r="J36" s="7">
        <f>ROUND(-0.373,10)</f>
        <v>-0.373</v>
      </c>
      <c r="K36" s="7">
        <f>ROUND(-0.373,10)</f>
        <v>-0.373</v>
      </c>
      <c r="L36" s="7">
        <f t="shared" ref="L36:T37" si="45">ROUND(-0.372,10)</f>
        <v>-0.372</v>
      </c>
      <c r="M36" s="7">
        <f t="shared" si="45"/>
        <v>-0.372</v>
      </c>
      <c r="N36" s="7">
        <f t="shared" si="45"/>
        <v>-0.372</v>
      </c>
      <c r="O36" s="7">
        <f t="shared" si="45"/>
        <v>-0.372</v>
      </c>
      <c r="P36" s="7">
        <f t="shared" si="45"/>
        <v>-0.372</v>
      </c>
      <c r="Q36" s="7">
        <f t="shared" si="45"/>
        <v>-0.372</v>
      </c>
      <c r="R36" s="7">
        <f t="shared" si="45"/>
        <v>-0.372</v>
      </c>
      <c r="S36" s="7">
        <f t="shared" si="45"/>
        <v>-0.372</v>
      </c>
      <c r="T36" s="7">
        <f t="shared" si="45"/>
        <v>-0.372</v>
      </c>
      <c r="U36" s="7">
        <f>ROUND(-0.374,10)</f>
        <v>-0.374</v>
      </c>
      <c r="V36" s="7">
        <f>ROUND(-0.374,10)</f>
        <v>-0.374</v>
      </c>
      <c r="W36" s="7">
        <f>ROUND(-0.374,10)</f>
        <v>-0.374</v>
      </c>
      <c r="X36" s="7">
        <f>ROUND(-0.375,10)</f>
        <v>-0.375</v>
      </c>
      <c r="Y36" s="7">
        <f>ROUND(-0.375,10)</f>
        <v>-0.375</v>
      </c>
      <c r="Z36" s="7">
        <f>ROUND(-0.374,10)</f>
        <v>-0.374</v>
      </c>
      <c r="AA36" s="7">
        <f t="shared" ref="AA36:AG36" si="46">ROUND(-0.372,10)</f>
        <v>-0.372</v>
      </c>
      <c r="AB36" s="7">
        <f t="shared" si="46"/>
        <v>-0.372</v>
      </c>
      <c r="AC36" s="7">
        <f t="shared" si="46"/>
        <v>-0.372</v>
      </c>
      <c r="AD36" s="7">
        <f t="shared" si="46"/>
        <v>-0.372</v>
      </c>
      <c r="AE36" s="7">
        <f t="shared" si="46"/>
        <v>-0.372</v>
      </c>
      <c r="AF36" s="7">
        <f t="shared" si="46"/>
        <v>-0.372</v>
      </c>
      <c r="AG36" s="7">
        <f t="shared" si="46"/>
        <v>-0.372</v>
      </c>
      <c r="AH36" s="7">
        <f>ROUND(-0.373,10)</f>
        <v>-0.373</v>
      </c>
      <c r="AI36" s="7">
        <f>ROUND(-0.372,10)</f>
        <v>-0.372</v>
      </c>
      <c r="AJ36" s="7">
        <f>ROUND(-0.373,10)</f>
        <v>-0.373</v>
      </c>
      <c r="AK36" s="7">
        <f>ROUND(-0.372,10)</f>
        <v>-0.372</v>
      </c>
      <c r="AL36" s="7">
        <f>ROUND(-0.372,10)</f>
        <v>-0.372</v>
      </c>
      <c r="AM36" s="7">
        <f>ROUND(-0.372,10)</f>
        <v>-0.372</v>
      </c>
      <c r="AN36" s="7">
        <f t="shared" ref="AN36:AQ37" si="47">ROUND(-0.371,10)</f>
        <v>-0.371</v>
      </c>
      <c r="AO36" s="7">
        <f t="shared" si="47"/>
        <v>-0.371</v>
      </c>
      <c r="AP36" s="7">
        <f t="shared" si="47"/>
        <v>-0.371</v>
      </c>
      <c r="AQ36" s="7">
        <f t="shared" si="47"/>
        <v>-0.371</v>
      </c>
      <c r="AR36" s="7">
        <f t="shared" ref="AR36:BB36" si="48">ROUND(-0.372,10)</f>
        <v>-0.372</v>
      </c>
      <c r="AS36" s="7">
        <f t="shared" si="48"/>
        <v>-0.372</v>
      </c>
      <c r="AT36" s="7">
        <f t="shared" si="48"/>
        <v>-0.372</v>
      </c>
      <c r="AU36" s="7">
        <f t="shared" si="48"/>
        <v>-0.372</v>
      </c>
      <c r="AV36" s="7">
        <f t="shared" si="48"/>
        <v>-0.372</v>
      </c>
      <c r="AW36" s="7">
        <f t="shared" si="48"/>
        <v>-0.372</v>
      </c>
      <c r="AX36" s="7">
        <f t="shared" si="48"/>
        <v>-0.372</v>
      </c>
      <c r="AY36" s="7">
        <f t="shared" si="48"/>
        <v>-0.372</v>
      </c>
      <c r="AZ36" s="7">
        <f t="shared" si="48"/>
        <v>-0.372</v>
      </c>
      <c r="BA36" s="7">
        <f t="shared" si="48"/>
        <v>-0.372</v>
      </c>
      <c r="BB36" s="7">
        <f t="shared" si="48"/>
        <v>-0.372</v>
      </c>
      <c r="BC36" s="7">
        <f t="shared" ref="BC36:BE37" si="49">ROUND(-0.371,10)</f>
        <v>-0.371</v>
      </c>
      <c r="BD36" s="7">
        <f t="shared" si="49"/>
        <v>-0.371</v>
      </c>
      <c r="BE36" s="7">
        <f t="shared" si="49"/>
        <v>-0.371</v>
      </c>
      <c r="BF36" s="7">
        <f>ROUND(-0.372,10)</f>
        <v>-0.372</v>
      </c>
      <c r="BG36" s="7">
        <f>ROUND(-0.371,10)</f>
        <v>-0.371</v>
      </c>
      <c r="BH36" s="7">
        <f>ROUND(-0.371,10)</f>
        <v>-0.371</v>
      </c>
      <c r="BI36" s="7">
        <f>ROUND(-0.371,10)</f>
        <v>-0.371</v>
      </c>
      <c r="BJ36" s="7">
        <f>ROUND(-0.371,10)</f>
        <v>-0.371</v>
      </c>
      <c r="BK36" s="7">
        <f>ROUND(-0.371,10)</f>
        <v>-0.371</v>
      </c>
      <c r="BL36" s="7">
        <f>ROUND(-0.372,10)</f>
        <v>-0.372</v>
      </c>
      <c r="BM36" s="7">
        <f>ROUND(-0.373,10)</f>
        <v>-0.373</v>
      </c>
      <c r="BN36" s="7">
        <f t="shared" ref="BN36:BT36" si="50">ROUND(-0.372,10)</f>
        <v>-0.372</v>
      </c>
      <c r="BO36" s="7">
        <f t="shared" si="50"/>
        <v>-0.372</v>
      </c>
      <c r="BP36" s="7">
        <f t="shared" si="50"/>
        <v>-0.372</v>
      </c>
      <c r="BQ36" s="7">
        <f t="shared" si="50"/>
        <v>-0.372</v>
      </c>
      <c r="BR36" s="7">
        <f t="shared" si="50"/>
        <v>-0.372</v>
      </c>
      <c r="BS36" s="7">
        <f t="shared" si="50"/>
        <v>-0.372</v>
      </c>
      <c r="BT36" s="7">
        <f t="shared" si="50"/>
        <v>-0.372</v>
      </c>
      <c r="BU36" s="7">
        <f>ROUND(-0.373,10)</f>
        <v>-0.373</v>
      </c>
      <c r="BV36" s="7">
        <f>ROUND(-0.372,10)</f>
        <v>-0.372</v>
      </c>
      <c r="BW36" s="7">
        <f>ROUND(-0.373,10)</f>
        <v>-0.373</v>
      </c>
      <c r="BX36" s="7">
        <f t="shared" ref="BX36:CC36" si="51">ROUND(-0.372,10)</f>
        <v>-0.372</v>
      </c>
      <c r="BY36" s="7">
        <f t="shared" si="51"/>
        <v>-0.372</v>
      </c>
      <c r="BZ36" s="7">
        <f t="shared" si="51"/>
        <v>-0.372</v>
      </c>
      <c r="CA36" s="7">
        <f t="shared" si="51"/>
        <v>-0.372</v>
      </c>
      <c r="CB36" s="7">
        <f t="shared" si="51"/>
        <v>-0.372</v>
      </c>
      <c r="CC36" s="7">
        <f t="shared" si="51"/>
        <v>-0.372</v>
      </c>
      <c r="CD36" s="7">
        <f>ROUND(-0.373,10)</f>
        <v>-0.373</v>
      </c>
      <c r="CE36" s="7">
        <f>ROUND(-0.372,10)</f>
        <v>-0.372</v>
      </c>
      <c r="CF36" s="7">
        <f>ROUND(-0.372,10)</f>
        <v>-0.372</v>
      </c>
      <c r="CG36" s="7">
        <f>ROUND(-0.374,10)</f>
        <v>-0.374</v>
      </c>
      <c r="CH36" s="7">
        <f>ROUND(-0.374,10)</f>
        <v>-0.374</v>
      </c>
      <c r="CI36" s="7">
        <f>ROUND(-0.373,10)</f>
        <v>-0.373</v>
      </c>
      <c r="CJ36" s="7">
        <f>ROUND(-0.373,10)</f>
        <v>-0.373</v>
      </c>
      <c r="CK36" s="7">
        <f>ROUND(-0.371,10)</f>
        <v>-0.371</v>
      </c>
      <c r="CL36" s="7">
        <f>ROUND(-0.373,10)</f>
        <v>-0.373</v>
      </c>
      <c r="CM36" s="7">
        <f>ROUND(-0.372,10)</f>
        <v>-0.372</v>
      </c>
      <c r="CN36" s="7">
        <f>ROUND(-0.372,10)</f>
        <v>-0.372</v>
      </c>
      <c r="CO36" s="7">
        <f>ROUND(-0.371,10)</f>
        <v>-0.371</v>
      </c>
      <c r="CP36" s="7">
        <f>ROUND(-0.373,10)</f>
        <v>-0.373</v>
      </c>
      <c r="CQ36" s="7">
        <f>ROUND(-0.371,10)</f>
        <v>-0.371</v>
      </c>
      <c r="CR36" s="7">
        <f>ROUND(-0.374,10)</f>
        <v>-0.374</v>
      </c>
      <c r="CS36" s="7">
        <f>ROUND(-0.374,10)</f>
        <v>-0.374</v>
      </c>
      <c r="CT36" s="7">
        <f>ROUND(-0.374,10)</f>
        <v>-0.374</v>
      </c>
      <c r="CU36" s="7">
        <f>ROUND(-0.374,10)</f>
        <v>-0.374</v>
      </c>
      <c r="CV36" s="7">
        <f>ROUND(-0.374,10)</f>
        <v>-0.374</v>
      </c>
      <c r="CW36" s="7">
        <f>ROUND(-0.373,10)</f>
        <v>-0.373</v>
      </c>
      <c r="CX36" s="7">
        <f>ROUND(-0.374,10)</f>
        <v>-0.374</v>
      </c>
      <c r="CY36" s="7">
        <f>ROUND(-0.373,10)</f>
        <v>-0.373</v>
      </c>
      <c r="CZ36" s="7">
        <f>ROUND(-0.373,10)</f>
        <v>-0.373</v>
      </c>
      <c r="DA36" s="7">
        <f>ROUND(-0.372,10)</f>
        <v>-0.372</v>
      </c>
      <c r="DB36" s="7">
        <f>ROUND(-0.372,10)</f>
        <v>-0.372</v>
      </c>
      <c r="DC36" s="7">
        <f>ROUND(-0.372,10)</f>
        <v>-0.372</v>
      </c>
      <c r="DD36" s="7">
        <f>ROUND(-0.372,10)</f>
        <v>-0.372</v>
      </c>
      <c r="DE36" s="7">
        <f>ROUND(-0.371,10)</f>
        <v>-0.371</v>
      </c>
      <c r="DF36" s="7">
        <f>ROUND(-0.373,10)</f>
        <v>-0.373</v>
      </c>
      <c r="DG36" s="7">
        <f>ROUND(-0.372,10)</f>
        <v>-0.372</v>
      </c>
      <c r="DH36" s="7">
        <f>ROUND(-0.372,10)</f>
        <v>-0.372</v>
      </c>
      <c r="DI36" s="7">
        <f>ROUND(-0.372,10)</f>
        <v>-0.372</v>
      </c>
      <c r="DJ36" s="7">
        <f>ROUND(-0.372,10)</f>
        <v>-0.372</v>
      </c>
      <c r="DK36" s="7">
        <f>ROUND(-0.372,10)</f>
        <v>-0.372</v>
      </c>
      <c r="DL36" s="7">
        <f>ROUND(-0.374,10)</f>
        <v>-0.374</v>
      </c>
      <c r="DM36" s="7">
        <f>ROUND(-0.372,10)</f>
        <v>-0.372</v>
      </c>
      <c r="DN36" s="7">
        <f>ROUND(-0.372,10)</f>
        <v>-0.372</v>
      </c>
      <c r="DO36" s="7">
        <f>ROUND(-0.373,10)</f>
        <v>-0.373</v>
      </c>
      <c r="DP36" s="7">
        <f>ROUND(-0.371,10)</f>
        <v>-0.371</v>
      </c>
      <c r="DQ36" s="7">
        <f>ROUND(-0.373,10)</f>
        <v>-0.373</v>
      </c>
      <c r="DR36" s="7">
        <f>ROUND(-0.372,10)</f>
        <v>-0.372</v>
      </c>
      <c r="DS36" s="7">
        <f>ROUND(-0.374,10)</f>
        <v>-0.374</v>
      </c>
      <c r="DT36" s="7">
        <f>ROUND(-0.374,10)</f>
        <v>-0.374</v>
      </c>
      <c r="DU36" s="7">
        <f>ROUND(-0.374,10)</f>
        <v>-0.374</v>
      </c>
      <c r="DV36" s="7">
        <f>ROUND(-0.374,10)</f>
        <v>-0.374</v>
      </c>
      <c r="DW36" s="7">
        <f t="shared" ref="DW36:DY37" si="52">ROUND(-0.373,10)</f>
        <v>-0.373</v>
      </c>
      <c r="DX36" s="7">
        <f t="shared" si="52"/>
        <v>-0.373</v>
      </c>
      <c r="DY36" s="7">
        <f t="shared" si="52"/>
        <v>-0.373</v>
      </c>
      <c r="DZ36" s="7">
        <f>ROUND(-0.374,10)</f>
        <v>-0.374</v>
      </c>
      <c r="EA36" s="7">
        <f>ROUND(-0.375,10)</f>
        <v>-0.375</v>
      </c>
      <c r="EB36" s="7">
        <f t="shared" ref="EB36:EG36" si="53">ROUND(-0.376,10)</f>
        <v>-0.376</v>
      </c>
      <c r="EC36" s="7">
        <f t="shared" si="53"/>
        <v>-0.376</v>
      </c>
      <c r="ED36" s="7">
        <f t="shared" si="53"/>
        <v>-0.376</v>
      </c>
      <c r="EE36" s="7">
        <f t="shared" si="53"/>
        <v>-0.376</v>
      </c>
      <c r="EF36" s="7">
        <f t="shared" si="53"/>
        <v>-0.376</v>
      </c>
      <c r="EG36" s="7">
        <f t="shared" si="53"/>
        <v>-0.376</v>
      </c>
      <c r="EH36" s="7">
        <f>ROUND(-0.375,10)</f>
        <v>-0.375</v>
      </c>
      <c r="EI36" s="7">
        <f>ROUND(-0.376,10)</f>
        <v>-0.376</v>
      </c>
      <c r="EJ36" s="7">
        <f>ROUND(-0.376,10)</f>
        <v>-0.376</v>
      </c>
      <c r="EK36" s="7">
        <f>ROUND(-0.376,10)</f>
        <v>-0.376</v>
      </c>
      <c r="EL36" s="7">
        <f>ROUND(-0.376,10)</f>
        <v>-0.376</v>
      </c>
      <c r="EM36" s="7">
        <f>ROUND(-0.376,10)</f>
        <v>-0.376</v>
      </c>
      <c r="EN36" s="7">
        <f>ROUND(-0.378,10)</f>
        <v>-0.378</v>
      </c>
      <c r="EO36" s="7">
        <f>ROUND(-0.377,10)</f>
        <v>-0.377</v>
      </c>
      <c r="EP36" s="7">
        <f>ROUND(-0.377,10)</f>
        <v>-0.377</v>
      </c>
      <c r="EQ36" s="7">
        <f>ROUND(-0.379,10)</f>
        <v>-0.379</v>
      </c>
      <c r="ER36" s="7">
        <f>ROUND(-0.378,10)</f>
        <v>-0.378</v>
      </c>
      <c r="ES36" s="7">
        <f>ROUND(-0.377,10)</f>
        <v>-0.377</v>
      </c>
      <c r="ET36" s="7">
        <f>ROUND(-0.378,10)</f>
        <v>-0.378</v>
      </c>
      <c r="EU36" s="7">
        <f>ROUND(-0.376,10)</f>
        <v>-0.376</v>
      </c>
      <c r="EV36" s="7">
        <f>ROUND(-0.376,10)</f>
        <v>-0.376</v>
      </c>
      <c r="EW36" s="7">
        <f>ROUND(-0.376,10)</f>
        <v>-0.376</v>
      </c>
      <c r="EX36" s="7">
        <f>ROUND(-0.377,10)</f>
        <v>-0.377</v>
      </c>
      <c r="EY36" s="7">
        <f>ROUND(-0.377,10)</f>
        <v>-0.377</v>
      </c>
      <c r="EZ36" s="7">
        <f>ROUND(-0.377,10)</f>
        <v>-0.377</v>
      </c>
      <c r="FA36" s="7">
        <f>ROUND(-0.376,10)</f>
        <v>-0.376</v>
      </c>
      <c r="FB36" s="7">
        <f>ROUND(-0.376,10)</f>
        <v>-0.376</v>
      </c>
      <c r="FC36" s="7">
        <f>ROUND(-0.376,10)</f>
        <v>-0.376</v>
      </c>
      <c r="FD36" s="7">
        <f>ROUND(-0.376,10)</f>
        <v>-0.376</v>
      </c>
      <c r="FE36" s="7">
        <f>ROUND(-0.376,10)</f>
        <v>-0.376</v>
      </c>
      <c r="FF36" s="7">
        <f>ROUND(-0.375,10)</f>
        <v>-0.375</v>
      </c>
      <c r="FG36" s="7">
        <f t="shared" ref="FG36:FL36" si="54">ROUND(-0.376,10)</f>
        <v>-0.376</v>
      </c>
      <c r="FH36" s="7">
        <f t="shared" si="54"/>
        <v>-0.376</v>
      </c>
      <c r="FI36" s="7">
        <f t="shared" si="54"/>
        <v>-0.376</v>
      </c>
      <c r="FJ36" s="7">
        <f t="shared" si="54"/>
        <v>-0.376</v>
      </c>
      <c r="FK36" s="7">
        <f t="shared" si="54"/>
        <v>-0.376</v>
      </c>
      <c r="FL36" s="7">
        <f t="shared" si="54"/>
        <v>-0.376</v>
      </c>
      <c r="FM36" s="7">
        <f>ROUND(-0.378,10)</f>
        <v>-0.378</v>
      </c>
      <c r="FN36" s="7">
        <f>ROUND(-0.379,10)</f>
        <v>-0.379</v>
      </c>
      <c r="FO36" s="7">
        <f>ROUND(-0.377,10)</f>
        <v>-0.377</v>
      </c>
      <c r="FP36" s="7">
        <f>ROUND(-0.377,10)</f>
        <v>-0.377</v>
      </c>
      <c r="FQ36" s="7">
        <f>ROUND(-0.377,10)</f>
        <v>-0.377</v>
      </c>
      <c r="FR36" s="7">
        <f>ROUND(-0.377,10)</f>
        <v>-0.377</v>
      </c>
      <c r="FS36" s="7">
        <f>ROUND(-0.376,10)</f>
        <v>-0.376</v>
      </c>
      <c r="FT36" s="7">
        <f>ROUND(-0.376,10)</f>
        <v>-0.376</v>
      </c>
      <c r="FU36" s="7">
        <f>ROUND(-0.377,10)</f>
        <v>-0.377</v>
      </c>
      <c r="FV36" s="7">
        <f>ROUND(-0.379,10)</f>
        <v>-0.379</v>
      </c>
      <c r="FW36" s="7">
        <f>ROUND(-0.378,10)</f>
        <v>-0.378</v>
      </c>
      <c r="FX36" s="7">
        <f>ROUND(-0.379,10)</f>
        <v>-0.379</v>
      </c>
      <c r="FY36" s="7">
        <f>ROUND(-0.378,10)</f>
        <v>-0.378</v>
      </c>
      <c r="FZ36" s="7">
        <f>ROUND(-0.376,10)</f>
        <v>-0.376</v>
      </c>
      <c r="GA36" s="7">
        <f>ROUND(-0.377,10)</f>
        <v>-0.377</v>
      </c>
      <c r="GB36" s="7">
        <f>ROUND(-0.378,10)</f>
        <v>-0.378</v>
      </c>
      <c r="GC36" s="7">
        <f>ROUND(-0.377,10)</f>
        <v>-0.377</v>
      </c>
      <c r="GD36" s="7">
        <f>ROUND(-0.378,10)</f>
        <v>-0.378</v>
      </c>
      <c r="GE36" s="7">
        <f>ROUND(-0.378,10)</f>
        <v>-0.378</v>
      </c>
      <c r="GF36" s="7">
        <f>ROUND(-0.378,10)</f>
        <v>-0.378</v>
      </c>
      <c r="GG36" s="7">
        <f>ROUND(-0.377,10)</f>
        <v>-0.377</v>
      </c>
      <c r="GH36" s="7">
        <f>ROUND(-0.378,10)</f>
        <v>-0.378</v>
      </c>
      <c r="GI36" s="7">
        <f>ROUND(-0.376,10)</f>
        <v>-0.376</v>
      </c>
      <c r="GJ36" s="7">
        <f>ROUND(-0.377,10)</f>
        <v>-0.377</v>
      </c>
      <c r="GK36" s="7">
        <f>ROUND(-0.377,10)</f>
        <v>-0.377</v>
      </c>
      <c r="GL36" s="7">
        <f>ROUND(-0.376,10)</f>
        <v>-0.376</v>
      </c>
      <c r="GM36" s="7">
        <f t="shared" ref="GM36:GR36" si="55">ROUND(-0.377,10)</f>
        <v>-0.377</v>
      </c>
      <c r="GN36" s="7">
        <f t="shared" si="55"/>
        <v>-0.377</v>
      </c>
      <c r="GO36" s="7">
        <f t="shared" si="55"/>
        <v>-0.377</v>
      </c>
      <c r="GP36" s="7">
        <f t="shared" si="55"/>
        <v>-0.377</v>
      </c>
      <c r="GQ36" s="7">
        <f t="shared" si="55"/>
        <v>-0.377</v>
      </c>
      <c r="GR36" s="7">
        <f t="shared" si="55"/>
        <v>-0.377</v>
      </c>
      <c r="GS36" s="7">
        <f>ROUND(-0.378,10)</f>
        <v>-0.378</v>
      </c>
      <c r="GT36" s="7">
        <f>ROUND(-0.378,10)</f>
        <v>-0.378</v>
      </c>
      <c r="GU36" s="7">
        <f>ROUND(-0.377,10)</f>
        <v>-0.377</v>
      </c>
      <c r="GV36" s="7">
        <f>ROUND(-0.377,10)</f>
        <v>-0.377</v>
      </c>
      <c r="GW36" s="7">
        <f>ROUND(-0.377,10)</f>
        <v>-0.377</v>
      </c>
      <c r="GX36" s="7">
        <f>ROUND(-0.377,10)</f>
        <v>-0.377</v>
      </c>
      <c r="GY36" s="7">
        <f t="shared" ref="GY36:HE36" si="56">ROUND(-0.376,10)</f>
        <v>-0.376</v>
      </c>
      <c r="GZ36" s="7">
        <f t="shared" si="56"/>
        <v>-0.376</v>
      </c>
      <c r="HA36" s="7">
        <f t="shared" si="56"/>
        <v>-0.376</v>
      </c>
      <c r="HB36" s="7">
        <f t="shared" si="56"/>
        <v>-0.376</v>
      </c>
      <c r="HC36" s="7">
        <f t="shared" si="56"/>
        <v>-0.376</v>
      </c>
      <c r="HD36" s="7">
        <f t="shared" si="56"/>
        <v>-0.376</v>
      </c>
      <c r="HE36" s="7">
        <f t="shared" si="56"/>
        <v>-0.376</v>
      </c>
      <c r="HF36" s="7">
        <f>ROUND(-0.377,10)</f>
        <v>-0.377</v>
      </c>
      <c r="HG36" s="7">
        <f t="shared" ref="HG36:HW36" si="57">ROUND(-0.376,10)</f>
        <v>-0.376</v>
      </c>
      <c r="HH36" s="7">
        <f t="shared" si="57"/>
        <v>-0.376</v>
      </c>
      <c r="HI36" s="7">
        <f t="shared" si="57"/>
        <v>-0.376</v>
      </c>
      <c r="HJ36" s="7">
        <f t="shared" si="57"/>
        <v>-0.376</v>
      </c>
      <c r="HK36" s="7">
        <f t="shared" si="57"/>
        <v>-0.376</v>
      </c>
      <c r="HL36" s="7">
        <f t="shared" si="57"/>
        <v>-0.376</v>
      </c>
      <c r="HM36" s="7">
        <f t="shared" si="57"/>
        <v>-0.376</v>
      </c>
      <c r="HN36" s="7">
        <f t="shared" si="57"/>
        <v>-0.376</v>
      </c>
      <c r="HO36" s="7">
        <f t="shared" si="57"/>
        <v>-0.376</v>
      </c>
      <c r="HP36" s="7">
        <f t="shared" si="57"/>
        <v>-0.376</v>
      </c>
      <c r="HQ36" s="7">
        <f t="shared" si="57"/>
        <v>-0.376</v>
      </c>
      <c r="HR36" s="7">
        <f t="shared" si="57"/>
        <v>-0.376</v>
      </c>
      <c r="HS36" s="7">
        <f t="shared" si="57"/>
        <v>-0.376</v>
      </c>
      <c r="HT36" s="7">
        <f t="shared" si="57"/>
        <v>-0.376</v>
      </c>
      <c r="HU36" s="7">
        <f t="shared" si="57"/>
        <v>-0.376</v>
      </c>
      <c r="HV36" s="7">
        <f t="shared" si="57"/>
        <v>-0.376</v>
      </c>
      <c r="HW36" s="7">
        <f t="shared" si="57"/>
        <v>-0.376</v>
      </c>
      <c r="HX36" s="7">
        <f>ROUND(-0.377,10)</f>
        <v>-0.377</v>
      </c>
      <c r="HY36" s="7">
        <f>ROUND(-0.376,10)</f>
        <v>-0.376</v>
      </c>
      <c r="HZ36" s="7">
        <f>ROUND(-0.376,10)</f>
        <v>-0.376</v>
      </c>
      <c r="IA36" s="7">
        <f>ROUND(-0.376,10)</f>
        <v>-0.376</v>
      </c>
      <c r="IB36" s="7">
        <f>ROUND(-0.376,10)</f>
        <v>-0.376</v>
      </c>
      <c r="IC36" s="7">
        <f>ROUND(-0.376,10)</f>
        <v>-0.376</v>
      </c>
      <c r="ID36" s="7">
        <f>ROUND(-0.373,10)</f>
        <v>-0.373</v>
      </c>
      <c r="IE36" s="7">
        <f>ROUND(-0.37,10)</f>
        <v>-0.37</v>
      </c>
      <c r="IF36" s="7">
        <f>ROUND(-0.371,10)</f>
        <v>-0.371</v>
      </c>
      <c r="IG36" s="7">
        <f>ROUND(-0.372,10)</f>
        <v>-0.372</v>
      </c>
      <c r="IH36" s="7">
        <f>ROUND(-0.37,10)</f>
        <v>-0.37</v>
      </c>
      <c r="II36" s="7">
        <f>ROUND(-0.371,10)</f>
        <v>-0.371</v>
      </c>
      <c r="IJ36" s="7">
        <f>ROUND(-0.371,10)</f>
        <v>-0.371</v>
      </c>
      <c r="IK36" s="7">
        <f>ROUND(-0.371,10)</f>
        <v>-0.371</v>
      </c>
      <c r="IL36" s="7">
        <f>ROUND(-0.374,10)</f>
        <v>-0.374</v>
      </c>
      <c r="IM36" s="7">
        <f>ROUND(-0.373,10)</f>
        <v>-0.373</v>
      </c>
      <c r="IN36" s="7">
        <f>ROUND(-0.371,10)</f>
        <v>-0.371</v>
      </c>
      <c r="IO36" s="7">
        <f>ROUND(-0.371,10)</f>
        <v>-0.371</v>
      </c>
      <c r="IP36" s="7">
        <f>ROUND(-0.371,10)</f>
        <v>-0.371</v>
      </c>
      <c r="IQ36" s="7">
        <f>ROUND(-0.37,10)</f>
        <v>-0.37</v>
      </c>
      <c r="IR36" s="7">
        <f>ROUND(-0.371,10)</f>
        <v>-0.371</v>
      </c>
      <c r="IS36" s="7">
        <f>ROUND(-0.371,10)</f>
        <v>-0.371</v>
      </c>
      <c r="IT36" s="7">
        <f>ROUND(-0.372,10)</f>
        <v>-0.372</v>
      </c>
      <c r="IU36" s="7">
        <f>ROUND(-0.374,10)</f>
        <v>-0.374</v>
      </c>
      <c r="IV36" s="7">
        <f>ROUND(-0.373,10)</f>
        <v>-0.373</v>
      </c>
    </row>
    <row r="37" spans="1:256">
      <c r="A37" s="6" t="s">
        <v>37</v>
      </c>
      <c r="B37" s="7">
        <f>ROUND(-0.368,10)</f>
        <v>-0.36799999999999999</v>
      </c>
      <c r="C37" s="7">
        <f>ROUND(-0.37,10)</f>
        <v>-0.37</v>
      </c>
      <c r="D37" s="7">
        <f>ROUND(-0.369,10)</f>
        <v>-0.36899999999999999</v>
      </c>
      <c r="E37" s="7">
        <f>ROUND(-0.369,10)</f>
        <v>-0.36899999999999999</v>
      </c>
      <c r="F37" s="7">
        <f>ROUND(-0.369,10)</f>
        <v>-0.36899999999999999</v>
      </c>
      <c r="G37" s="7">
        <f>ROUND(-0.371,10)</f>
        <v>-0.371</v>
      </c>
      <c r="H37" s="7">
        <f>ROUND(-0.372,10)</f>
        <v>-0.372</v>
      </c>
      <c r="I37" s="7">
        <f>ROUND(-0.372,10)</f>
        <v>-0.372</v>
      </c>
      <c r="J37" s="7">
        <f>ROUND(-0.372,10)</f>
        <v>-0.372</v>
      </c>
      <c r="K37" s="7">
        <f>ROUND(-0.372,10)</f>
        <v>-0.372</v>
      </c>
      <c r="L37" s="7">
        <f t="shared" si="45"/>
        <v>-0.372</v>
      </c>
      <c r="M37" s="7">
        <f t="shared" si="45"/>
        <v>-0.372</v>
      </c>
      <c r="N37" s="7">
        <f t="shared" si="45"/>
        <v>-0.372</v>
      </c>
      <c r="O37" s="7">
        <f t="shared" si="45"/>
        <v>-0.372</v>
      </c>
      <c r="P37" s="7">
        <f t="shared" si="45"/>
        <v>-0.372</v>
      </c>
      <c r="Q37" s="7">
        <f t="shared" si="45"/>
        <v>-0.372</v>
      </c>
      <c r="R37" s="7">
        <f t="shared" si="45"/>
        <v>-0.372</v>
      </c>
      <c r="S37" s="7">
        <f t="shared" si="45"/>
        <v>-0.372</v>
      </c>
      <c r="T37" s="7">
        <f t="shared" si="45"/>
        <v>-0.372</v>
      </c>
      <c r="U37" s="7">
        <f>ROUND(-0.372,10)</f>
        <v>-0.372</v>
      </c>
      <c r="V37" s="7">
        <f>ROUND(-0.372,10)</f>
        <v>-0.372</v>
      </c>
      <c r="W37" s="7">
        <f>ROUND(-0.372,10)</f>
        <v>-0.372</v>
      </c>
      <c r="X37" s="7">
        <f>ROUND(-0.372,10)</f>
        <v>-0.372</v>
      </c>
      <c r="Y37" s="7">
        <f>ROUND(-0.373,10)</f>
        <v>-0.373</v>
      </c>
      <c r="Z37" s="7">
        <f>ROUND(-0.373,10)</f>
        <v>-0.373</v>
      </c>
      <c r="AA37" s="7">
        <f>ROUND(-0.373,10)</f>
        <v>-0.373</v>
      </c>
      <c r="AB37" s="7">
        <f>ROUND(-0.373,10)</f>
        <v>-0.373</v>
      </c>
      <c r="AC37" s="7">
        <f>ROUND(-0.373,10)</f>
        <v>-0.373</v>
      </c>
      <c r="AD37" s="7">
        <f>ROUND(-0.371,10)</f>
        <v>-0.371</v>
      </c>
      <c r="AE37" s="7">
        <f>ROUND(-0.371,10)</f>
        <v>-0.371</v>
      </c>
      <c r="AF37" s="7">
        <f>ROUND(-0.373,10)</f>
        <v>-0.373</v>
      </c>
      <c r="AG37" s="7">
        <f>ROUND(-0.374,10)</f>
        <v>-0.374</v>
      </c>
      <c r="AH37" s="7">
        <f>ROUND(-0.373,10)</f>
        <v>-0.373</v>
      </c>
      <c r="AI37" s="7">
        <f>ROUND(-0.372,10)</f>
        <v>-0.372</v>
      </c>
      <c r="AJ37" s="7">
        <f>ROUND(-0.371,10)</f>
        <v>-0.371</v>
      </c>
      <c r="AK37" s="7">
        <f>ROUND(-0.369,10)</f>
        <v>-0.36899999999999999</v>
      </c>
      <c r="AL37" s="7">
        <f>ROUND(-0.37,10)</f>
        <v>-0.37</v>
      </c>
      <c r="AM37" s="7">
        <f>ROUND(-0.371,10)</f>
        <v>-0.371</v>
      </c>
      <c r="AN37" s="7">
        <f t="shared" si="47"/>
        <v>-0.371</v>
      </c>
      <c r="AO37" s="7">
        <f t="shared" si="47"/>
        <v>-0.371</v>
      </c>
      <c r="AP37" s="7">
        <f t="shared" si="47"/>
        <v>-0.371</v>
      </c>
      <c r="AQ37" s="7">
        <f t="shared" si="47"/>
        <v>-0.371</v>
      </c>
      <c r="AR37" s="7">
        <f>ROUND(-0.372,10)</f>
        <v>-0.372</v>
      </c>
      <c r="AS37" s="7">
        <f>ROUND(-0.372,10)</f>
        <v>-0.372</v>
      </c>
      <c r="AT37" s="7">
        <f>ROUND(-0.371,10)</f>
        <v>-0.371</v>
      </c>
      <c r="AU37" s="7">
        <f>ROUND(-0.374,10)</f>
        <v>-0.374</v>
      </c>
      <c r="AV37" s="7">
        <f>ROUND(-0.373,10)</f>
        <v>-0.373</v>
      </c>
      <c r="AW37" s="7">
        <f>ROUND(-0.373,10)</f>
        <v>-0.373</v>
      </c>
      <c r="AX37" s="7">
        <f>ROUND(-0.372,10)</f>
        <v>-0.372</v>
      </c>
      <c r="AY37" s="7">
        <f>ROUND(-0.372,10)</f>
        <v>-0.372</v>
      </c>
      <c r="AZ37" s="7">
        <f>ROUND(-0.372,10)</f>
        <v>-0.372</v>
      </c>
      <c r="BA37" s="7">
        <f>ROUND(-0.372,10)</f>
        <v>-0.372</v>
      </c>
      <c r="BB37" s="7">
        <f>ROUND(-0.371,10)</f>
        <v>-0.371</v>
      </c>
      <c r="BC37" s="7">
        <f t="shared" si="49"/>
        <v>-0.371</v>
      </c>
      <c r="BD37" s="7">
        <f t="shared" si="49"/>
        <v>-0.371</v>
      </c>
      <c r="BE37" s="7">
        <f t="shared" si="49"/>
        <v>-0.371</v>
      </c>
      <c r="BF37" s="7">
        <f>ROUND(-0.374,10)</f>
        <v>-0.374</v>
      </c>
      <c r="BG37" s="7">
        <f>ROUND(-0.373,10)</f>
        <v>-0.373</v>
      </c>
      <c r="BH37" s="7">
        <f>ROUND(-0.373,10)</f>
        <v>-0.373</v>
      </c>
      <c r="BI37" s="7">
        <f>ROUND(-0.372,10)</f>
        <v>-0.372</v>
      </c>
      <c r="BJ37" s="7">
        <f>ROUND(-0.374,10)</f>
        <v>-0.374</v>
      </c>
      <c r="BK37" s="7">
        <f>ROUND(-0.373,10)</f>
        <v>-0.373</v>
      </c>
      <c r="BL37" s="7">
        <f>ROUND(-0.373,10)</f>
        <v>-0.373</v>
      </c>
      <c r="BM37" s="7">
        <f>ROUND(-0.373,10)</f>
        <v>-0.373</v>
      </c>
      <c r="BN37" s="7">
        <f>ROUND(-0.373,10)</f>
        <v>-0.373</v>
      </c>
      <c r="BO37" s="7">
        <f>ROUND(-0.372,10)</f>
        <v>-0.372</v>
      </c>
      <c r="BP37" s="7">
        <f>ROUND(-0.372,10)</f>
        <v>-0.372</v>
      </c>
      <c r="BQ37" s="7">
        <f>ROUND(-0.373,10)</f>
        <v>-0.373</v>
      </c>
      <c r="BR37" s="7">
        <f>ROUND(-0.372,10)</f>
        <v>-0.372</v>
      </c>
      <c r="BS37" s="7">
        <f>ROUND(-0.373,10)</f>
        <v>-0.373</v>
      </c>
      <c r="BT37" s="7">
        <f>ROUND(-0.374,10)</f>
        <v>-0.374</v>
      </c>
      <c r="BU37" s="7">
        <f>ROUND(-0.375,10)</f>
        <v>-0.375</v>
      </c>
      <c r="BV37" s="7">
        <f>ROUND(-0.374,10)</f>
        <v>-0.374</v>
      </c>
      <c r="BW37" s="7">
        <f>ROUND(-0.372,10)</f>
        <v>-0.372</v>
      </c>
      <c r="BX37" s="7">
        <f>ROUND(-0.371,10)</f>
        <v>-0.371</v>
      </c>
      <c r="BY37" s="7">
        <f>ROUND(-0.371,10)</f>
        <v>-0.371</v>
      </c>
      <c r="BZ37" s="7">
        <f>ROUND(-0.372,10)</f>
        <v>-0.372</v>
      </c>
      <c r="CA37" s="7">
        <f>ROUND(-0.371,10)</f>
        <v>-0.371</v>
      </c>
      <c r="CB37" s="7">
        <f>ROUND(-0.371,10)</f>
        <v>-0.371</v>
      </c>
      <c r="CC37" s="7">
        <f>ROUND(-0.371,10)</f>
        <v>-0.371</v>
      </c>
      <c r="CD37" s="7">
        <f>ROUND(-0.373,10)</f>
        <v>-0.373</v>
      </c>
      <c r="CE37" s="7">
        <f>ROUND(-0.373,10)</f>
        <v>-0.373</v>
      </c>
      <c r="CF37" s="7">
        <f>ROUND(-0.374,10)</f>
        <v>-0.374</v>
      </c>
      <c r="CG37" s="7">
        <f>ROUND(-0.374,10)</f>
        <v>-0.374</v>
      </c>
      <c r="CH37" s="7">
        <f>ROUND(-0.373,10)</f>
        <v>-0.373</v>
      </c>
      <c r="CI37" s="7">
        <f t="shared" ref="CI37:CN37" si="58">ROUND(-0.374,10)</f>
        <v>-0.374</v>
      </c>
      <c r="CJ37" s="7">
        <f t="shared" si="58"/>
        <v>-0.374</v>
      </c>
      <c r="CK37" s="7">
        <f t="shared" si="58"/>
        <v>-0.374</v>
      </c>
      <c r="CL37" s="7">
        <f t="shared" si="58"/>
        <v>-0.374</v>
      </c>
      <c r="CM37" s="7">
        <f t="shared" si="58"/>
        <v>-0.374</v>
      </c>
      <c r="CN37" s="7">
        <f t="shared" si="58"/>
        <v>-0.374</v>
      </c>
      <c r="CO37" s="7">
        <f>ROUND(-0.373,10)</f>
        <v>-0.373</v>
      </c>
      <c r="CP37" s="7">
        <f>ROUND(-0.374,10)</f>
        <v>-0.374</v>
      </c>
      <c r="CQ37" s="7">
        <f>ROUND(-0.371,10)</f>
        <v>-0.371</v>
      </c>
      <c r="CR37" s="7">
        <f>ROUND(-0.371,10)</f>
        <v>-0.371</v>
      </c>
      <c r="CS37" s="7">
        <f>ROUND(-0.371,10)</f>
        <v>-0.371</v>
      </c>
      <c r="CT37" s="7">
        <f>ROUND(-0.374,10)</f>
        <v>-0.374</v>
      </c>
      <c r="CU37" s="7">
        <f>ROUND(-0.374,10)</f>
        <v>-0.374</v>
      </c>
      <c r="CV37" s="7">
        <f>ROUND(-0.374,10)</f>
        <v>-0.374</v>
      </c>
      <c r="CW37" s="7">
        <f>ROUND(-0.373,10)</f>
        <v>-0.373</v>
      </c>
      <c r="CX37" s="7">
        <f>ROUND(-0.374,10)</f>
        <v>-0.374</v>
      </c>
      <c r="CY37" s="7">
        <f>ROUND(-0.371,10)</f>
        <v>-0.371</v>
      </c>
      <c r="CZ37" s="7">
        <f>ROUND(-0.372,10)</f>
        <v>-0.372</v>
      </c>
      <c r="DA37" s="7">
        <f>ROUND(-0.373,10)</f>
        <v>-0.373</v>
      </c>
      <c r="DB37" s="7">
        <f>ROUND(-0.374,10)</f>
        <v>-0.374</v>
      </c>
      <c r="DC37" s="7">
        <f>ROUND(-0.374,10)</f>
        <v>-0.374</v>
      </c>
      <c r="DD37" s="7">
        <f>ROUND(-0.372,10)</f>
        <v>-0.372</v>
      </c>
      <c r="DE37" s="7">
        <f>ROUND(-0.371,10)</f>
        <v>-0.371</v>
      </c>
      <c r="DF37" s="7">
        <f>ROUND(-0.371,10)</f>
        <v>-0.371</v>
      </c>
      <c r="DG37" s="7">
        <f>ROUND(-0.371,10)</f>
        <v>-0.371</v>
      </c>
      <c r="DH37" s="7">
        <f>ROUND(-0.374,10)</f>
        <v>-0.374</v>
      </c>
      <c r="DI37" s="7">
        <f>ROUND(-0.374,10)</f>
        <v>-0.374</v>
      </c>
      <c r="DJ37" s="7">
        <f>ROUND(-0.374,10)</f>
        <v>-0.374</v>
      </c>
      <c r="DK37" s="7">
        <f>ROUND(-0.373,10)</f>
        <v>-0.373</v>
      </c>
      <c r="DL37" s="7">
        <f>ROUND(-0.373,10)</f>
        <v>-0.373</v>
      </c>
      <c r="DM37" s="7">
        <f>ROUND(-0.372,10)</f>
        <v>-0.372</v>
      </c>
      <c r="DN37" s="7">
        <f>ROUND(-0.373,10)</f>
        <v>-0.373</v>
      </c>
      <c r="DO37" s="7">
        <f>ROUND(-0.374,10)</f>
        <v>-0.374</v>
      </c>
      <c r="DP37" s="7">
        <f>ROUND(-0.372,10)</f>
        <v>-0.372</v>
      </c>
      <c r="DQ37" s="7">
        <f>ROUND(-0.373,10)</f>
        <v>-0.373</v>
      </c>
      <c r="DR37" s="7">
        <f>ROUND(-0.372,10)</f>
        <v>-0.372</v>
      </c>
      <c r="DS37" s="7">
        <f>ROUND(-0.374,10)</f>
        <v>-0.374</v>
      </c>
      <c r="DT37" s="7">
        <f>ROUND(-0.374,10)</f>
        <v>-0.374</v>
      </c>
      <c r="DU37" s="7">
        <f>ROUND(-0.373,10)</f>
        <v>-0.373</v>
      </c>
      <c r="DV37" s="7">
        <f>ROUND(-0.372,10)</f>
        <v>-0.372</v>
      </c>
      <c r="DW37" s="7">
        <f t="shared" si="52"/>
        <v>-0.373</v>
      </c>
      <c r="DX37" s="7">
        <f t="shared" si="52"/>
        <v>-0.373</v>
      </c>
      <c r="DY37" s="7">
        <f t="shared" si="52"/>
        <v>-0.373</v>
      </c>
      <c r="DZ37" s="7">
        <f>ROUND(-0.373,10)</f>
        <v>-0.373</v>
      </c>
      <c r="EA37" s="7">
        <f>ROUND(-0.373,10)</f>
        <v>-0.373</v>
      </c>
      <c r="EB37" s="7">
        <f>ROUND(-0.373,10)</f>
        <v>-0.373</v>
      </c>
      <c r="EC37" s="7">
        <f>ROUND(-0.372,10)</f>
        <v>-0.372</v>
      </c>
      <c r="ED37" s="7">
        <f>ROUND(-0.374,10)</f>
        <v>-0.374</v>
      </c>
      <c r="EE37" s="7">
        <f>ROUND(-0.374,10)</f>
        <v>-0.374</v>
      </c>
      <c r="EF37" s="7">
        <f>ROUND(-0.374,10)</f>
        <v>-0.374</v>
      </c>
      <c r="EG37" s="7">
        <f>ROUND(-0.373,10)</f>
        <v>-0.373</v>
      </c>
      <c r="EH37" s="7">
        <f>ROUND(-0.373,10)</f>
        <v>-0.373</v>
      </c>
      <c r="EI37" s="7">
        <f>ROUND(-0.373,10)</f>
        <v>-0.373</v>
      </c>
      <c r="EJ37" s="7">
        <f>ROUND(-0.374,10)</f>
        <v>-0.374</v>
      </c>
      <c r="EK37" s="7">
        <f>ROUND(-0.373,10)</f>
        <v>-0.373</v>
      </c>
      <c r="EL37" s="7">
        <f>ROUND(-0.374,10)</f>
        <v>-0.374</v>
      </c>
      <c r="EM37" s="7">
        <f>ROUND(-0.374,10)</f>
        <v>-0.374</v>
      </c>
      <c r="EN37" s="7">
        <f>ROUND(-0.374,10)</f>
        <v>-0.374</v>
      </c>
      <c r="EO37" s="7">
        <f>ROUND(-0.371,10)</f>
        <v>-0.371</v>
      </c>
      <c r="EP37" s="7">
        <f>ROUND(-0.372,10)</f>
        <v>-0.372</v>
      </c>
      <c r="EQ37" s="7">
        <f>ROUND(-0.371,10)</f>
        <v>-0.371</v>
      </c>
      <c r="ER37" s="7">
        <f>ROUND(-0.371,10)</f>
        <v>-0.371</v>
      </c>
      <c r="ES37" s="7">
        <f>ROUND(-0.37,10)</f>
        <v>-0.37</v>
      </c>
      <c r="ET37" s="7">
        <f>ROUND(-0.371,10)</f>
        <v>-0.371</v>
      </c>
      <c r="EU37" s="7">
        <f>ROUND(-0.373,10)</f>
        <v>-0.373</v>
      </c>
      <c r="EV37" s="7">
        <f>ROUND(-0.372,10)</f>
        <v>-0.372</v>
      </c>
      <c r="EW37" s="7">
        <f>ROUND(-0.372,10)</f>
        <v>-0.372</v>
      </c>
      <c r="EX37" s="7">
        <f>ROUND(-0.374,10)</f>
        <v>-0.374</v>
      </c>
      <c r="EY37" s="7">
        <f>ROUND(-0.374,10)</f>
        <v>-0.374</v>
      </c>
      <c r="EZ37" s="7">
        <f>ROUND(-0.374,10)</f>
        <v>-0.374</v>
      </c>
      <c r="FA37" s="7">
        <f>ROUND(-0.373,10)</f>
        <v>-0.373</v>
      </c>
      <c r="FB37" s="7">
        <f>ROUND(-0.372,10)</f>
        <v>-0.372</v>
      </c>
      <c r="FC37" s="7">
        <f>ROUND(-0.372,10)</f>
        <v>-0.372</v>
      </c>
      <c r="FD37" s="7">
        <f t="shared" ref="FD37:FL37" si="59">ROUND(-0.371,10)</f>
        <v>-0.371</v>
      </c>
      <c r="FE37" s="7">
        <f t="shared" si="59"/>
        <v>-0.371</v>
      </c>
      <c r="FF37" s="7">
        <f t="shared" si="59"/>
        <v>-0.371</v>
      </c>
      <c r="FG37" s="7">
        <f t="shared" si="59"/>
        <v>-0.371</v>
      </c>
      <c r="FH37" s="7">
        <f t="shared" si="59"/>
        <v>-0.371</v>
      </c>
      <c r="FI37" s="7">
        <f t="shared" si="59"/>
        <v>-0.371</v>
      </c>
      <c r="FJ37" s="7">
        <f t="shared" si="59"/>
        <v>-0.371</v>
      </c>
      <c r="FK37" s="7">
        <f t="shared" si="59"/>
        <v>-0.371</v>
      </c>
      <c r="FL37" s="7">
        <f t="shared" si="59"/>
        <v>-0.371</v>
      </c>
      <c r="FM37" s="7">
        <f>ROUND(-0.372,10)</f>
        <v>-0.372</v>
      </c>
      <c r="FN37" s="7">
        <f>ROUND(-0.372,10)</f>
        <v>-0.372</v>
      </c>
      <c r="FO37" s="7">
        <f>ROUND(-0.372,10)</f>
        <v>-0.372</v>
      </c>
      <c r="FP37" s="7">
        <f>ROUND(-0.373,10)</f>
        <v>-0.373</v>
      </c>
      <c r="FQ37" s="7">
        <f>ROUND(-0.373,10)</f>
        <v>-0.373</v>
      </c>
      <c r="FR37" s="7">
        <f>ROUND(-0.372,10)</f>
        <v>-0.372</v>
      </c>
      <c r="FS37" s="7">
        <f>ROUND(-0.372,10)</f>
        <v>-0.372</v>
      </c>
      <c r="FT37" s="7">
        <f>ROUND(-0.371,10)</f>
        <v>-0.371</v>
      </c>
      <c r="FU37" s="7">
        <f>ROUND(-0.372,10)</f>
        <v>-0.372</v>
      </c>
      <c r="FV37" s="7">
        <f>ROUND(-0.372,10)</f>
        <v>-0.372</v>
      </c>
      <c r="FW37" s="7">
        <f>ROUND(-0.373,10)</f>
        <v>-0.373</v>
      </c>
      <c r="FX37" s="7">
        <f>ROUND(-0.372,10)</f>
        <v>-0.372</v>
      </c>
      <c r="FY37" s="7">
        <f>ROUND(-0.373,10)</f>
        <v>-0.373</v>
      </c>
      <c r="FZ37" s="7">
        <f>ROUND(-0.371,10)</f>
        <v>-0.371</v>
      </c>
      <c r="GA37" s="7">
        <f>ROUND(-0.371,10)</f>
        <v>-0.371</v>
      </c>
      <c r="GB37" s="7">
        <f>ROUND(-0.373,10)</f>
        <v>-0.373</v>
      </c>
      <c r="GC37" s="7">
        <f>ROUND(-0.373,10)</f>
        <v>-0.373</v>
      </c>
      <c r="GD37" s="7">
        <f>ROUND(-0.373,10)</f>
        <v>-0.373</v>
      </c>
      <c r="GE37" s="7">
        <f>ROUND(-0.373,10)</f>
        <v>-0.373</v>
      </c>
      <c r="GF37" s="7">
        <f>ROUND(-0.372,10)</f>
        <v>-0.372</v>
      </c>
      <c r="GG37" s="7">
        <f>ROUND(-0.371,10)</f>
        <v>-0.371</v>
      </c>
      <c r="GH37" s="7">
        <f>ROUND(-0.371,10)</f>
        <v>-0.371</v>
      </c>
      <c r="GI37" s="7">
        <f>ROUND(-0.372,10)</f>
        <v>-0.372</v>
      </c>
      <c r="GJ37" s="7">
        <f>ROUND(-0.372,10)</f>
        <v>-0.372</v>
      </c>
      <c r="GK37" s="7">
        <f>ROUND(-0.372,10)</f>
        <v>-0.372</v>
      </c>
      <c r="GL37" s="7">
        <f>ROUND(-0.373,10)</f>
        <v>-0.373</v>
      </c>
      <c r="GM37" s="7">
        <f>ROUND(-0.373,10)</f>
        <v>-0.373</v>
      </c>
      <c r="GN37" s="7">
        <f>ROUND(-0.373,10)</f>
        <v>-0.373</v>
      </c>
      <c r="GO37" s="7">
        <f>ROUND(-0.372,10)</f>
        <v>-0.372</v>
      </c>
      <c r="GP37" s="7">
        <f>ROUND(-0.373,10)</f>
        <v>-0.373</v>
      </c>
      <c r="GQ37" s="7">
        <f>ROUND(-0.373,10)</f>
        <v>-0.373</v>
      </c>
      <c r="GR37" s="7">
        <f>ROUND(-0.371,10)</f>
        <v>-0.371</v>
      </c>
      <c r="GS37" s="7">
        <f>ROUND(-0.372,10)</f>
        <v>-0.372</v>
      </c>
      <c r="GT37" s="7">
        <f>ROUND(-0.372,10)</f>
        <v>-0.372</v>
      </c>
      <c r="GU37" s="7">
        <f>ROUND(-0.371,10)</f>
        <v>-0.371</v>
      </c>
      <c r="GV37" s="7">
        <f>ROUND(-0.371,10)</f>
        <v>-0.371</v>
      </c>
      <c r="GW37" s="7">
        <f>ROUND(-0.373,10)</f>
        <v>-0.373</v>
      </c>
      <c r="GX37" s="7">
        <f>ROUND(-0.373,10)</f>
        <v>-0.373</v>
      </c>
      <c r="GY37" s="7">
        <f>ROUND(-0.373,10)</f>
        <v>-0.373</v>
      </c>
      <c r="GZ37" s="7">
        <f>ROUND(-0.373,10)</f>
        <v>-0.373</v>
      </c>
      <c r="HA37" s="7">
        <f>ROUND(-0.373,10)</f>
        <v>-0.373</v>
      </c>
      <c r="HB37" s="7">
        <f>ROUND(-0.372,10)</f>
        <v>-0.372</v>
      </c>
      <c r="HC37" s="7">
        <f>ROUND(-0.373,10)</f>
        <v>-0.373</v>
      </c>
      <c r="HD37" s="7">
        <f>ROUND(-0.371,10)</f>
        <v>-0.371</v>
      </c>
      <c r="HE37" s="7">
        <f>ROUND(-0.372,10)</f>
        <v>-0.372</v>
      </c>
      <c r="HF37" s="7">
        <f>ROUND(-0.372,10)</f>
        <v>-0.372</v>
      </c>
      <c r="HG37" s="7">
        <f>ROUND(-0.372,10)</f>
        <v>-0.372</v>
      </c>
      <c r="HH37" s="7">
        <f>ROUND(-0.371,10)</f>
        <v>-0.371</v>
      </c>
      <c r="HI37" s="7">
        <f>ROUND(-0.372,10)</f>
        <v>-0.372</v>
      </c>
      <c r="HJ37" s="7">
        <f>ROUND(-0.372,10)</f>
        <v>-0.372</v>
      </c>
      <c r="HK37" s="7">
        <f>ROUND(-0.371,10)</f>
        <v>-0.371</v>
      </c>
      <c r="HL37" s="7">
        <f>ROUND(-0.372,10)</f>
        <v>-0.372</v>
      </c>
      <c r="HM37" s="7">
        <f>ROUND(-0.372,10)</f>
        <v>-0.372</v>
      </c>
      <c r="HN37" s="7">
        <f>ROUND(-0.371,10)</f>
        <v>-0.371</v>
      </c>
      <c r="HO37" s="7">
        <f>ROUND(-0.371,10)</f>
        <v>-0.371</v>
      </c>
      <c r="HP37" s="7">
        <f>ROUND(-0.371,10)</f>
        <v>-0.371</v>
      </c>
      <c r="HQ37" s="7">
        <f>ROUND(-0.372,10)</f>
        <v>-0.372</v>
      </c>
      <c r="HR37" s="7">
        <f>ROUND(-0.372,10)</f>
        <v>-0.372</v>
      </c>
      <c r="HS37" s="7">
        <f>ROUND(-0.372,10)</f>
        <v>-0.372</v>
      </c>
      <c r="HT37" s="7">
        <f>ROUND(-0.373,10)</f>
        <v>-0.373</v>
      </c>
      <c r="HU37" s="7">
        <f>ROUND(-0.372,10)</f>
        <v>-0.372</v>
      </c>
      <c r="HV37" s="7">
        <f>ROUND(-0.372,10)</f>
        <v>-0.372</v>
      </c>
      <c r="HW37" s="7">
        <f>ROUND(-0.371,10)</f>
        <v>-0.371</v>
      </c>
      <c r="HX37" s="7">
        <f>ROUND(-0.372,10)</f>
        <v>-0.372</v>
      </c>
      <c r="HY37" s="7">
        <f>ROUND(-0.372,10)</f>
        <v>-0.372</v>
      </c>
      <c r="HZ37" s="7">
        <f>ROUND(-0.372,10)</f>
        <v>-0.372</v>
      </c>
      <c r="IA37" s="7">
        <f>ROUND(-0.371,10)</f>
        <v>-0.371</v>
      </c>
      <c r="IB37" s="7">
        <f>ROUND(-0.371,10)</f>
        <v>-0.371</v>
      </c>
      <c r="IC37" s="7">
        <f>ROUND(-0.371,10)</f>
        <v>-0.371</v>
      </c>
      <c r="ID37" s="7">
        <f>ROUND(-0.369,10)</f>
        <v>-0.36899999999999999</v>
      </c>
      <c r="IE37" s="7">
        <f>ROUND(-0.368,10)</f>
        <v>-0.36799999999999999</v>
      </c>
      <c r="IF37" s="7">
        <f>ROUND(-0.367,10)</f>
        <v>-0.36699999999999999</v>
      </c>
      <c r="IG37" s="7">
        <f>ROUND(-0.367,10)</f>
        <v>-0.36699999999999999</v>
      </c>
      <c r="IH37" s="7">
        <f>ROUND(-0.366,10)</f>
        <v>-0.36599999999999999</v>
      </c>
      <c r="II37" s="7">
        <f>ROUND(-0.369,10)</f>
        <v>-0.36899999999999999</v>
      </c>
      <c r="IJ37" s="7">
        <f>ROUND(-0.369,10)</f>
        <v>-0.36899999999999999</v>
      </c>
      <c r="IK37" s="7">
        <f>ROUND(-0.369,10)</f>
        <v>-0.36899999999999999</v>
      </c>
      <c r="IL37" s="7">
        <f>ROUND(-0.371,10)</f>
        <v>-0.371</v>
      </c>
      <c r="IM37" s="7">
        <f>ROUND(-0.371,10)</f>
        <v>-0.371</v>
      </c>
      <c r="IN37" s="7">
        <f>ROUND(-0.371,10)</f>
        <v>-0.371</v>
      </c>
      <c r="IO37" s="7">
        <f>ROUND(-0.37,10)</f>
        <v>-0.37</v>
      </c>
      <c r="IP37" s="7">
        <f>ROUND(-0.37,10)</f>
        <v>-0.37</v>
      </c>
      <c r="IQ37" s="7">
        <f>ROUND(-0.37,10)</f>
        <v>-0.37</v>
      </c>
      <c r="IR37" s="7">
        <f>ROUND(-0.369,10)</f>
        <v>-0.36899999999999999</v>
      </c>
      <c r="IS37" s="7">
        <f>ROUND(-0.367,10)</f>
        <v>-0.36699999999999999</v>
      </c>
      <c r="IT37" s="7">
        <f>ROUND(-0.368,10)</f>
        <v>-0.36799999999999999</v>
      </c>
      <c r="IU37" s="7">
        <f>ROUND(-0.367,10)</f>
        <v>-0.36699999999999999</v>
      </c>
      <c r="IV37" s="7">
        <f>ROUND(-0.368,10)</f>
        <v>-0.36799999999999999</v>
      </c>
    </row>
    <row r="38" spans="1:256">
      <c r="A38" s="6" t="s">
        <v>38</v>
      </c>
      <c r="B38" s="7">
        <f>ROUND(-0.336,10)</f>
        <v>-0.33600000000000002</v>
      </c>
      <c r="C38" s="7">
        <f>ROUND(-0.338,10)</f>
        <v>-0.33800000000000002</v>
      </c>
      <c r="D38" s="7">
        <f>ROUND(-0.339,10)</f>
        <v>-0.33900000000000002</v>
      </c>
      <c r="E38" s="7">
        <f>ROUND(-0.339,10)</f>
        <v>-0.33900000000000002</v>
      </c>
      <c r="F38" s="7">
        <f>ROUND(-0.34,10)</f>
        <v>-0.34</v>
      </c>
      <c r="G38" s="7">
        <f>ROUND(-0.34,10)</f>
        <v>-0.34</v>
      </c>
      <c r="H38" s="7">
        <f>ROUND(-0.341,10)</f>
        <v>-0.34100000000000003</v>
      </c>
      <c r="I38" s="7">
        <f>ROUND(-0.341,10)</f>
        <v>-0.34100000000000003</v>
      </c>
      <c r="J38" s="7">
        <f t="shared" ref="J38:R38" si="60">ROUND(-0.339,10)</f>
        <v>-0.33900000000000002</v>
      </c>
      <c r="K38" s="7">
        <f t="shared" si="60"/>
        <v>-0.33900000000000002</v>
      </c>
      <c r="L38" s="7">
        <f t="shared" si="60"/>
        <v>-0.33900000000000002</v>
      </c>
      <c r="M38" s="7">
        <f t="shared" si="60"/>
        <v>-0.33900000000000002</v>
      </c>
      <c r="N38" s="7">
        <f t="shared" si="60"/>
        <v>-0.33900000000000002</v>
      </c>
      <c r="O38" s="7">
        <f t="shared" si="60"/>
        <v>-0.33900000000000002</v>
      </c>
      <c r="P38" s="7">
        <f t="shared" si="60"/>
        <v>-0.33900000000000002</v>
      </c>
      <c r="Q38" s="7">
        <f t="shared" si="60"/>
        <v>-0.33900000000000002</v>
      </c>
      <c r="R38" s="7">
        <f t="shared" si="60"/>
        <v>-0.33900000000000002</v>
      </c>
      <c r="S38" s="7">
        <f>ROUND(-0.34,10)</f>
        <v>-0.34</v>
      </c>
      <c r="T38" s="7">
        <f>ROUND(-0.339,10)</f>
        <v>-0.33900000000000002</v>
      </c>
      <c r="U38" s="7">
        <f>ROUND(-0.339,10)</f>
        <v>-0.33900000000000002</v>
      </c>
      <c r="V38" s="7">
        <f>ROUND(-0.34,10)</f>
        <v>-0.34</v>
      </c>
      <c r="W38" s="7">
        <f>ROUND(-0.34,10)</f>
        <v>-0.34</v>
      </c>
      <c r="X38" s="7">
        <f>ROUND(-0.34,10)</f>
        <v>-0.34</v>
      </c>
      <c r="Y38" s="7">
        <f>ROUND(-0.341,10)</f>
        <v>-0.34100000000000003</v>
      </c>
      <c r="Z38" s="7">
        <f>ROUND(-0.341,10)</f>
        <v>-0.34100000000000003</v>
      </c>
      <c r="AA38" s="7">
        <f>ROUND(-0.341,10)</f>
        <v>-0.34100000000000003</v>
      </c>
      <c r="AB38" s="7">
        <f>ROUND(-0.341,10)</f>
        <v>-0.34100000000000003</v>
      </c>
      <c r="AC38" s="7">
        <f>ROUND(-0.342,10)</f>
        <v>-0.34200000000000003</v>
      </c>
      <c r="AD38" s="7">
        <f>ROUND(-0.342,10)</f>
        <v>-0.34200000000000003</v>
      </c>
      <c r="AE38" s="7">
        <f>ROUND(-0.341,10)</f>
        <v>-0.34100000000000003</v>
      </c>
      <c r="AF38" s="7">
        <f>ROUND(-0.34,10)</f>
        <v>-0.34</v>
      </c>
      <c r="AG38" s="7">
        <f>ROUND(-0.34,10)</f>
        <v>-0.34</v>
      </c>
      <c r="AH38" s="7">
        <f>ROUND(-0.341,10)</f>
        <v>-0.34100000000000003</v>
      </c>
      <c r="AI38" s="7">
        <f>ROUND(-0.34,10)</f>
        <v>-0.34</v>
      </c>
      <c r="AJ38" s="7">
        <f>ROUND(-0.341,10)</f>
        <v>-0.34100000000000003</v>
      </c>
      <c r="AK38" s="7">
        <f>ROUND(-0.341,10)</f>
        <v>-0.34100000000000003</v>
      </c>
      <c r="AL38" s="7">
        <f>ROUND(-0.341,10)</f>
        <v>-0.34100000000000003</v>
      </c>
      <c r="AM38" s="7">
        <f>ROUND(-0.341,10)</f>
        <v>-0.34100000000000003</v>
      </c>
      <c r="AN38" s="7">
        <f>ROUND(-0.34,10)</f>
        <v>-0.34</v>
      </c>
      <c r="AO38" s="7">
        <f>ROUND(-0.341,10)</f>
        <v>-0.34100000000000003</v>
      </c>
      <c r="AP38" s="7">
        <f>ROUND(-0.341,10)</f>
        <v>-0.34100000000000003</v>
      </c>
      <c r="AQ38" s="7">
        <f>ROUND(-0.341,10)</f>
        <v>-0.34100000000000003</v>
      </c>
      <c r="AR38" s="7">
        <f>ROUND(-0.341,10)</f>
        <v>-0.34100000000000003</v>
      </c>
      <c r="AS38" s="7">
        <f>ROUND(-0.34,10)</f>
        <v>-0.34</v>
      </c>
      <c r="AT38" s="7">
        <f>ROUND(-0.34,10)</f>
        <v>-0.34</v>
      </c>
      <c r="AU38" s="7">
        <f>ROUND(-0.34,10)</f>
        <v>-0.34</v>
      </c>
      <c r="AV38" s="7">
        <f>ROUND(-0.34,10)</f>
        <v>-0.34</v>
      </c>
      <c r="AW38" s="7">
        <f>ROUND(-0.341,10)</f>
        <v>-0.34100000000000003</v>
      </c>
      <c r="AX38" s="7">
        <f>ROUND(-0.34,10)</f>
        <v>-0.34</v>
      </c>
      <c r="AY38" s="7">
        <f>ROUND(-0.34,10)</f>
        <v>-0.34</v>
      </c>
      <c r="AZ38" s="7">
        <f>ROUND(-0.341,10)</f>
        <v>-0.34100000000000003</v>
      </c>
      <c r="BA38" s="7">
        <f>ROUND(-0.34,10)</f>
        <v>-0.34</v>
      </c>
      <c r="BB38" s="7">
        <f>ROUND(-0.341,10)</f>
        <v>-0.34100000000000003</v>
      </c>
      <c r="BC38" s="7">
        <f>ROUND(-0.34,10)</f>
        <v>-0.34</v>
      </c>
      <c r="BD38" s="7">
        <f>ROUND(-0.34,10)</f>
        <v>-0.34</v>
      </c>
      <c r="BE38" s="7">
        <f>ROUND(-0.34,10)</f>
        <v>-0.34</v>
      </c>
      <c r="BF38" s="7">
        <f t="shared" ref="BF38:BV38" si="61">ROUND(-0.339,10)</f>
        <v>-0.33900000000000002</v>
      </c>
      <c r="BG38" s="7">
        <f t="shared" si="61"/>
        <v>-0.33900000000000002</v>
      </c>
      <c r="BH38" s="7">
        <f t="shared" si="61"/>
        <v>-0.33900000000000002</v>
      </c>
      <c r="BI38" s="7">
        <f t="shared" si="61"/>
        <v>-0.33900000000000002</v>
      </c>
      <c r="BJ38" s="7">
        <f t="shared" si="61"/>
        <v>-0.33900000000000002</v>
      </c>
      <c r="BK38" s="7">
        <f t="shared" si="61"/>
        <v>-0.33900000000000002</v>
      </c>
      <c r="BL38" s="7">
        <f t="shared" si="61"/>
        <v>-0.33900000000000002</v>
      </c>
      <c r="BM38" s="7">
        <f t="shared" si="61"/>
        <v>-0.33900000000000002</v>
      </c>
      <c r="BN38" s="7">
        <f t="shared" si="61"/>
        <v>-0.33900000000000002</v>
      </c>
      <c r="BO38" s="7">
        <f t="shared" si="61"/>
        <v>-0.33900000000000002</v>
      </c>
      <c r="BP38" s="7">
        <f t="shared" si="61"/>
        <v>-0.33900000000000002</v>
      </c>
      <c r="BQ38" s="7">
        <f t="shared" si="61"/>
        <v>-0.33900000000000002</v>
      </c>
      <c r="BR38" s="7">
        <f t="shared" si="61"/>
        <v>-0.33900000000000002</v>
      </c>
      <c r="BS38" s="7">
        <f t="shared" si="61"/>
        <v>-0.33900000000000002</v>
      </c>
      <c r="BT38" s="7">
        <f t="shared" si="61"/>
        <v>-0.33900000000000002</v>
      </c>
      <c r="BU38" s="7">
        <f t="shared" si="61"/>
        <v>-0.33900000000000002</v>
      </c>
      <c r="BV38" s="7">
        <f t="shared" si="61"/>
        <v>-0.33900000000000002</v>
      </c>
      <c r="BW38" s="7">
        <f>ROUND(-0.341,10)</f>
        <v>-0.34100000000000003</v>
      </c>
      <c r="BX38" s="7">
        <f>ROUND(-0.342,10)</f>
        <v>-0.34200000000000003</v>
      </c>
      <c r="BY38" s="7">
        <f>ROUND(-0.34,10)</f>
        <v>-0.34</v>
      </c>
      <c r="BZ38" s="7">
        <f>ROUND(-0.339,10)</f>
        <v>-0.33900000000000002</v>
      </c>
      <c r="CA38" s="7">
        <f>ROUND(-0.339,10)</f>
        <v>-0.33900000000000002</v>
      </c>
      <c r="CB38" s="7">
        <f>ROUND(-0.339,10)</f>
        <v>-0.33900000000000002</v>
      </c>
      <c r="CC38" s="7">
        <f>ROUND(-0.339,10)</f>
        <v>-0.33900000000000002</v>
      </c>
      <c r="CD38" s="7">
        <f>ROUND(-0.34,10)</f>
        <v>-0.34</v>
      </c>
      <c r="CE38" s="7">
        <f>ROUND(-0.34,10)</f>
        <v>-0.34</v>
      </c>
      <c r="CF38" s="7">
        <f>ROUND(-0.34,10)</f>
        <v>-0.34</v>
      </c>
      <c r="CG38" s="7">
        <f>ROUND(-0.34,10)</f>
        <v>-0.34</v>
      </c>
      <c r="CH38" s="7">
        <f>ROUND(-0.339,10)</f>
        <v>-0.33900000000000002</v>
      </c>
      <c r="CI38" s="7">
        <f>ROUND(-0.34,10)</f>
        <v>-0.34</v>
      </c>
      <c r="CJ38" s="7">
        <f>ROUND(-0.34,10)</f>
        <v>-0.34</v>
      </c>
      <c r="CK38" s="7">
        <f>ROUND(-0.34,10)</f>
        <v>-0.34</v>
      </c>
      <c r="CL38" s="7">
        <f>ROUND(-0.34,10)</f>
        <v>-0.34</v>
      </c>
      <c r="CM38" s="7">
        <f t="shared" ref="CM38:CZ38" si="62">ROUND(-0.341,10)</f>
        <v>-0.34100000000000003</v>
      </c>
      <c r="CN38" s="7">
        <f t="shared" si="62"/>
        <v>-0.34100000000000003</v>
      </c>
      <c r="CO38" s="7">
        <f t="shared" si="62"/>
        <v>-0.34100000000000003</v>
      </c>
      <c r="CP38" s="7">
        <f t="shared" si="62"/>
        <v>-0.34100000000000003</v>
      </c>
      <c r="CQ38" s="7">
        <f t="shared" si="62"/>
        <v>-0.34100000000000003</v>
      </c>
      <c r="CR38" s="7">
        <f t="shared" si="62"/>
        <v>-0.34100000000000003</v>
      </c>
      <c r="CS38" s="7">
        <f t="shared" si="62"/>
        <v>-0.34100000000000003</v>
      </c>
      <c r="CT38" s="7">
        <f t="shared" si="62"/>
        <v>-0.34100000000000003</v>
      </c>
      <c r="CU38" s="7">
        <f t="shared" si="62"/>
        <v>-0.34100000000000003</v>
      </c>
      <c r="CV38" s="7">
        <f t="shared" si="62"/>
        <v>-0.34100000000000003</v>
      </c>
      <c r="CW38" s="7">
        <f t="shared" si="62"/>
        <v>-0.34100000000000003</v>
      </c>
      <c r="CX38" s="7">
        <f t="shared" si="62"/>
        <v>-0.34100000000000003</v>
      </c>
      <c r="CY38" s="7">
        <f t="shared" si="62"/>
        <v>-0.34100000000000003</v>
      </c>
      <c r="CZ38" s="7">
        <f t="shared" si="62"/>
        <v>-0.34100000000000003</v>
      </c>
      <c r="DA38" s="7">
        <f>ROUND(-0.342,10)</f>
        <v>-0.34200000000000003</v>
      </c>
      <c r="DB38" s="7">
        <f>ROUND(-0.342,10)</f>
        <v>-0.34200000000000003</v>
      </c>
      <c r="DC38" s="7">
        <f>ROUND(-0.343,10)</f>
        <v>-0.34300000000000003</v>
      </c>
      <c r="DD38" s="7">
        <f>ROUND(-0.344,10)</f>
        <v>-0.34399999999999997</v>
      </c>
      <c r="DE38" s="7">
        <f>ROUND(-0.343,10)</f>
        <v>-0.34300000000000003</v>
      </c>
      <c r="DF38" s="7">
        <f>ROUND(-0.343,10)</f>
        <v>-0.34300000000000003</v>
      </c>
      <c r="DG38" s="7">
        <f>ROUND(-0.341,10)</f>
        <v>-0.34100000000000003</v>
      </c>
      <c r="DH38" s="7">
        <f>ROUND(-0.341,10)</f>
        <v>-0.34100000000000003</v>
      </c>
      <c r="DI38" s="7">
        <f>ROUND(-0.341,10)</f>
        <v>-0.34100000000000003</v>
      </c>
      <c r="DJ38" s="7">
        <f>ROUND(-0.341,10)</f>
        <v>-0.34100000000000003</v>
      </c>
      <c r="DK38" s="7">
        <f>ROUND(-0.34,10)</f>
        <v>-0.34</v>
      </c>
      <c r="DL38" s="7">
        <f t="shared" ref="DL38:DR38" si="63">ROUND(-0.341,10)</f>
        <v>-0.34100000000000003</v>
      </c>
      <c r="DM38" s="7">
        <f t="shared" si="63"/>
        <v>-0.34100000000000003</v>
      </c>
      <c r="DN38" s="7">
        <f t="shared" si="63"/>
        <v>-0.34100000000000003</v>
      </c>
      <c r="DO38" s="7">
        <f t="shared" si="63"/>
        <v>-0.34100000000000003</v>
      </c>
      <c r="DP38" s="7">
        <f t="shared" si="63"/>
        <v>-0.34100000000000003</v>
      </c>
      <c r="DQ38" s="7">
        <f t="shared" si="63"/>
        <v>-0.34100000000000003</v>
      </c>
      <c r="DR38" s="7">
        <f t="shared" si="63"/>
        <v>-0.34100000000000003</v>
      </c>
      <c r="DS38" s="7">
        <f>ROUND(-0.342,10)</f>
        <v>-0.34200000000000003</v>
      </c>
      <c r="DT38" s="7">
        <f>ROUND(-0.341,10)</f>
        <v>-0.34100000000000003</v>
      </c>
      <c r="DU38" s="7">
        <f>ROUND(-0.341,10)</f>
        <v>-0.34100000000000003</v>
      </c>
      <c r="DV38" s="7">
        <f>ROUND(-0.341,10)</f>
        <v>-0.34100000000000003</v>
      </c>
      <c r="DW38" s="7">
        <f>ROUND(-0.342,10)</f>
        <v>-0.34200000000000003</v>
      </c>
      <c r="DX38" s="7">
        <f>ROUND(-0.342,10)</f>
        <v>-0.34200000000000003</v>
      </c>
      <c r="DY38" s="7">
        <f>ROUND(-0.343,10)</f>
        <v>-0.34300000000000003</v>
      </c>
      <c r="DZ38" s="7">
        <f>ROUND(-0.341,10)</f>
        <v>-0.34100000000000003</v>
      </c>
      <c r="EA38" s="7">
        <f>ROUND(-0.344,10)</f>
        <v>-0.34399999999999997</v>
      </c>
      <c r="EB38" s="7">
        <f>ROUND(-0.342,10)</f>
        <v>-0.34200000000000003</v>
      </c>
      <c r="EC38" s="7">
        <f>ROUND(-0.342,10)</f>
        <v>-0.34200000000000003</v>
      </c>
      <c r="ED38" s="7">
        <f t="shared" ref="ED38:EM38" si="64">ROUND(-0.341,10)</f>
        <v>-0.34100000000000003</v>
      </c>
      <c r="EE38" s="7">
        <f t="shared" si="64"/>
        <v>-0.34100000000000003</v>
      </c>
      <c r="EF38" s="7">
        <f t="shared" si="64"/>
        <v>-0.34100000000000003</v>
      </c>
      <c r="EG38" s="7">
        <f t="shared" si="64"/>
        <v>-0.34100000000000003</v>
      </c>
      <c r="EH38" s="7">
        <f t="shared" si="64"/>
        <v>-0.34100000000000003</v>
      </c>
      <c r="EI38" s="7">
        <f t="shared" si="64"/>
        <v>-0.34100000000000003</v>
      </c>
      <c r="EJ38" s="7">
        <f t="shared" si="64"/>
        <v>-0.34100000000000003</v>
      </c>
      <c r="EK38" s="7">
        <f t="shared" si="64"/>
        <v>-0.34100000000000003</v>
      </c>
      <c r="EL38" s="7">
        <f t="shared" si="64"/>
        <v>-0.34100000000000003</v>
      </c>
      <c r="EM38" s="7">
        <f t="shared" si="64"/>
        <v>-0.34100000000000003</v>
      </c>
      <c r="EN38" s="7">
        <f>ROUND(-0.339,10)</f>
        <v>-0.33900000000000002</v>
      </c>
      <c r="EO38" s="7">
        <f>ROUND(-0.34,10)</f>
        <v>-0.34</v>
      </c>
      <c r="EP38" s="7">
        <f>ROUND(-0.34,10)</f>
        <v>-0.34</v>
      </c>
      <c r="EQ38" s="7">
        <f>ROUND(-0.339,10)</f>
        <v>-0.33900000000000002</v>
      </c>
      <c r="ER38" s="7">
        <f>ROUND(-0.339,10)</f>
        <v>-0.33900000000000002</v>
      </c>
      <c r="ES38" s="7">
        <f>ROUND(-0.34,10)</f>
        <v>-0.34</v>
      </c>
      <c r="ET38" s="7">
        <f>ROUND(-0.34,10)</f>
        <v>-0.34</v>
      </c>
      <c r="EU38" s="7">
        <f>ROUND(-0.34,10)</f>
        <v>-0.34</v>
      </c>
      <c r="EV38" s="7">
        <f>ROUND(-0.34,10)</f>
        <v>-0.34</v>
      </c>
      <c r="EW38" s="7">
        <f t="shared" ref="EW38:FF38" si="65">ROUND(-0.339,10)</f>
        <v>-0.33900000000000002</v>
      </c>
      <c r="EX38" s="7">
        <f t="shared" si="65"/>
        <v>-0.33900000000000002</v>
      </c>
      <c r="EY38" s="7">
        <f t="shared" si="65"/>
        <v>-0.33900000000000002</v>
      </c>
      <c r="EZ38" s="7">
        <f t="shared" si="65"/>
        <v>-0.33900000000000002</v>
      </c>
      <c r="FA38" s="7">
        <f t="shared" si="65"/>
        <v>-0.33900000000000002</v>
      </c>
      <c r="FB38" s="7">
        <f t="shared" si="65"/>
        <v>-0.33900000000000002</v>
      </c>
      <c r="FC38" s="7">
        <f t="shared" si="65"/>
        <v>-0.33900000000000002</v>
      </c>
      <c r="FD38" s="7">
        <f t="shared" si="65"/>
        <v>-0.33900000000000002</v>
      </c>
      <c r="FE38" s="7">
        <f t="shared" si="65"/>
        <v>-0.33900000000000002</v>
      </c>
      <c r="FF38" s="7">
        <f t="shared" si="65"/>
        <v>-0.33900000000000002</v>
      </c>
      <c r="FG38" s="7">
        <f>ROUND(-0.34,10)</f>
        <v>-0.34</v>
      </c>
      <c r="FH38" s="7">
        <f>ROUND(-0.34,10)</f>
        <v>-0.34</v>
      </c>
      <c r="FI38" s="7">
        <f>ROUND(-0.34,10)</f>
        <v>-0.34</v>
      </c>
      <c r="FJ38" s="7">
        <f>ROUND(-0.341,10)</f>
        <v>-0.34100000000000003</v>
      </c>
      <c r="FK38" s="7">
        <f>ROUND(-0.34,10)</f>
        <v>-0.34</v>
      </c>
      <c r="FL38" s="7">
        <f>ROUND(-0.341,10)</f>
        <v>-0.34100000000000003</v>
      </c>
      <c r="FM38" s="7">
        <f>ROUND(-0.341,10)</f>
        <v>-0.34100000000000003</v>
      </c>
      <c r="FN38" s="7">
        <f>ROUND(-0.34,10)</f>
        <v>-0.34</v>
      </c>
      <c r="FO38" s="7">
        <f t="shared" ref="FO38:FU38" si="66">ROUND(-0.339,10)</f>
        <v>-0.33900000000000002</v>
      </c>
      <c r="FP38" s="7">
        <f t="shared" si="66"/>
        <v>-0.33900000000000002</v>
      </c>
      <c r="FQ38" s="7">
        <f t="shared" si="66"/>
        <v>-0.33900000000000002</v>
      </c>
      <c r="FR38" s="7">
        <f t="shared" si="66"/>
        <v>-0.33900000000000002</v>
      </c>
      <c r="FS38" s="7">
        <f t="shared" si="66"/>
        <v>-0.33900000000000002</v>
      </c>
      <c r="FT38" s="7">
        <f t="shared" si="66"/>
        <v>-0.33900000000000002</v>
      </c>
      <c r="FU38" s="7">
        <f t="shared" si="66"/>
        <v>-0.33900000000000002</v>
      </c>
      <c r="FV38" s="7">
        <f>ROUND(-0.34,10)</f>
        <v>-0.34</v>
      </c>
      <c r="FW38" s="7">
        <f t="shared" ref="FW38:GC38" si="67">ROUND(-0.341,10)</f>
        <v>-0.34100000000000003</v>
      </c>
      <c r="FX38" s="7">
        <f t="shared" si="67"/>
        <v>-0.34100000000000003</v>
      </c>
      <c r="FY38" s="7">
        <f t="shared" si="67"/>
        <v>-0.34100000000000003</v>
      </c>
      <c r="FZ38" s="7">
        <f t="shared" si="67"/>
        <v>-0.34100000000000003</v>
      </c>
      <c r="GA38" s="7">
        <f t="shared" si="67"/>
        <v>-0.34100000000000003</v>
      </c>
      <c r="GB38" s="7">
        <f t="shared" si="67"/>
        <v>-0.34100000000000003</v>
      </c>
      <c r="GC38" s="7">
        <f t="shared" si="67"/>
        <v>-0.34100000000000003</v>
      </c>
      <c r="GD38" s="7">
        <f>ROUND(-0.339,10)</f>
        <v>-0.33900000000000002</v>
      </c>
      <c r="GE38" s="7">
        <f>ROUND(-0.341,10)</f>
        <v>-0.34100000000000003</v>
      </c>
      <c r="GF38" s="7">
        <f>ROUND(-0.34,10)</f>
        <v>-0.34</v>
      </c>
      <c r="GG38" s="7">
        <f>ROUND(-0.34,10)</f>
        <v>-0.34</v>
      </c>
      <c r="GH38" s="7">
        <f>ROUND(-0.339,10)</f>
        <v>-0.33900000000000002</v>
      </c>
      <c r="GI38" s="7">
        <f>ROUND(-0.339,10)</f>
        <v>-0.33900000000000002</v>
      </c>
      <c r="GJ38" s="7">
        <f>ROUND(-0.339,10)</f>
        <v>-0.33900000000000002</v>
      </c>
      <c r="GK38" s="7">
        <f>ROUND(-0.339,10)</f>
        <v>-0.33900000000000002</v>
      </c>
      <c r="GL38" s="7">
        <f>ROUND(-0.34,10)</f>
        <v>-0.34</v>
      </c>
      <c r="GM38" s="7">
        <f>ROUND(-0.34,10)</f>
        <v>-0.34</v>
      </c>
      <c r="GN38" s="7">
        <f>ROUND(-0.339,10)</f>
        <v>-0.33900000000000002</v>
      </c>
      <c r="GO38" s="7">
        <f>ROUND(-0.339,10)</f>
        <v>-0.33900000000000002</v>
      </c>
      <c r="GP38" s="7">
        <f>ROUND(-0.34,10)</f>
        <v>-0.34</v>
      </c>
      <c r="GQ38" s="7">
        <f>ROUND(-0.34,10)</f>
        <v>-0.34</v>
      </c>
      <c r="GR38" s="7">
        <f>ROUND(-0.339,10)</f>
        <v>-0.33900000000000002</v>
      </c>
      <c r="GS38" s="7">
        <f>ROUND(-0.339,10)</f>
        <v>-0.33900000000000002</v>
      </c>
      <c r="GT38" s="7">
        <f>ROUND(-0.341,10)</f>
        <v>-0.34100000000000003</v>
      </c>
      <c r="GU38" s="7">
        <f>ROUND(-0.34,10)</f>
        <v>-0.34</v>
      </c>
      <c r="GV38" s="7">
        <f>ROUND(-0.34,10)</f>
        <v>-0.34</v>
      </c>
      <c r="GW38" s="7">
        <f>ROUND(-0.34,10)</f>
        <v>-0.34</v>
      </c>
      <c r="GX38" s="7">
        <f>ROUND(-0.339,10)</f>
        <v>-0.33900000000000002</v>
      </c>
      <c r="GY38" s="7">
        <f>ROUND(-0.339,10)</f>
        <v>-0.33900000000000002</v>
      </c>
      <c r="GZ38" s="7">
        <f>ROUND(-0.34,10)</f>
        <v>-0.34</v>
      </c>
      <c r="HA38" s="7">
        <f>ROUND(-0.339,10)</f>
        <v>-0.33900000000000002</v>
      </c>
      <c r="HB38" s="7">
        <f>ROUND(-0.339,10)</f>
        <v>-0.33900000000000002</v>
      </c>
      <c r="HC38" s="7">
        <f t="shared" ref="HC38:HJ38" si="68">ROUND(-0.341,10)</f>
        <v>-0.34100000000000003</v>
      </c>
      <c r="HD38" s="7">
        <f t="shared" si="68"/>
        <v>-0.34100000000000003</v>
      </c>
      <c r="HE38" s="7">
        <f t="shared" si="68"/>
        <v>-0.34100000000000003</v>
      </c>
      <c r="HF38" s="7">
        <f t="shared" si="68"/>
        <v>-0.34100000000000003</v>
      </c>
      <c r="HG38" s="7">
        <f t="shared" si="68"/>
        <v>-0.34100000000000003</v>
      </c>
      <c r="HH38" s="7">
        <f t="shared" si="68"/>
        <v>-0.34100000000000003</v>
      </c>
      <c r="HI38" s="7">
        <f t="shared" si="68"/>
        <v>-0.34100000000000003</v>
      </c>
      <c r="HJ38" s="7">
        <f t="shared" si="68"/>
        <v>-0.34100000000000003</v>
      </c>
      <c r="HK38" s="7">
        <f>ROUND(-0.342,10)</f>
        <v>-0.34200000000000003</v>
      </c>
      <c r="HL38" s="7">
        <f>ROUND(-0.342,10)</f>
        <v>-0.34200000000000003</v>
      </c>
      <c r="HM38" s="7">
        <f>ROUND(-0.341,10)</f>
        <v>-0.34100000000000003</v>
      </c>
      <c r="HN38" s="7">
        <f>ROUND(-0.342,10)</f>
        <v>-0.34200000000000003</v>
      </c>
      <c r="HO38" s="7">
        <f t="shared" ref="HO38:HV38" si="69">ROUND(-0.341,10)</f>
        <v>-0.34100000000000003</v>
      </c>
      <c r="HP38" s="7">
        <f t="shared" si="69"/>
        <v>-0.34100000000000003</v>
      </c>
      <c r="HQ38" s="7">
        <f t="shared" si="69"/>
        <v>-0.34100000000000003</v>
      </c>
      <c r="HR38" s="7">
        <f t="shared" si="69"/>
        <v>-0.34100000000000003</v>
      </c>
      <c r="HS38" s="7">
        <f t="shared" si="69"/>
        <v>-0.34100000000000003</v>
      </c>
      <c r="HT38" s="7">
        <f t="shared" si="69"/>
        <v>-0.34100000000000003</v>
      </c>
      <c r="HU38" s="7">
        <f t="shared" si="69"/>
        <v>-0.34100000000000003</v>
      </c>
      <c r="HV38" s="7">
        <f t="shared" si="69"/>
        <v>-0.34100000000000003</v>
      </c>
      <c r="HW38" s="7">
        <f>ROUND(-0.34,10)</f>
        <v>-0.34</v>
      </c>
      <c r="HX38" s="7">
        <f>ROUND(-0.341,10)</f>
        <v>-0.34100000000000003</v>
      </c>
      <c r="HY38" s="7">
        <f>ROUND(-0.342,10)</f>
        <v>-0.34200000000000003</v>
      </c>
      <c r="HZ38" s="7">
        <f>ROUND(-0.342,10)</f>
        <v>-0.34200000000000003</v>
      </c>
      <c r="IA38" s="7">
        <f>ROUND(-0.342,10)</f>
        <v>-0.34200000000000003</v>
      </c>
      <c r="IB38" s="7">
        <f>ROUND(-0.341,10)</f>
        <v>-0.34100000000000003</v>
      </c>
      <c r="IC38" s="7">
        <f>ROUND(-0.34,10)</f>
        <v>-0.34</v>
      </c>
      <c r="ID38" s="7">
        <f>ROUND(-0.336,10)</f>
        <v>-0.33600000000000002</v>
      </c>
      <c r="IE38" s="7">
        <f>ROUND(-0.336,10)</f>
        <v>-0.33600000000000002</v>
      </c>
      <c r="IF38" s="7">
        <f>ROUND(-0.337,10)</f>
        <v>-0.33700000000000002</v>
      </c>
      <c r="IG38" s="7">
        <f>ROUND(-0.338,10)</f>
        <v>-0.33800000000000002</v>
      </c>
      <c r="IH38" s="7">
        <f>ROUND(-0.336,10)</f>
        <v>-0.33600000000000002</v>
      </c>
      <c r="II38" s="7">
        <f>ROUND(-0.337,10)</f>
        <v>-0.33700000000000002</v>
      </c>
      <c r="IJ38" s="7">
        <f>ROUND(-0.337,10)</f>
        <v>-0.33700000000000002</v>
      </c>
      <c r="IK38" s="7">
        <f>ROUND(-0.337,10)</f>
        <v>-0.33700000000000002</v>
      </c>
      <c r="IL38" s="7">
        <f>ROUND(-0.34,10)</f>
        <v>-0.34</v>
      </c>
      <c r="IM38" s="7">
        <f>ROUND(-0.341,10)</f>
        <v>-0.34100000000000003</v>
      </c>
      <c r="IN38" s="7">
        <f>ROUND(-0.34,10)</f>
        <v>-0.34</v>
      </c>
      <c r="IO38" s="7">
        <f>ROUND(-0.34,10)</f>
        <v>-0.34</v>
      </c>
      <c r="IP38" s="7">
        <f>ROUND(-0.34,10)</f>
        <v>-0.34</v>
      </c>
      <c r="IQ38" s="7">
        <f>ROUND(-0.339,10)</f>
        <v>-0.33900000000000002</v>
      </c>
      <c r="IR38" s="7">
        <f>ROUND(-0.339,10)</f>
        <v>-0.33900000000000002</v>
      </c>
      <c r="IS38" s="7">
        <f>ROUND(-0.34,10)</f>
        <v>-0.34</v>
      </c>
      <c r="IT38" s="7">
        <f>ROUND(-0.341,10)</f>
        <v>-0.34100000000000003</v>
      </c>
      <c r="IU38" s="7">
        <f>ROUND(-0.341,10)</f>
        <v>-0.34100000000000003</v>
      </c>
      <c r="IV38" s="7">
        <f>ROUND(-0.34,10)</f>
        <v>-0.34</v>
      </c>
    </row>
    <row r="39" spans="1:256">
      <c r="A39" s="6" t="s">
        <v>39</v>
      </c>
      <c r="B39" s="7">
        <f>ROUND(-0.318,10)</f>
        <v>-0.318</v>
      </c>
      <c r="C39" s="7">
        <f>ROUND(-0.319,10)</f>
        <v>-0.31900000000000001</v>
      </c>
      <c r="D39" s="7">
        <f>ROUND(-0.32,10)</f>
        <v>-0.32</v>
      </c>
      <c r="E39" s="7">
        <f>ROUND(-0.321,10)</f>
        <v>-0.32100000000000001</v>
      </c>
      <c r="F39" s="7">
        <f>ROUND(-0.321,10)</f>
        <v>-0.32100000000000001</v>
      </c>
      <c r="G39" s="7">
        <f>ROUND(-0.322,10)</f>
        <v>-0.32200000000000001</v>
      </c>
      <c r="H39" s="7">
        <f>ROUND(-0.324,10)</f>
        <v>-0.32400000000000001</v>
      </c>
      <c r="I39" s="7">
        <f>ROUND(-0.326,10)</f>
        <v>-0.32600000000000001</v>
      </c>
      <c r="J39" s="7">
        <f>ROUND(-0.327,10)</f>
        <v>-0.32700000000000001</v>
      </c>
      <c r="K39" s="7">
        <f>ROUND(-0.327,10)</f>
        <v>-0.32700000000000001</v>
      </c>
      <c r="L39" s="7">
        <f>ROUND(-0.328,10)</f>
        <v>-0.32800000000000001</v>
      </c>
      <c r="M39" s="7">
        <f>ROUND(-0.329,10)</f>
        <v>-0.32900000000000001</v>
      </c>
      <c r="N39" s="7">
        <f>ROUND(-0.329,10)</f>
        <v>-0.32900000000000001</v>
      </c>
      <c r="O39" s="7">
        <f>ROUND(-0.329,10)</f>
        <v>-0.32900000000000001</v>
      </c>
      <c r="P39" s="7">
        <f>ROUND(-0.328,10)</f>
        <v>-0.32800000000000001</v>
      </c>
      <c r="Q39" s="7">
        <f>ROUND(-0.327,10)</f>
        <v>-0.32700000000000001</v>
      </c>
      <c r="R39" s="7">
        <f>ROUND(-0.328,10)</f>
        <v>-0.32800000000000001</v>
      </c>
      <c r="S39" s="7">
        <f>ROUND(-0.328,10)</f>
        <v>-0.32800000000000001</v>
      </c>
      <c r="T39" s="7">
        <f>ROUND(-0.328,10)</f>
        <v>-0.32800000000000001</v>
      </c>
      <c r="U39" s="7">
        <f>ROUND(-0.328,10)</f>
        <v>-0.32800000000000001</v>
      </c>
      <c r="V39" s="7">
        <f>ROUND(-0.328,10)</f>
        <v>-0.32800000000000001</v>
      </c>
      <c r="W39" s="7">
        <f>ROUND(-0.327,10)</f>
        <v>-0.32700000000000001</v>
      </c>
      <c r="X39" s="7">
        <f t="shared" ref="X39:AD39" si="70">ROUND(-0.328,10)</f>
        <v>-0.32800000000000001</v>
      </c>
      <c r="Y39" s="7">
        <f t="shared" si="70"/>
        <v>-0.32800000000000001</v>
      </c>
      <c r="Z39" s="7">
        <f t="shared" si="70"/>
        <v>-0.32800000000000001</v>
      </c>
      <c r="AA39" s="7">
        <f t="shared" si="70"/>
        <v>-0.32800000000000001</v>
      </c>
      <c r="AB39" s="7">
        <f t="shared" si="70"/>
        <v>-0.32800000000000001</v>
      </c>
      <c r="AC39" s="7">
        <f t="shared" si="70"/>
        <v>-0.32800000000000001</v>
      </c>
      <c r="AD39" s="7">
        <f t="shared" si="70"/>
        <v>-0.32800000000000001</v>
      </c>
      <c r="AE39" s="7">
        <f>ROUND(-0.329,10)</f>
        <v>-0.32900000000000001</v>
      </c>
      <c r="AF39" s="7">
        <f>ROUND(-0.329,10)</f>
        <v>-0.32900000000000001</v>
      </c>
      <c r="AG39" s="7">
        <f>ROUND(-0.328,10)</f>
        <v>-0.32800000000000001</v>
      </c>
      <c r="AH39" s="7">
        <f>ROUND(-0.328,10)</f>
        <v>-0.32800000000000001</v>
      </c>
      <c r="AI39" s="7">
        <f>ROUND(-0.328,10)</f>
        <v>-0.32800000000000001</v>
      </c>
      <c r="AJ39" s="7">
        <f>ROUND(-0.329,10)</f>
        <v>-0.32900000000000001</v>
      </c>
      <c r="AK39" s="7">
        <f>ROUND(-0.329,10)</f>
        <v>-0.32900000000000001</v>
      </c>
      <c r="AL39" s="7">
        <f>ROUND(-0.329,10)</f>
        <v>-0.32900000000000001</v>
      </c>
      <c r="AM39" s="7">
        <f>ROUND(-0.33,10)</f>
        <v>-0.33</v>
      </c>
      <c r="AN39" s="7">
        <f>ROUND(-0.329,10)</f>
        <v>-0.32900000000000001</v>
      </c>
      <c r="AO39" s="7">
        <f>ROUND(-0.329,10)</f>
        <v>-0.32900000000000001</v>
      </c>
      <c r="AP39" s="7">
        <f>ROUND(-0.329,10)</f>
        <v>-0.32900000000000001</v>
      </c>
      <c r="AQ39" s="7">
        <f>ROUND(-0.33,10)</f>
        <v>-0.33</v>
      </c>
      <c r="AR39" s="7">
        <f>ROUND(-0.329,10)</f>
        <v>-0.32900000000000001</v>
      </c>
      <c r="AS39" s="7">
        <f>ROUND(-0.329,10)</f>
        <v>-0.32900000000000001</v>
      </c>
      <c r="AT39" s="7">
        <f>ROUND(-0.329,10)</f>
        <v>-0.32900000000000001</v>
      </c>
      <c r="AU39" s="7">
        <f>ROUND(-0.329,10)</f>
        <v>-0.32900000000000001</v>
      </c>
      <c r="AV39" s="7">
        <f>ROUND(-0.328,10)</f>
        <v>-0.32800000000000001</v>
      </c>
      <c r="AW39" s="7">
        <f>ROUND(-0.329,10)</f>
        <v>-0.32900000000000001</v>
      </c>
      <c r="AX39" s="7">
        <f>ROUND(-0.329,10)</f>
        <v>-0.32900000000000001</v>
      </c>
      <c r="AY39" s="7">
        <f>ROUND(-0.329,10)</f>
        <v>-0.32900000000000001</v>
      </c>
      <c r="AZ39" s="7">
        <f>ROUND(-0.33,10)</f>
        <v>-0.33</v>
      </c>
      <c r="BA39" s="7">
        <f>ROUND(-0.33,10)</f>
        <v>-0.33</v>
      </c>
      <c r="BB39" s="7">
        <f>ROUND(-0.329,10)</f>
        <v>-0.32900000000000001</v>
      </c>
      <c r="BC39" s="7">
        <f>ROUND(-0.329,10)</f>
        <v>-0.32900000000000001</v>
      </c>
      <c r="BD39" s="7">
        <f>ROUND(-0.329,10)</f>
        <v>-0.32900000000000001</v>
      </c>
      <c r="BE39" s="7">
        <f>ROUND(-0.329,10)</f>
        <v>-0.32900000000000001</v>
      </c>
      <c r="BF39" s="7">
        <f>ROUND(-0.329,10)</f>
        <v>-0.32900000000000001</v>
      </c>
      <c r="BG39" s="7">
        <f t="shared" ref="BG39:BM39" si="71">ROUND(-0.33,10)</f>
        <v>-0.33</v>
      </c>
      <c r="BH39" s="7">
        <f t="shared" si="71"/>
        <v>-0.33</v>
      </c>
      <c r="BI39" s="7">
        <f t="shared" si="71"/>
        <v>-0.33</v>
      </c>
      <c r="BJ39" s="7">
        <f t="shared" si="71"/>
        <v>-0.33</v>
      </c>
      <c r="BK39" s="7">
        <f t="shared" si="71"/>
        <v>-0.33</v>
      </c>
      <c r="BL39" s="7">
        <f t="shared" si="71"/>
        <v>-0.33</v>
      </c>
      <c r="BM39" s="7">
        <f t="shared" si="71"/>
        <v>-0.33</v>
      </c>
      <c r="BN39" s="7">
        <f>ROUND(-0.329,10)</f>
        <v>-0.32900000000000001</v>
      </c>
      <c r="BO39" s="7">
        <f>ROUND(-0.33,10)</f>
        <v>-0.33</v>
      </c>
      <c r="BP39" s="7">
        <f>ROUND(-0.33,10)</f>
        <v>-0.33</v>
      </c>
      <c r="BQ39" s="7">
        <f>ROUND(-0.329,10)</f>
        <v>-0.32900000000000001</v>
      </c>
      <c r="BR39" s="7">
        <f>ROUND(-0.33,10)</f>
        <v>-0.33</v>
      </c>
      <c r="BS39" s="7">
        <f>ROUND(-0.33,10)</f>
        <v>-0.33</v>
      </c>
      <c r="BT39" s="7">
        <f>ROUND(-0.332,10)</f>
        <v>-0.33200000000000002</v>
      </c>
      <c r="BU39" s="7">
        <f>ROUND(-0.332,10)</f>
        <v>-0.33200000000000002</v>
      </c>
      <c r="BV39" s="7">
        <f>ROUND(-0.332,10)</f>
        <v>-0.33200000000000002</v>
      </c>
      <c r="BW39" s="7">
        <f>ROUND(-0.331,10)</f>
        <v>-0.33100000000000002</v>
      </c>
      <c r="BX39" s="7">
        <f>ROUND(-0.331,10)</f>
        <v>-0.33100000000000002</v>
      </c>
      <c r="BY39" s="7">
        <f>ROUND(-0.332,10)</f>
        <v>-0.33200000000000002</v>
      </c>
      <c r="BZ39" s="7">
        <f>ROUND(-0.332,10)</f>
        <v>-0.33200000000000002</v>
      </c>
      <c r="CA39" s="7">
        <f>ROUND(-0.331,10)</f>
        <v>-0.33100000000000002</v>
      </c>
      <c r="CB39" s="7">
        <f t="shared" ref="CB39:CO39" si="72">ROUND(-0.329,10)</f>
        <v>-0.32900000000000001</v>
      </c>
      <c r="CC39" s="7">
        <f t="shared" si="72"/>
        <v>-0.32900000000000001</v>
      </c>
      <c r="CD39" s="7">
        <f t="shared" si="72"/>
        <v>-0.32900000000000001</v>
      </c>
      <c r="CE39" s="7">
        <f t="shared" si="72"/>
        <v>-0.32900000000000001</v>
      </c>
      <c r="CF39" s="7">
        <f t="shared" si="72"/>
        <v>-0.32900000000000001</v>
      </c>
      <c r="CG39" s="7">
        <f t="shared" si="72"/>
        <v>-0.32900000000000001</v>
      </c>
      <c r="CH39" s="7">
        <f t="shared" si="72"/>
        <v>-0.32900000000000001</v>
      </c>
      <c r="CI39" s="7">
        <f t="shared" si="72"/>
        <v>-0.32900000000000001</v>
      </c>
      <c r="CJ39" s="7">
        <f t="shared" si="72"/>
        <v>-0.32900000000000001</v>
      </c>
      <c r="CK39" s="7">
        <f t="shared" si="72"/>
        <v>-0.32900000000000001</v>
      </c>
      <c r="CL39" s="7">
        <f t="shared" si="72"/>
        <v>-0.32900000000000001</v>
      </c>
      <c r="CM39" s="7">
        <f t="shared" si="72"/>
        <v>-0.32900000000000001</v>
      </c>
      <c r="CN39" s="7">
        <f t="shared" si="72"/>
        <v>-0.32900000000000001</v>
      </c>
      <c r="CO39" s="7">
        <f t="shared" si="72"/>
        <v>-0.32900000000000001</v>
      </c>
      <c r="CP39" s="7">
        <f>ROUND(-0.33,10)</f>
        <v>-0.33</v>
      </c>
      <c r="CQ39" s="7">
        <f>ROUND(-0.331,10)</f>
        <v>-0.33100000000000002</v>
      </c>
      <c r="CR39" s="7">
        <f>ROUND(-0.331,10)</f>
        <v>-0.33100000000000002</v>
      </c>
      <c r="CS39" s="7">
        <f>ROUND(-0.331,10)</f>
        <v>-0.33100000000000002</v>
      </c>
      <c r="CT39" s="7">
        <f>ROUND(-0.331,10)</f>
        <v>-0.33100000000000002</v>
      </c>
      <c r="CU39" s="7">
        <f>ROUND(-0.329,10)</f>
        <v>-0.32900000000000001</v>
      </c>
      <c r="CV39" s="7">
        <f>ROUND(-0.33,10)</f>
        <v>-0.33</v>
      </c>
      <c r="CW39" s="7">
        <f t="shared" ref="CW39:DG39" si="73">ROUND(-0.329,10)</f>
        <v>-0.32900000000000001</v>
      </c>
      <c r="CX39" s="7">
        <f t="shared" si="73"/>
        <v>-0.32900000000000001</v>
      </c>
      <c r="CY39" s="7">
        <f t="shared" si="73"/>
        <v>-0.32900000000000001</v>
      </c>
      <c r="CZ39" s="7">
        <f t="shared" si="73"/>
        <v>-0.32900000000000001</v>
      </c>
      <c r="DA39" s="7">
        <f t="shared" si="73"/>
        <v>-0.32900000000000001</v>
      </c>
      <c r="DB39" s="7">
        <f t="shared" si="73"/>
        <v>-0.32900000000000001</v>
      </c>
      <c r="DC39" s="7">
        <f t="shared" si="73"/>
        <v>-0.32900000000000001</v>
      </c>
      <c r="DD39" s="7">
        <f t="shared" si="73"/>
        <v>-0.32900000000000001</v>
      </c>
      <c r="DE39" s="7">
        <f t="shared" si="73"/>
        <v>-0.32900000000000001</v>
      </c>
      <c r="DF39" s="7">
        <f t="shared" si="73"/>
        <v>-0.32900000000000001</v>
      </c>
      <c r="DG39" s="7">
        <f t="shared" si="73"/>
        <v>-0.32900000000000001</v>
      </c>
      <c r="DH39" s="7">
        <f>ROUND(-0.33,10)</f>
        <v>-0.33</v>
      </c>
      <c r="DI39" s="7">
        <f>ROUND(-0.331,10)</f>
        <v>-0.33100000000000002</v>
      </c>
      <c r="DJ39" s="7">
        <f>ROUND(-0.331,10)</f>
        <v>-0.33100000000000002</v>
      </c>
      <c r="DK39" s="7">
        <f>ROUND(-0.331,10)</f>
        <v>-0.33100000000000002</v>
      </c>
      <c r="DL39" s="7">
        <f>ROUND(-0.331,10)</f>
        <v>-0.33100000000000002</v>
      </c>
      <c r="DM39" s="7">
        <f>ROUND(-0.329,10)</f>
        <v>-0.32900000000000001</v>
      </c>
      <c r="DN39" s="7">
        <f>ROUND(-0.329,10)</f>
        <v>-0.32900000000000001</v>
      </c>
      <c r="DO39" s="7">
        <f>ROUND(-0.329,10)</f>
        <v>-0.32900000000000001</v>
      </c>
      <c r="DP39" s="7">
        <f>ROUND(-0.329,10)</f>
        <v>-0.32900000000000001</v>
      </c>
      <c r="DQ39" s="7">
        <f>ROUND(-0.329,10)</f>
        <v>-0.32900000000000001</v>
      </c>
      <c r="DR39" s="7">
        <f>ROUND(-0.33,10)</f>
        <v>-0.33</v>
      </c>
      <c r="DS39" s="7">
        <f t="shared" ref="DS39:DY39" si="74">ROUND(-0.331,10)</f>
        <v>-0.33100000000000002</v>
      </c>
      <c r="DT39" s="7">
        <f t="shared" si="74"/>
        <v>-0.33100000000000002</v>
      </c>
      <c r="DU39" s="7">
        <f t="shared" si="74"/>
        <v>-0.33100000000000002</v>
      </c>
      <c r="DV39" s="7">
        <f t="shared" si="74"/>
        <v>-0.33100000000000002</v>
      </c>
      <c r="DW39" s="7">
        <f t="shared" si="74"/>
        <v>-0.33100000000000002</v>
      </c>
      <c r="DX39" s="7">
        <f t="shared" si="74"/>
        <v>-0.33100000000000002</v>
      </c>
      <c r="DY39" s="7">
        <f t="shared" si="74"/>
        <v>-0.33100000000000002</v>
      </c>
      <c r="DZ39" s="7">
        <f>ROUND(-0.329,10)</f>
        <v>-0.32900000000000001</v>
      </c>
      <c r="EA39" s="7">
        <f>ROUND(-0.331,10)</f>
        <v>-0.33100000000000002</v>
      </c>
      <c r="EB39" s="7">
        <f>ROUND(-0.33,10)</f>
        <v>-0.33</v>
      </c>
      <c r="EC39" s="7">
        <f t="shared" ref="EC39:EH39" si="75">ROUND(-0.331,10)</f>
        <v>-0.33100000000000002</v>
      </c>
      <c r="ED39" s="7">
        <f t="shared" si="75"/>
        <v>-0.33100000000000002</v>
      </c>
      <c r="EE39" s="7">
        <f t="shared" si="75"/>
        <v>-0.33100000000000002</v>
      </c>
      <c r="EF39" s="7">
        <f t="shared" si="75"/>
        <v>-0.33100000000000002</v>
      </c>
      <c r="EG39" s="7">
        <f t="shared" si="75"/>
        <v>-0.33100000000000002</v>
      </c>
      <c r="EH39" s="7">
        <f t="shared" si="75"/>
        <v>-0.33100000000000002</v>
      </c>
      <c r="EI39" s="7">
        <f>ROUND(-0.33,10)</f>
        <v>-0.33</v>
      </c>
      <c r="EJ39" s="7">
        <f>ROUND(-0.331,10)</f>
        <v>-0.33100000000000002</v>
      </c>
      <c r="EK39" s="7">
        <f>ROUND(-0.332,10)</f>
        <v>-0.33200000000000002</v>
      </c>
      <c r="EL39" s="7">
        <f>ROUND(-0.332,10)</f>
        <v>-0.33200000000000002</v>
      </c>
      <c r="EM39" s="7">
        <f>ROUND(-0.331,10)</f>
        <v>-0.33100000000000002</v>
      </c>
      <c r="EN39" s="7">
        <f>ROUND(-0.329,10)</f>
        <v>-0.32900000000000001</v>
      </c>
      <c r="EO39" s="7">
        <f>ROUND(-0.329,10)</f>
        <v>-0.32900000000000001</v>
      </c>
      <c r="EP39" s="7">
        <f>ROUND(-0.33,10)</f>
        <v>-0.33</v>
      </c>
      <c r="EQ39" s="7">
        <f>ROUND(-0.329,10)</f>
        <v>-0.32900000000000001</v>
      </c>
      <c r="ER39" s="7">
        <f>ROUND(-0.329,10)</f>
        <v>-0.32900000000000001</v>
      </c>
      <c r="ES39" s="7">
        <f>ROUND(-0.33,10)</f>
        <v>-0.33</v>
      </c>
      <c r="ET39" s="7">
        <f>ROUND(-0.331,10)</f>
        <v>-0.33100000000000002</v>
      </c>
      <c r="EU39" s="7">
        <f>ROUND(-0.331,10)</f>
        <v>-0.33100000000000002</v>
      </c>
      <c r="EV39" s="7">
        <f>ROUND(-0.329,10)</f>
        <v>-0.32900000000000001</v>
      </c>
      <c r="EW39" s="7">
        <f>ROUND(-0.329,10)</f>
        <v>-0.32900000000000001</v>
      </c>
      <c r="EX39" s="7">
        <f>ROUND(-0.328,10)</f>
        <v>-0.32800000000000001</v>
      </c>
      <c r="EY39" s="7">
        <f>ROUND(-0.328,10)</f>
        <v>-0.32800000000000001</v>
      </c>
      <c r="EZ39" s="7">
        <f>ROUND(-0.328,10)</f>
        <v>-0.32800000000000001</v>
      </c>
      <c r="FA39" s="7">
        <f t="shared" ref="FA39:FH39" si="76">ROUND(-0.329,10)</f>
        <v>-0.32900000000000001</v>
      </c>
      <c r="FB39" s="7">
        <f t="shared" si="76"/>
        <v>-0.32900000000000001</v>
      </c>
      <c r="FC39" s="7">
        <f t="shared" si="76"/>
        <v>-0.32900000000000001</v>
      </c>
      <c r="FD39" s="7">
        <f t="shared" si="76"/>
        <v>-0.32900000000000001</v>
      </c>
      <c r="FE39" s="7">
        <f t="shared" si="76"/>
        <v>-0.32900000000000001</v>
      </c>
      <c r="FF39" s="7">
        <f t="shared" si="76"/>
        <v>-0.32900000000000001</v>
      </c>
      <c r="FG39" s="7">
        <f t="shared" si="76"/>
        <v>-0.32900000000000001</v>
      </c>
      <c r="FH39" s="7">
        <f t="shared" si="76"/>
        <v>-0.32900000000000001</v>
      </c>
      <c r="FI39" s="7">
        <f>ROUND(-0.328,10)</f>
        <v>-0.32800000000000001</v>
      </c>
      <c r="FJ39" s="7">
        <f>ROUND(-0.329,10)</f>
        <v>-0.32900000000000001</v>
      </c>
      <c r="FK39" s="7">
        <f>ROUND(-0.329,10)</f>
        <v>-0.32900000000000001</v>
      </c>
      <c r="FL39" s="7">
        <f>ROUND(-0.329,10)</f>
        <v>-0.32900000000000001</v>
      </c>
      <c r="FM39" s="7">
        <f>ROUND(-0.329,10)</f>
        <v>-0.32900000000000001</v>
      </c>
      <c r="FN39" s="7">
        <f>ROUND(-0.33,10)</f>
        <v>-0.33</v>
      </c>
      <c r="FO39" s="7">
        <f>ROUND(-0.33,10)</f>
        <v>-0.33</v>
      </c>
      <c r="FP39" s="7">
        <f>ROUND(-0.329,10)</f>
        <v>-0.32900000000000001</v>
      </c>
      <c r="FQ39" s="7">
        <f>ROUND(-0.329,10)</f>
        <v>-0.32900000000000001</v>
      </c>
      <c r="FR39" s="7">
        <f>ROUND(-0.329,10)</f>
        <v>-0.32900000000000001</v>
      </c>
      <c r="FS39" s="7">
        <f>ROUND(-0.329,10)</f>
        <v>-0.32900000000000001</v>
      </c>
      <c r="FT39" s="7">
        <f>ROUND(-0.329,10)</f>
        <v>-0.32900000000000001</v>
      </c>
      <c r="FU39" s="7">
        <f>ROUND(-0.33,10)</f>
        <v>-0.33</v>
      </c>
      <c r="FV39" s="7">
        <f>ROUND(-0.331,10)</f>
        <v>-0.33100000000000002</v>
      </c>
      <c r="FW39" s="7">
        <f>ROUND(-0.331,10)</f>
        <v>-0.33100000000000002</v>
      </c>
      <c r="FX39" s="7">
        <f>ROUND(-0.33,10)</f>
        <v>-0.33</v>
      </c>
      <c r="FY39" s="7">
        <f>ROUND(-0.329,10)</f>
        <v>-0.32900000000000001</v>
      </c>
      <c r="FZ39" s="7">
        <f>ROUND(-0.329,10)</f>
        <v>-0.32900000000000001</v>
      </c>
      <c r="GA39" s="7">
        <f>ROUND(-0.329,10)</f>
        <v>-0.32900000000000001</v>
      </c>
      <c r="GB39" s="7">
        <f>ROUND(-0.329,10)</f>
        <v>-0.32900000000000001</v>
      </c>
      <c r="GC39" s="7">
        <f>ROUND(-0.33,10)</f>
        <v>-0.33</v>
      </c>
      <c r="GD39" s="7">
        <f>ROUND(-0.329,10)</f>
        <v>-0.32900000000000001</v>
      </c>
      <c r="GE39" s="7">
        <f>ROUND(-0.33,10)</f>
        <v>-0.33</v>
      </c>
      <c r="GF39" s="7">
        <f t="shared" ref="GF39:GL39" si="77">ROUND(-0.329,10)</f>
        <v>-0.32900000000000001</v>
      </c>
      <c r="GG39" s="7">
        <f t="shared" si="77"/>
        <v>-0.32900000000000001</v>
      </c>
      <c r="GH39" s="7">
        <f t="shared" si="77"/>
        <v>-0.32900000000000001</v>
      </c>
      <c r="GI39" s="7">
        <f t="shared" si="77"/>
        <v>-0.32900000000000001</v>
      </c>
      <c r="GJ39" s="7">
        <f t="shared" si="77"/>
        <v>-0.32900000000000001</v>
      </c>
      <c r="GK39" s="7">
        <f t="shared" si="77"/>
        <v>-0.32900000000000001</v>
      </c>
      <c r="GL39" s="7">
        <f t="shared" si="77"/>
        <v>-0.32900000000000001</v>
      </c>
      <c r="GM39" s="7">
        <f>ROUND(-0.33,10)</f>
        <v>-0.33</v>
      </c>
      <c r="GN39" s="7">
        <f t="shared" ref="GN39:HA39" si="78">ROUND(-0.329,10)</f>
        <v>-0.32900000000000001</v>
      </c>
      <c r="GO39" s="7">
        <f t="shared" si="78"/>
        <v>-0.32900000000000001</v>
      </c>
      <c r="GP39" s="7">
        <f t="shared" si="78"/>
        <v>-0.32900000000000001</v>
      </c>
      <c r="GQ39" s="7">
        <f t="shared" si="78"/>
        <v>-0.32900000000000001</v>
      </c>
      <c r="GR39" s="7">
        <f t="shared" si="78"/>
        <v>-0.32900000000000001</v>
      </c>
      <c r="GS39" s="7">
        <f t="shared" si="78"/>
        <v>-0.32900000000000001</v>
      </c>
      <c r="GT39" s="7">
        <f t="shared" si="78"/>
        <v>-0.32900000000000001</v>
      </c>
      <c r="GU39" s="7">
        <f t="shared" si="78"/>
        <v>-0.32900000000000001</v>
      </c>
      <c r="GV39" s="7">
        <f t="shared" si="78"/>
        <v>-0.32900000000000001</v>
      </c>
      <c r="GW39" s="7">
        <f t="shared" si="78"/>
        <v>-0.32900000000000001</v>
      </c>
      <c r="GX39" s="7">
        <f t="shared" si="78"/>
        <v>-0.32900000000000001</v>
      </c>
      <c r="GY39" s="7">
        <f t="shared" si="78"/>
        <v>-0.32900000000000001</v>
      </c>
      <c r="GZ39" s="7">
        <f t="shared" si="78"/>
        <v>-0.32900000000000001</v>
      </c>
      <c r="HA39" s="7">
        <f t="shared" si="78"/>
        <v>-0.32900000000000001</v>
      </c>
      <c r="HB39" s="7">
        <f>ROUND(-0.33,10)</f>
        <v>-0.33</v>
      </c>
      <c r="HC39" s="7">
        <f>ROUND(-0.331,10)</f>
        <v>-0.33100000000000002</v>
      </c>
      <c r="HD39" s="7">
        <f>ROUND(-0.331,10)</f>
        <v>-0.33100000000000002</v>
      </c>
      <c r="HE39" s="7">
        <f>ROUND(-0.331,10)</f>
        <v>-0.33100000000000002</v>
      </c>
      <c r="HF39" s="7">
        <f>ROUND(-0.331,10)</f>
        <v>-0.33100000000000002</v>
      </c>
      <c r="HG39" s="7">
        <f>ROUND(-0.331,10)</f>
        <v>-0.33100000000000002</v>
      </c>
      <c r="HH39" s="7">
        <f t="shared" ref="HH39:IC39" si="79">ROUND(-0.329,10)</f>
        <v>-0.32900000000000001</v>
      </c>
      <c r="HI39" s="7">
        <f t="shared" si="79"/>
        <v>-0.32900000000000001</v>
      </c>
      <c r="HJ39" s="7">
        <f t="shared" si="79"/>
        <v>-0.32900000000000001</v>
      </c>
      <c r="HK39" s="7">
        <f t="shared" si="79"/>
        <v>-0.32900000000000001</v>
      </c>
      <c r="HL39" s="7">
        <f t="shared" si="79"/>
        <v>-0.32900000000000001</v>
      </c>
      <c r="HM39" s="7">
        <f t="shared" si="79"/>
        <v>-0.32900000000000001</v>
      </c>
      <c r="HN39" s="7">
        <f t="shared" si="79"/>
        <v>-0.32900000000000001</v>
      </c>
      <c r="HO39" s="7">
        <f t="shared" si="79"/>
        <v>-0.32900000000000001</v>
      </c>
      <c r="HP39" s="7">
        <f t="shared" si="79"/>
        <v>-0.32900000000000001</v>
      </c>
      <c r="HQ39" s="7">
        <f t="shared" si="79"/>
        <v>-0.32900000000000001</v>
      </c>
      <c r="HR39" s="7">
        <f t="shared" si="79"/>
        <v>-0.32900000000000001</v>
      </c>
      <c r="HS39" s="7">
        <f t="shared" si="79"/>
        <v>-0.32900000000000001</v>
      </c>
      <c r="HT39" s="7">
        <f t="shared" si="79"/>
        <v>-0.32900000000000001</v>
      </c>
      <c r="HU39" s="7">
        <f t="shared" si="79"/>
        <v>-0.32900000000000001</v>
      </c>
      <c r="HV39" s="7">
        <f t="shared" si="79"/>
        <v>-0.32900000000000001</v>
      </c>
      <c r="HW39" s="7">
        <f t="shared" si="79"/>
        <v>-0.32900000000000001</v>
      </c>
      <c r="HX39" s="7">
        <f t="shared" si="79"/>
        <v>-0.32900000000000001</v>
      </c>
      <c r="HY39" s="7">
        <f t="shared" si="79"/>
        <v>-0.32900000000000001</v>
      </c>
      <c r="HZ39" s="7">
        <f t="shared" si="79"/>
        <v>-0.32900000000000001</v>
      </c>
      <c r="IA39" s="7">
        <f t="shared" si="79"/>
        <v>-0.32900000000000001</v>
      </c>
      <c r="IB39" s="7">
        <f t="shared" si="79"/>
        <v>-0.32900000000000001</v>
      </c>
      <c r="IC39" s="7">
        <f t="shared" si="79"/>
        <v>-0.32900000000000001</v>
      </c>
      <c r="ID39" s="7">
        <f>ROUND(-0.326,10)</f>
        <v>-0.32600000000000001</v>
      </c>
      <c r="IE39" s="7">
        <f>ROUND(-0.326,10)</f>
        <v>-0.32600000000000001</v>
      </c>
      <c r="IF39" s="7">
        <f>ROUND(-0.326,10)</f>
        <v>-0.32600000000000001</v>
      </c>
      <c r="IG39" s="7">
        <f>ROUND(-0.326,10)</f>
        <v>-0.32600000000000001</v>
      </c>
      <c r="IH39" s="7">
        <f>ROUND(-0.325,10)</f>
        <v>-0.32500000000000001</v>
      </c>
      <c r="II39" s="7">
        <f>ROUND(-0.326,10)</f>
        <v>-0.32600000000000001</v>
      </c>
      <c r="IJ39" s="7">
        <f>ROUND(-0.327,10)</f>
        <v>-0.32700000000000001</v>
      </c>
      <c r="IK39" s="7">
        <f>ROUND(-0.327,10)</f>
        <v>-0.32700000000000001</v>
      </c>
      <c r="IL39" s="7">
        <f>ROUND(-0.329,10)</f>
        <v>-0.32900000000000001</v>
      </c>
      <c r="IM39" s="7">
        <f>ROUND(-0.331,10)</f>
        <v>-0.33100000000000002</v>
      </c>
      <c r="IN39" s="7">
        <f t="shared" ref="IN39:IV39" si="80">ROUND(-0.329,10)</f>
        <v>-0.32900000000000001</v>
      </c>
      <c r="IO39" s="7">
        <f t="shared" si="80"/>
        <v>-0.32900000000000001</v>
      </c>
      <c r="IP39" s="7">
        <f t="shared" si="80"/>
        <v>-0.32900000000000001</v>
      </c>
      <c r="IQ39" s="7">
        <f t="shared" si="80"/>
        <v>-0.32900000000000001</v>
      </c>
      <c r="IR39" s="7">
        <f t="shared" si="80"/>
        <v>-0.32900000000000001</v>
      </c>
      <c r="IS39" s="7">
        <f t="shared" si="80"/>
        <v>-0.32900000000000001</v>
      </c>
      <c r="IT39" s="7">
        <f t="shared" si="80"/>
        <v>-0.32900000000000001</v>
      </c>
      <c r="IU39" s="7">
        <f t="shared" si="80"/>
        <v>-0.32900000000000001</v>
      </c>
      <c r="IV39" s="7">
        <f t="shared" si="80"/>
        <v>-0.32900000000000001</v>
      </c>
    </row>
    <row r="40" spans="1:256" s="16" customFormat="1">
      <c r="A40" s="14" t="s">
        <v>40</v>
      </c>
      <c r="B40" s="15">
        <f>ROUND(-0.22,10)</f>
        <v>-0.22</v>
      </c>
      <c r="C40" s="15">
        <f>ROUND(-0.221,10)</f>
        <v>-0.221</v>
      </c>
      <c r="D40" s="17">
        <f>ROUND(-0.224,10)</f>
        <v>-0.224</v>
      </c>
      <c r="E40" s="15">
        <f>ROUND(-0.226,10)</f>
        <v>-0.22600000000000001</v>
      </c>
      <c r="F40" s="15">
        <f>ROUND(-0.229,10)</f>
        <v>-0.22900000000000001</v>
      </c>
      <c r="G40" s="15">
        <f>ROUND(-0.23,10)</f>
        <v>-0.23</v>
      </c>
      <c r="H40" s="15">
        <f>ROUND(-0.232,10)</f>
        <v>-0.23200000000000001</v>
      </c>
      <c r="I40" s="15">
        <f>ROUND(-0.233,10)</f>
        <v>-0.23300000000000001</v>
      </c>
      <c r="J40" s="15">
        <f>ROUND(-0.234,10)</f>
        <v>-0.23400000000000001</v>
      </c>
      <c r="K40" s="15">
        <f>ROUND(-0.236,10)</f>
        <v>-0.23599999999999999</v>
      </c>
      <c r="L40" s="15">
        <f>ROUND(-0.238,10)</f>
        <v>-0.23799999999999999</v>
      </c>
      <c r="M40" s="15">
        <f>ROUND(-0.239,10)</f>
        <v>-0.23899999999999999</v>
      </c>
      <c r="N40" s="15">
        <f>ROUND(-0.24,10)</f>
        <v>-0.24</v>
      </c>
      <c r="O40" s="15">
        <f>ROUND(-0.24,10)</f>
        <v>-0.24</v>
      </c>
      <c r="P40" s="15">
        <f>ROUND(-0.241,10)</f>
        <v>-0.24099999999999999</v>
      </c>
      <c r="Q40" s="15">
        <f>ROUND(-0.241,10)</f>
        <v>-0.24099999999999999</v>
      </c>
      <c r="R40" s="15">
        <f>ROUND(-0.242,10)</f>
        <v>-0.24199999999999999</v>
      </c>
      <c r="S40" s="15">
        <f>ROUND(-0.242,10)</f>
        <v>-0.24199999999999999</v>
      </c>
      <c r="T40" s="15">
        <f>ROUND(-0.244,10)</f>
        <v>-0.24399999999999999</v>
      </c>
      <c r="U40" s="15">
        <f>ROUND(-0.243,10)</f>
        <v>-0.24299999999999999</v>
      </c>
      <c r="V40" s="15">
        <f>ROUND(-0.244,10)</f>
        <v>-0.24399999999999999</v>
      </c>
      <c r="W40" s="15">
        <f>ROUND(-0.243,10)</f>
        <v>-0.24299999999999999</v>
      </c>
      <c r="X40" s="15">
        <f>ROUND(-0.244,10)</f>
        <v>-0.24399999999999999</v>
      </c>
      <c r="Y40" s="15">
        <f>ROUND(-0.244,10)</f>
        <v>-0.24399999999999999</v>
      </c>
      <c r="Z40" s="15">
        <f>ROUND(-0.244,10)</f>
        <v>-0.24399999999999999</v>
      </c>
      <c r="AA40" s="15">
        <f>ROUND(-0.244,10)</f>
        <v>-0.24399999999999999</v>
      </c>
      <c r="AB40" s="15">
        <f>ROUND(-0.244,10)</f>
        <v>-0.24399999999999999</v>
      </c>
      <c r="AC40" s="15">
        <f>ROUND(-0.242,10)</f>
        <v>-0.24199999999999999</v>
      </c>
      <c r="AD40" s="15">
        <f>ROUND(-0.241,10)</f>
        <v>-0.24099999999999999</v>
      </c>
      <c r="AE40" s="15">
        <f>ROUND(-0.24,10)</f>
        <v>-0.24</v>
      </c>
      <c r="AF40" s="15">
        <f>ROUND(-0.24,10)</f>
        <v>-0.24</v>
      </c>
      <c r="AG40" s="15">
        <f>ROUND(-0.241,10)</f>
        <v>-0.24099999999999999</v>
      </c>
      <c r="AH40" s="15">
        <f>ROUND(-0.241,10)</f>
        <v>-0.24099999999999999</v>
      </c>
      <c r="AI40" s="15">
        <f>ROUND(-0.239,10)</f>
        <v>-0.23899999999999999</v>
      </c>
      <c r="AJ40" s="15">
        <f>ROUND(-0.239,10)</f>
        <v>-0.23899999999999999</v>
      </c>
      <c r="AK40" s="15">
        <f>ROUND(-0.238,10)</f>
        <v>-0.23799999999999999</v>
      </c>
      <c r="AL40" s="15">
        <f>ROUND(-0.238,10)</f>
        <v>-0.23799999999999999</v>
      </c>
      <c r="AM40" s="15">
        <f>ROUND(-0.239,10)</f>
        <v>-0.23899999999999999</v>
      </c>
      <c r="AN40" s="15">
        <f>ROUND(-0.238,10)</f>
        <v>-0.23799999999999999</v>
      </c>
      <c r="AO40" s="15">
        <f>ROUND(-0.238,10)</f>
        <v>-0.23799999999999999</v>
      </c>
      <c r="AP40" s="15">
        <f>ROUND(-0.238,10)</f>
        <v>-0.23799999999999999</v>
      </c>
      <c r="AQ40" s="15">
        <f>ROUND(-0.239,10)</f>
        <v>-0.23899999999999999</v>
      </c>
      <c r="AR40" s="15">
        <f>ROUND(-0.237,10)</f>
        <v>-0.23699999999999999</v>
      </c>
      <c r="AS40" s="15">
        <f>ROUND(-0.238,10)</f>
        <v>-0.23799999999999999</v>
      </c>
      <c r="AT40" s="15">
        <f>ROUND(-0.237,10)</f>
        <v>-0.23699999999999999</v>
      </c>
      <c r="AU40" s="15">
        <f>ROUND(-0.241,10)</f>
        <v>-0.24099999999999999</v>
      </c>
      <c r="AV40" s="15">
        <f>ROUND(-0.24,10)</f>
        <v>-0.24</v>
      </c>
      <c r="AW40" s="15">
        <f t="shared" ref="AW40:BF40" si="81">ROUND(-0.241,10)</f>
        <v>-0.24099999999999999</v>
      </c>
      <c r="AX40" s="15">
        <f t="shared" si="81"/>
        <v>-0.24099999999999999</v>
      </c>
      <c r="AY40" s="15">
        <f t="shared" si="81"/>
        <v>-0.24099999999999999</v>
      </c>
      <c r="AZ40" s="15">
        <f t="shared" si="81"/>
        <v>-0.24099999999999999</v>
      </c>
      <c r="BA40" s="15">
        <f t="shared" si="81"/>
        <v>-0.24099999999999999</v>
      </c>
      <c r="BB40" s="15">
        <f t="shared" si="81"/>
        <v>-0.24099999999999999</v>
      </c>
      <c r="BC40" s="15">
        <f t="shared" si="81"/>
        <v>-0.24099999999999999</v>
      </c>
      <c r="BD40" s="15">
        <f t="shared" si="81"/>
        <v>-0.24099999999999999</v>
      </c>
      <c r="BE40" s="15">
        <f t="shared" si="81"/>
        <v>-0.24099999999999999</v>
      </c>
      <c r="BF40" s="15">
        <f t="shared" si="81"/>
        <v>-0.24099999999999999</v>
      </c>
      <c r="BG40" s="15">
        <f t="shared" ref="BG40:BL40" si="82">ROUND(-0.242,10)</f>
        <v>-0.24199999999999999</v>
      </c>
      <c r="BH40" s="15">
        <f t="shared" si="82"/>
        <v>-0.24199999999999999</v>
      </c>
      <c r="BI40" s="15">
        <f t="shared" si="82"/>
        <v>-0.24199999999999999</v>
      </c>
      <c r="BJ40" s="15">
        <f t="shared" si="82"/>
        <v>-0.24199999999999999</v>
      </c>
      <c r="BK40" s="15">
        <f t="shared" si="82"/>
        <v>-0.24199999999999999</v>
      </c>
      <c r="BL40" s="15">
        <f t="shared" si="82"/>
        <v>-0.24199999999999999</v>
      </c>
      <c r="BM40" s="15">
        <f>ROUND(-0.241,10)</f>
        <v>-0.24099999999999999</v>
      </c>
      <c r="BN40" s="15">
        <f>ROUND(-0.241,10)</f>
        <v>-0.24099999999999999</v>
      </c>
      <c r="BO40" s="15">
        <f>ROUND(-0.243,10)</f>
        <v>-0.24299999999999999</v>
      </c>
      <c r="BP40" s="15">
        <f>ROUND(-0.242,10)</f>
        <v>-0.24199999999999999</v>
      </c>
      <c r="BQ40" s="15">
        <f>ROUND(-0.241,10)</f>
        <v>-0.24099999999999999</v>
      </c>
      <c r="BR40" s="15">
        <f>ROUND(-0.242,10)</f>
        <v>-0.24199999999999999</v>
      </c>
      <c r="BS40" s="15">
        <f>ROUND(-0.241,10)</f>
        <v>-0.24099999999999999</v>
      </c>
      <c r="BT40" s="15">
        <f>ROUND(-0.241,10)</f>
        <v>-0.24099999999999999</v>
      </c>
      <c r="BU40" s="15">
        <f>ROUND(-0.242,10)</f>
        <v>-0.24199999999999999</v>
      </c>
      <c r="BV40" s="15">
        <f>ROUND(-0.242,10)</f>
        <v>-0.24199999999999999</v>
      </c>
      <c r="BW40" s="15">
        <f>ROUND(-0.246,10)</f>
        <v>-0.246</v>
      </c>
      <c r="BX40" s="15">
        <f>ROUND(-0.25,10)</f>
        <v>-0.25</v>
      </c>
      <c r="BY40" s="15">
        <f>ROUND(-0.251,10)</f>
        <v>-0.251</v>
      </c>
      <c r="BZ40" s="15">
        <f>ROUND(-0.249,10)</f>
        <v>-0.249</v>
      </c>
      <c r="CA40" s="15">
        <f>ROUND(-0.249,10)</f>
        <v>-0.249</v>
      </c>
      <c r="CB40" s="15">
        <f>ROUND(-0.247,10)</f>
        <v>-0.247</v>
      </c>
      <c r="CC40" s="15">
        <f>ROUND(-0.248,10)</f>
        <v>-0.248</v>
      </c>
      <c r="CD40" s="15">
        <f>ROUND(-0.248,10)</f>
        <v>-0.248</v>
      </c>
      <c r="CE40" s="15">
        <f>ROUND(-0.248,10)</f>
        <v>-0.248</v>
      </c>
      <c r="CF40" s="15">
        <f>ROUND(-0.249,10)</f>
        <v>-0.249</v>
      </c>
      <c r="CG40" s="15">
        <f>ROUND(-0.249,10)</f>
        <v>-0.249</v>
      </c>
      <c r="CH40" s="15">
        <f>ROUND(-0.251,10)</f>
        <v>-0.251</v>
      </c>
      <c r="CI40" s="15">
        <f>ROUND(-0.25,10)</f>
        <v>-0.25</v>
      </c>
      <c r="CJ40" s="15">
        <f>ROUND(-0.248,10)</f>
        <v>-0.248</v>
      </c>
      <c r="CK40" s="15">
        <f>ROUND(-0.249,10)</f>
        <v>-0.249</v>
      </c>
      <c r="CL40" s="15">
        <f>ROUND(-0.249,10)</f>
        <v>-0.249</v>
      </c>
      <c r="CM40" s="15">
        <f>ROUND(-0.249,10)</f>
        <v>-0.249</v>
      </c>
      <c r="CN40" s="15">
        <f>ROUND(-0.25,10)</f>
        <v>-0.25</v>
      </c>
      <c r="CO40" s="15">
        <f>ROUND(-0.251,10)</f>
        <v>-0.251</v>
      </c>
      <c r="CP40" s="15">
        <f>ROUND(-0.251,10)</f>
        <v>-0.251</v>
      </c>
      <c r="CQ40" s="15">
        <f>ROUND(-0.25,10)</f>
        <v>-0.25</v>
      </c>
      <c r="CR40" s="15">
        <f>ROUND(-0.251,10)</f>
        <v>-0.251</v>
      </c>
      <c r="CS40" s="15">
        <f>ROUND(-0.251,10)</f>
        <v>-0.251</v>
      </c>
      <c r="CT40" s="15">
        <f>ROUND(-0.251,10)</f>
        <v>-0.251</v>
      </c>
      <c r="CU40" s="15">
        <f>ROUND(-0.251,10)</f>
        <v>-0.251</v>
      </c>
      <c r="CV40" s="15">
        <f>ROUND(-0.251,10)</f>
        <v>-0.251</v>
      </c>
      <c r="CW40" s="15">
        <f>ROUND(-0.25,10)</f>
        <v>-0.25</v>
      </c>
      <c r="CX40" s="15">
        <f>ROUND(-0.251,10)</f>
        <v>-0.251</v>
      </c>
      <c r="CY40" s="15">
        <f>ROUND(-0.254,10)</f>
        <v>-0.254</v>
      </c>
      <c r="CZ40" s="15">
        <f>ROUND(-0.254,10)</f>
        <v>-0.254</v>
      </c>
      <c r="DA40" s="15">
        <f>ROUND(-0.254,10)</f>
        <v>-0.254</v>
      </c>
      <c r="DB40" s="15">
        <f>ROUND(-0.254,10)</f>
        <v>-0.254</v>
      </c>
      <c r="DC40" s="15">
        <f>ROUND(-0.254,10)</f>
        <v>-0.254</v>
      </c>
      <c r="DD40" s="15">
        <f>ROUND(-0.255,10)</f>
        <v>-0.255</v>
      </c>
      <c r="DE40" s="15">
        <f>ROUND(-0.256,10)</f>
        <v>-0.25600000000000001</v>
      </c>
      <c r="DF40" s="15">
        <f>ROUND(-0.257,10)</f>
        <v>-0.25700000000000001</v>
      </c>
      <c r="DG40" s="15">
        <f>ROUND(-0.259,10)</f>
        <v>-0.25900000000000001</v>
      </c>
      <c r="DH40" s="15">
        <f>ROUND(-0.26,10)</f>
        <v>-0.26</v>
      </c>
      <c r="DI40" s="15">
        <f>ROUND(-0.264,10)</f>
        <v>-0.26400000000000001</v>
      </c>
      <c r="DJ40" s="15">
        <f>ROUND(-0.266,10)</f>
        <v>-0.26600000000000001</v>
      </c>
      <c r="DK40" s="15">
        <f>ROUND(-0.27,10)</f>
        <v>-0.27</v>
      </c>
      <c r="DL40" s="15">
        <f t="shared" ref="DL40:DQ40" si="83">ROUND(-0.271,10)</f>
        <v>-0.27100000000000002</v>
      </c>
      <c r="DM40" s="15">
        <f t="shared" si="83"/>
        <v>-0.27100000000000002</v>
      </c>
      <c r="DN40" s="15">
        <f t="shared" si="83"/>
        <v>-0.27100000000000002</v>
      </c>
      <c r="DO40" s="15">
        <f t="shared" si="83"/>
        <v>-0.27100000000000002</v>
      </c>
      <c r="DP40" s="15">
        <f t="shared" si="83"/>
        <v>-0.27100000000000002</v>
      </c>
      <c r="DQ40" s="15">
        <f t="shared" si="83"/>
        <v>-0.27100000000000002</v>
      </c>
      <c r="DR40" s="15">
        <f>ROUND(-0.272,10)</f>
        <v>-0.27200000000000002</v>
      </c>
      <c r="DS40" s="15">
        <f>ROUND(-0.273,10)</f>
        <v>-0.27300000000000002</v>
      </c>
      <c r="DT40" s="15">
        <f>ROUND(-0.273,10)</f>
        <v>-0.27300000000000002</v>
      </c>
      <c r="DU40" s="15">
        <f>ROUND(-0.273,10)</f>
        <v>-0.27300000000000002</v>
      </c>
      <c r="DV40" s="15">
        <f>ROUND(-0.271,10)</f>
        <v>-0.27100000000000002</v>
      </c>
      <c r="DW40" s="15">
        <f>ROUND(-0.27,10)</f>
        <v>-0.27</v>
      </c>
      <c r="DX40" s="15">
        <f>ROUND(-0.271,10)</f>
        <v>-0.27100000000000002</v>
      </c>
      <c r="DY40" s="15">
        <f>ROUND(-0.271,10)</f>
        <v>-0.27100000000000002</v>
      </c>
      <c r="DZ40" s="15">
        <f>ROUND(-0.272,10)</f>
        <v>-0.27200000000000002</v>
      </c>
      <c r="EA40" s="15">
        <f>ROUND(-0.274,10)</f>
        <v>-0.27400000000000002</v>
      </c>
      <c r="EB40" s="15">
        <f>ROUND(-0.273,10)</f>
        <v>-0.27300000000000002</v>
      </c>
      <c r="EC40" s="15">
        <f>ROUND(-0.272,10)</f>
        <v>-0.27200000000000002</v>
      </c>
      <c r="ED40" s="15">
        <f>ROUND(-0.273,10)</f>
        <v>-0.27300000000000002</v>
      </c>
      <c r="EE40" s="15">
        <f>ROUND(-0.273,10)</f>
        <v>-0.27300000000000002</v>
      </c>
      <c r="EF40" s="15">
        <f>ROUND(-0.273,10)</f>
        <v>-0.27300000000000002</v>
      </c>
      <c r="EG40" s="15">
        <f>ROUND(-0.273,10)</f>
        <v>-0.27300000000000002</v>
      </c>
      <c r="EH40" s="15">
        <f>ROUND(-0.273,10)</f>
        <v>-0.27300000000000002</v>
      </c>
      <c r="EI40" s="15">
        <f>ROUND(-0.274,10)</f>
        <v>-0.27400000000000002</v>
      </c>
      <c r="EJ40" s="15">
        <f>ROUND(-0.274,10)</f>
        <v>-0.27400000000000002</v>
      </c>
      <c r="EK40" s="15">
        <f>ROUND(-0.274,10)</f>
        <v>-0.27400000000000002</v>
      </c>
      <c r="EL40" s="15">
        <f>ROUND(-0.274,10)</f>
        <v>-0.27400000000000002</v>
      </c>
      <c r="EM40" s="15">
        <f>ROUND(-0.272,10)</f>
        <v>-0.27200000000000002</v>
      </c>
      <c r="EN40" s="15">
        <f>ROUND(-0.271,10)</f>
        <v>-0.27100000000000002</v>
      </c>
      <c r="EO40" s="15">
        <f>ROUND(-0.272,10)</f>
        <v>-0.27200000000000002</v>
      </c>
      <c r="EP40" s="15">
        <f>ROUND(-0.272,10)</f>
        <v>-0.27200000000000002</v>
      </c>
      <c r="EQ40" s="15">
        <f>ROUND(-0.272,10)</f>
        <v>-0.27200000000000002</v>
      </c>
      <c r="ER40" s="15">
        <f>ROUND(-0.272,10)</f>
        <v>-0.27200000000000002</v>
      </c>
      <c r="ES40" s="15">
        <f>ROUND(-0.271,10)</f>
        <v>-0.27100000000000002</v>
      </c>
      <c r="ET40" s="15">
        <f>ROUND(-0.272,10)</f>
        <v>-0.27200000000000002</v>
      </c>
      <c r="EU40" s="15">
        <f>ROUND(-0.273,10)</f>
        <v>-0.27300000000000002</v>
      </c>
      <c r="EV40" s="15">
        <f>ROUND(-0.272,10)</f>
        <v>-0.27200000000000002</v>
      </c>
      <c r="EW40" s="15">
        <f>ROUND(-0.271,10)</f>
        <v>-0.27100000000000002</v>
      </c>
      <c r="EX40" s="15">
        <f>ROUND(-0.27,10)</f>
        <v>-0.27</v>
      </c>
      <c r="EY40" s="15">
        <f>ROUND(-0.269,10)</f>
        <v>-0.26900000000000002</v>
      </c>
      <c r="EZ40" s="15">
        <f t="shared" ref="EZ40:FH40" si="84">ROUND(-0.271,10)</f>
        <v>-0.27100000000000002</v>
      </c>
      <c r="FA40" s="15">
        <f t="shared" si="84"/>
        <v>-0.27100000000000002</v>
      </c>
      <c r="FB40" s="15">
        <f t="shared" si="84"/>
        <v>-0.27100000000000002</v>
      </c>
      <c r="FC40" s="15">
        <f t="shared" si="84"/>
        <v>-0.27100000000000002</v>
      </c>
      <c r="FD40" s="15">
        <f t="shared" si="84"/>
        <v>-0.27100000000000002</v>
      </c>
      <c r="FE40" s="15">
        <f t="shared" si="84"/>
        <v>-0.27100000000000002</v>
      </c>
      <c r="FF40" s="15">
        <f t="shared" si="84"/>
        <v>-0.27100000000000002</v>
      </c>
      <c r="FG40" s="15">
        <f t="shared" si="84"/>
        <v>-0.27100000000000002</v>
      </c>
      <c r="FH40" s="15">
        <f t="shared" si="84"/>
        <v>-0.27100000000000002</v>
      </c>
      <c r="FI40" s="15">
        <f>ROUND(-0.273,10)</f>
        <v>-0.27300000000000002</v>
      </c>
      <c r="FJ40" s="15">
        <f>ROUND(-0.273,10)</f>
        <v>-0.27300000000000002</v>
      </c>
      <c r="FK40" s="15">
        <f>ROUND(-0.272,10)</f>
        <v>-0.27200000000000002</v>
      </c>
      <c r="FL40" s="15">
        <f>ROUND(-0.272,10)</f>
        <v>-0.27200000000000002</v>
      </c>
      <c r="FM40" s="15">
        <f>ROUND(-0.273,10)</f>
        <v>-0.27300000000000002</v>
      </c>
      <c r="FN40" s="15">
        <f>ROUND(-0.273,10)</f>
        <v>-0.27300000000000002</v>
      </c>
      <c r="FO40" s="15">
        <f>ROUND(-0.273,10)</f>
        <v>-0.27300000000000002</v>
      </c>
      <c r="FP40" s="15">
        <f>ROUND(-0.273,10)</f>
        <v>-0.27300000000000002</v>
      </c>
      <c r="FQ40" s="15">
        <f>ROUND(-0.273,10)</f>
        <v>-0.27300000000000002</v>
      </c>
      <c r="FR40" s="15">
        <f>ROUND(-0.274,10)</f>
        <v>-0.27400000000000002</v>
      </c>
      <c r="FS40" s="15">
        <f>ROUND(-0.274,10)</f>
        <v>-0.27400000000000002</v>
      </c>
      <c r="FT40" s="15">
        <f>ROUND(-0.274,10)</f>
        <v>-0.27400000000000002</v>
      </c>
      <c r="FU40" s="15">
        <f>ROUND(-0.273,10)</f>
        <v>-0.27300000000000002</v>
      </c>
      <c r="FV40" s="15">
        <f>ROUND(-0.275,10)</f>
        <v>-0.27500000000000002</v>
      </c>
      <c r="FW40" s="15">
        <f>ROUND(-0.274,10)</f>
        <v>-0.27400000000000002</v>
      </c>
      <c r="FX40" s="15">
        <f>ROUND(-0.272,10)</f>
        <v>-0.27200000000000002</v>
      </c>
      <c r="FY40" s="15">
        <f>ROUND(-0.272,10)</f>
        <v>-0.27200000000000002</v>
      </c>
      <c r="FZ40" s="15">
        <f>ROUND(-0.272,10)</f>
        <v>-0.27200000000000002</v>
      </c>
      <c r="GA40" s="15">
        <f>ROUND(-0.271,10)</f>
        <v>-0.27100000000000002</v>
      </c>
      <c r="GB40" s="15">
        <f>ROUND(-0.271,10)</f>
        <v>-0.27100000000000002</v>
      </c>
      <c r="GC40" s="15">
        <f>ROUND(-0.272,10)</f>
        <v>-0.27200000000000002</v>
      </c>
      <c r="GD40" s="15">
        <f>ROUND(-0.271,10)</f>
        <v>-0.27100000000000002</v>
      </c>
      <c r="GE40" s="15">
        <f>ROUND(-0.272,10)</f>
        <v>-0.27200000000000002</v>
      </c>
      <c r="GF40" s="15">
        <f>ROUND(-0.271,10)</f>
        <v>-0.27100000000000002</v>
      </c>
      <c r="GG40" s="15">
        <f>ROUND(-0.272,10)</f>
        <v>-0.27200000000000002</v>
      </c>
      <c r="GH40" s="15">
        <f>ROUND(-0.273,10)</f>
        <v>-0.27300000000000002</v>
      </c>
      <c r="GI40" s="15">
        <f>ROUND(-0.273,10)</f>
        <v>-0.27300000000000002</v>
      </c>
      <c r="GJ40" s="15">
        <f>ROUND(-0.273,10)</f>
        <v>-0.27300000000000002</v>
      </c>
      <c r="GK40" s="15">
        <f>ROUND(-0.273,10)</f>
        <v>-0.27300000000000002</v>
      </c>
      <c r="GL40" s="15">
        <f>ROUND(-0.272,10)</f>
        <v>-0.27200000000000002</v>
      </c>
      <c r="GM40" s="15">
        <f>ROUND(-0.273,10)</f>
        <v>-0.27300000000000002</v>
      </c>
      <c r="GN40" s="15">
        <f>ROUND(-0.273,10)</f>
        <v>-0.27300000000000002</v>
      </c>
      <c r="GO40" s="15">
        <f>ROUND(-0.272,10)</f>
        <v>-0.27200000000000002</v>
      </c>
      <c r="GP40" s="15">
        <f>ROUND(-0.273,10)</f>
        <v>-0.27300000000000002</v>
      </c>
      <c r="GQ40" s="15">
        <f t="shared" ref="GQ40:HD40" si="85">ROUND(-0.274,10)</f>
        <v>-0.27400000000000002</v>
      </c>
      <c r="GR40" s="15">
        <f t="shared" si="85"/>
        <v>-0.27400000000000002</v>
      </c>
      <c r="GS40" s="15">
        <f t="shared" si="85"/>
        <v>-0.27400000000000002</v>
      </c>
      <c r="GT40" s="15">
        <f t="shared" si="85"/>
        <v>-0.27400000000000002</v>
      </c>
      <c r="GU40" s="15">
        <f t="shared" si="85"/>
        <v>-0.27400000000000002</v>
      </c>
      <c r="GV40" s="15">
        <f t="shared" si="85"/>
        <v>-0.27400000000000002</v>
      </c>
      <c r="GW40" s="15">
        <f t="shared" si="85"/>
        <v>-0.27400000000000002</v>
      </c>
      <c r="GX40" s="15">
        <f t="shared" si="85"/>
        <v>-0.27400000000000002</v>
      </c>
      <c r="GY40" s="15">
        <f t="shared" si="85"/>
        <v>-0.27400000000000002</v>
      </c>
      <c r="GZ40" s="15">
        <f t="shared" si="85"/>
        <v>-0.27400000000000002</v>
      </c>
      <c r="HA40" s="15">
        <f t="shared" si="85"/>
        <v>-0.27400000000000002</v>
      </c>
      <c r="HB40" s="15">
        <f t="shared" si="85"/>
        <v>-0.27400000000000002</v>
      </c>
      <c r="HC40" s="15">
        <f t="shared" si="85"/>
        <v>-0.27400000000000002</v>
      </c>
      <c r="HD40" s="15">
        <f t="shared" si="85"/>
        <v>-0.27400000000000002</v>
      </c>
      <c r="HE40" s="15">
        <f>ROUND(-0.275,10)</f>
        <v>-0.27500000000000002</v>
      </c>
      <c r="HF40" s="15">
        <f t="shared" ref="HF40:HK40" si="86">ROUND(-0.276,10)</f>
        <v>-0.27600000000000002</v>
      </c>
      <c r="HG40" s="15">
        <f t="shared" si="86"/>
        <v>-0.27600000000000002</v>
      </c>
      <c r="HH40" s="15">
        <f t="shared" si="86"/>
        <v>-0.27600000000000002</v>
      </c>
      <c r="HI40" s="15">
        <f t="shared" si="86"/>
        <v>-0.27600000000000002</v>
      </c>
      <c r="HJ40" s="15">
        <f t="shared" si="86"/>
        <v>-0.27600000000000002</v>
      </c>
      <c r="HK40" s="15">
        <f t="shared" si="86"/>
        <v>-0.27600000000000002</v>
      </c>
      <c r="HL40" s="15">
        <f>ROUND(-0.275,10)</f>
        <v>-0.27500000000000002</v>
      </c>
      <c r="HM40" s="15">
        <f>ROUND(-0.276,10)</f>
        <v>-0.27600000000000002</v>
      </c>
      <c r="HN40" s="15">
        <f>ROUND(-0.276,10)</f>
        <v>-0.27600000000000002</v>
      </c>
      <c r="HO40" s="15">
        <f>ROUND(-0.275,10)</f>
        <v>-0.27500000000000002</v>
      </c>
      <c r="HP40" s="15">
        <f>ROUND(-0.275,10)</f>
        <v>-0.27500000000000002</v>
      </c>
      <c r="HQ40" s="15">
        <f>ROUND(-0.275,10)</f>
        <v>-0.27500000000000002</v>
      </c>
      <c r="HR40" s="15">
        <f>ROUND(-0.275,10)</f>
        <v>-0.27500000000000002</v>
      </c>
      <c r="HS40" s="15">
        <f>ROUND(-0.275,10)</f>
        <v>-0.27500000000000002</v>
      </c>
      <c r="HT40" s="15">
        <f>ROUND(-0.274,10)</f>
        <v>-0.27400000000000002</v>
      </c>
      <c r="HU40" s="15">
        <f>ROUND(-0.274,10)</f>
        <v>-0.27400000000000002</v>
      </c>
      <c r="HV40" s="15">
        <f>ROUND(-0.273,10)</f>
        <v>-0.27300000000000002</v>
      </c>
      <c r="HW40" s="15">
        <f>ROUND(-0.272,10)</f>
        <v>-0.27200000000000002</v>
      </c>
      <c r="HX40" s="15">
        <f>ROUND(-0.271,10)</f>
        <v>-0.27100000000000002</v>
      </c>
      <c r="HY40" s="15">
        <f>ROUND(-0.272,10)</f>
        <v>-0.27200000000000002</v>
      </c>
      <c r="HZ40" s="15">
        <f>ROUND(-0.272,10)</f>
        <v>-0.27200000000000002</v>
      </c>
      <c r="IA40" s="15">
        <f>ROUND(-0.274,10)</f>
        <v>-0.27400000000000002</v>
      </c>
      <c r="IB40" s="15">
        <f>ROUND(-0.274,10)</f>
        <v>-0.27400000000000002</v>
      </c>
      <c r="IC40" s="15">
        <f>ROUND(-0.272,10)</f>
        <v>-0.27200000000000002</v>
      </c>
      <c r="ID40" s="15">
        <f>ROUND(-0.271,10)</f>
        <v>-0.27100000000000002</v>
      </c>
      <c r="IE40" s="15">
        <f>ROUND(-0.272,10)</f>
        <v>-0.27200000000000002</v>
      </c>
      <c r="IF40" s="15">
        <f t="shared" ref="IF40:IK40" si="87">ROUND(-0.271,10)</f>
        <v>-0.27100000000000002</v>
      </c>
      <c r="IG40" s="15">
        <f t="shared" si="87"/>
        <v>-0.27100000000000002</v>
      </c>
      <c r="IH40" s="15">
        <f t="shared" si="87"/>
        <v>-0.27100000000000002</v>
      </c>
      <c r="II40" s="15">
        <f t="shared" si="87"/>
        <v>-0.27100000000000002</v>
      </c>
      <c r="IJ40" s="15">
        <f t="shared" si="87"/>
        <v>-0.27100000000000002</v>
      </c>
      <c r="IK40" s="15">
        <f t="shared" si="87"/>
        <v>-0.27100000000000002</v>
      </c>
      <c r="IL40" s="15">
        <f>ROUND(-0.273,10)</f>
        <v>-0.27300000000000002</v>
      </c>
      <c r="IM40" s="15">
        <f>ROUND(-0.271,10)</f>
        <v>-0.27100000000000002</v>
      </c>
      <c r="IN40" s="15">
        <f>ROUND(-0.272,10)</f>
        <v>-0.27200000000000002</v>
      </c>
      <c r="IO40" s="15">
        <f>ROUND(-0.271,10)</f>
        <v>-0.27100000000000002</v>
      </c>
      <c r="IP40" s="15">
        <f>ROUND(-0.274,10)</f>
        <v>-0.27400000000000002</v>
      </c>
      <c r="IQ40" s="15">
        <f t="shared" ref="IQ40:IV40" si="88">ROUND(-0.271,10)</f>
        <v>-0.27100000000000002</v>
      </c>
      <c r="IR40" s="15">
        <f t="shared" si="88"/>
        <v>-0.27100000000000002</v>
      </c>
      <c r="IS40" s="15">
        <f t="shared" si="88"/>
        <v>-0.27100000000000002</v>
      </c>
      <c r="IT40" s="15">
        <f t="shared" si="88"/>
        <v>-0.27100000000000002</v>
      </c>
      <c r="IU40" s="15">
        <f t="shared" si="88"/>
        <v>-0.27100000000000002</v>
      </c>
      <c r="IV40" s="15">
        <f t="shared" si="88"/>
        <v>-0.27100000000000002</v>
      </c>
    </row>
    <row r="41" spans="1:256">
      <c r="A41" s="6" t="s">
        <v>41</v>
      </c>
      <c r="B41" s="7">
        <f>ROUND(-0.14,10)</f>
        <v>-0.14000000000000001</v>
      </c>
      <c r="C41" s="7">
        <f>ROUND(-0.14,10)</f>
        <v>-0.14000000000000001</v>
      </c>
      <c r="D41" s="7">
        <f>ROUND(-0.142,10)</f>
        <v>-0.14199999999999999</v>
      </c>
      <c r="E41" s="7">
        <f>ROUND(-0.145,10)</f>
        <v>-0.14499999999999999</v>
      </c>
      <c r="F41" s="7">
        <f>ROUND(-0.146,10)</f>
        <v>-0.14599999999999999</v>
      </c>
      <c r="G41" s="7">
        <f>ROUND(-0.148,10)</f>
        <v>-0.14799999999999999</v>
      </c>
      <c r="H41" s="7">
        <f>ROUND(-0.149,10)</f>
        <v>-0.14899999999999999</v>
      </c>
      <c r="I41" s="7">
        <f>ROUND(-0.15,10)</f>
        <v>-0.15</v>
      </c>
      <c r="J41" s="7">
        <f>ROUND(-0.151,10)</f>
        <v>-0.151</v>
      </c>
      <c r="K41" s="7">
        <f>ROUND(-0.152,10)</f>
        <v>-0.152</v>
      </c>
      <c r="L41" s="7">
        <f>ROUND(-0.153,10)</f>
        <v>-0.153</v>
      </c>
      <c r="M41" s="7">
        <f>ROUND(-0.153,10)</f>
        <v>-0.153</v>
      </c>
      <c r="N41" s="7">
        <f>ROUND(-0.154,10)</f>
        <v>-0.154</v>
      </c>
      <c r="O41" s="7">
        <f>ROUND(-0.154,10)</f>
        <v>-0.154</v>
      </c>
      <c r="P41" s="7">
        <f>ROUND(-0.155,10)</f>
        <v>-0.155</v>
      </c>
      <c r="Q41" s="7">
        <f>ROUND(-0.156,10)</f>
        <v>-0.156</v>
      </c>
      <c r="R41" s="7">
        <f>ROUND(-0.158,10)</f>
        <v>-0.158</v>
      </c>
      <c r="S41" s="7">
        <f>ROUND(-0.159,10)</f>
        <v>-0.159</v>
      </c>
      <c r="T41" s="7">
        <f>ROUND(-0.161,10)</f>
        <v>-0.161</v>
      </c>
      <c r="U41" s="7">
        <f>ROUND(-0.16,10)</f>
        <v>-0.16</v>
      </c>
      <c r="V41" s="7">
        <f>ROUND(-0.159,10)</f>
        <v>-0.159</v>
      </c>
      <c r="W41" s="7">
        <f>ROUND(-0.159,10)</f>
        <v>-0.159</v>
      </c>
      <c r="X41" s="7">
        <f>ROUND(-0.159,10)</f>
        <v>-0.159</v>
      </c>
      <c r="Y41" s="7">
        <f>ROUND(-0.16,10)</f>
        <v>-0.16</v>
      </c>
      <c r="Z41" s="7">
        <f>ROUND(-0.159,10)</f>
        <v>-0.159</v>
      </c>
      <c r="AA41" s="7">
        <f>ROUND(-0.159,10)</f>
        <v>-0.159</v>
      </c>
      <c r="AB41" s="7">
        <f>ROUND(-0.16,10)</f>
        <v>-0.16</v>
      </c>
      <c r="AC41" s="7">
        <f>ROUND(-0.161,10)</f>
        <v>-0.161</v>
      </c>
      <c r="AD41" s="7">
        <f>ROUND(-0.161,10)</f>
        <v>-0.161</v>
      </c>
      <c r="AE41" s="7">
        <f>ROUND(-0.161,10)</f>
        <v>-0.161</v>
      </c>
      <c r="AF41" s="7">
        <f>ROUND(-0.163,10)</f>
        <v>-0.16300000000000001</v>
      </c>
      <c r="AG41" s="7">
        <f>ROUND(-0.164,10)</f>
        <v>-0.16400000000000001</v>
      </c>
      <c r="AH41" s="7">
        <f>ROUND(-0.164,10)</f>
        <v>-0.16400000000000001</v>
      </c>
      <c r="AI41" s="7">
        <f>ROUND(-0.166,10)</f>
        <v>-0.16600000000000001</v>
      </c>
      <c r="AJ41" s="7">
        <f>ROUND(-0.169,10)</f>
        <v>-0.16900000000000001</v>
      </c>
      <c r="AK41" s="7">
        <f>ROUND(-0.169,10)</f>
        <v>-0.16900000000000001</v>
      </c>
      <c r="AL41" s="7">
        <f>ROUND(-0.171,10)</f>
        <v>-0.17100000000000001</v>
      </c>
      <c r="AM41" s="7">
        <f>ROUND(-0.17,10)</f>
        <v>-0.17</v>
      </c>
      <c r="AN41" s="7">
        <f>ROUND(-0.17,10)</f>
        <v>-0.17</v>
      </c>
      <c r="AO41" s="7">
        <f>ROUND(-0.171,10)</f>
        <v>-0.17100000000000001</v>
      </c>
      <c r="AP41" s="7">
        <f>ROUND(-0.171,10)</f>
        <v>-0.17100000000000001</v>
      </c>
      <c r="AQ41" s="7">
        <f>ROUND(-0.172,10)</f>
        <v>-0.17199999999999999</v>
      </c>
      <c r="AR41" s="7">
        <f>ROUND(-0.172,10)</f>
        <v>-0.17199999999999999</v>
      </c>
      <c r="AS41" s="7">
        <f>ROUND(-0.172,10)</f>
        <v>-0.17199999999999999</v>
      </c>
      <c r="AT41" s="7">
        <f>ROUND(-0.171,10)</f>
        <v>-0.17100000000000001</v>
      </c>
      <c r="AU41" s="7">
        <f>ROUND(-0.17,10)</f>
        <v>-0.17</v>
      </c>
      <c r="AV41" s="7">
        <f>ROUND(-0.17,10)</f>
        <v>-0.17</v>
      </c>
      <c r="AW41" s="7">
        <f>ROUND(-0.171,10)</f>
        <v>-0.17100000000000001</v>
      </c>
      <c r="AX41" s="7">
        <f>ROUND(-0.172,10)</f>
        <v>-0.17199999999999999</v>
      </c>
      <c r="AY41" s="7">
        <f>ROUND(-0.169,10)</f>
        <v>-0.16900000000000001</v>
      </c>
      <c r="AZ41" s="7">
        <f>ROUND(-0.169,10)</f>
        <v>-0.16900000000000001</v>
      </c>
      <c r="BA41" s="7">
        <f>ROUND(-0.168,10)</f>
        <v>-0.16800000000000001</v>
      </c>
      <c r="BB41" s="7">
        <f>ROUND(-0.171,10)</f>
        <v>-0.17100000000000001</v>
      </c>
      <c r="BC41" s="7">
        <f>ROUND(-0.171,10)</f>
        <v>-0.17100000000000001</v>
      </c>
      <c r="BD41" s="7">
        <f>ROUND(-0.17,10)</f>
        <v>-0.17</v>
      </c>
      <c r="BE41" s="7">
        <f>ROUND(-0.169,10)</f>
        <v>-0.16900000000000001</v>
      </c>
      <c r="BF41" s="7">
        <f>ROUND(-0.169,10)</f>
        <v>-0.16900000000000001</v>
      </c>
      <c r="BG41" s="7">
        <f>ROUND(-0.171,10)</f>
        <v>-0.17100000000000001</v>
      </c>
      <c r="BH41" s="7">
        <f>ROUND(-0.171,10)</f>
        <v>-0.17100000000000001</v>
      </c>
      <c r="BI41" s="7">
        <f>ROUND(-0.172,10)</f>
        <v>-0.17199999999999999</v>
      </c>
      <c r="BJ41" s="7">
        <f>ROUND(-0.172,10)</f>
        <v>-0.17199999999999999</v>
      </c>
      <c r="BK41" s="7">
        <f>ROUND(-0.172,10)</f>
        <v>-0.17199999999999999</v>
      </c>
      <c r="BL41" s="7">
        <f>ROUND(-0.171,10)</f>
        <v>-0.17100000000000001</v>
      </c>
      <c r="BM41" s="7">
        <f>ROUND(-0.172,10)</f>
        <v>-0.17199999999999999</v>
      </c>
      <c r="BN41" s="7">
        <f>ROUND(-0.171,10)</f>
        <v>-0.17100000000000001</v>
      </c>
      <c r="BO41" s="7">
        <f>ROUND(-0.173,10)</f>
        <v>-0.17299999999999999</v>
      </c>
      <c r="BP41" s="7">
        <f>ROUND(-0.174,10)</f>
        <v>-0.17399999999999999</v>
      </c>
      <c r="BQ41" s="7">
        <f>ROUND(-0.175,10)</f>
        <v>-0.17499999999999999</v>
      </c>
      <c r="BR41" s="7">
        <f>ROUND(-0.176,10)</f>
        <v>-0.17599999999999999</v>
      </c>
      <c r="BS41" s="7">
        <f>ROUND(-0.178,10)</f>
        <v>-0.17799999999999999</v>
      </c>
      <c r="BT41" s="7">
        <f>ROUND(-0.179,10)</f>
        <v>-0.17899999999999999</v>
      </c>
      <c r="BU41" s="7">
        <f>ROUND(-0.181,10)</f>
        <v>-0.18099999999999999</v>
      </c>
      <c r="BV41" s="7">
        <f>ROUND(-0.181,10)</f>
        <v>-0.18099999999999999</v>
      </c>
      <c r="BW41" s="7">
        <f>ROUND(-0.182,10)</f>
        <v>-0.182</v>
      </c>
      <c r="BX41" s="7">
        <f>ROUND(-0.184,10)</f>
        <v>-0.184</v>
      </c>
      <c r="BY41" s="7">
        <f>ROUND(-0.184,10)</f>
        <v>-0.184</v>
      </c>
      <c r="BZ41" s="7">
        <f>ROUND(-0.183,10)</f>
        <v>-0.183</v>
      </c>
      <c r="CA41" s="7">
        <f>ROUND(-0.18,10)</f>
        <v>-0.18</v>
      </c>
      <c r="CB41" s="7">
        <f>ROUND(-0.178,10)</f>
        <v>-0.17799999999999999</v>
      </c>
      <c r="CC41" s="7">
        <f>ROUND(-0.178,10)</f>
        <v>-0.17799999999999999</v>
      </c>
      <c r="CD41" s="7">
        <f>ROUND(-0.178,10)</f>
        <v>-0.17799999999999999</v>
      </c>
      <c r="CE41" s="7">
        <f>ROUND(-0.179,10)</f>
        <v>-0.17899999999999999</v>
      </c>
      <c r="CF41" s="7">
        <f>ROUND(-0.179,10)</f>
        <v>-0.17899999999999999</v>
      </c>
      <c r="CG41" s="7">
        <f>ROUND(-0.179,10)</f>
        <v>-0.17899999999999999</v>
      </c>
      <c r="CH41" s="7">
        <f>ROUND(-0.179,10)</f>
        <v>-0.17899999999999999</v>
      </c>
      <c r="CI41" s="7">
        <f>ROUND(-0.179,10)</f>
        <v>-0.17899999999999999</v>
      </c>
      <c r="CJ41" s="7">
        <f>ROUND(-0.178,10)</f>
        <v>-0.17799999999999999</v>
      </c>
      <c r="CK41" s="7">
        <f>ROUND(-0.179,10)</f>
        <v>-0.17899999999999999</v>
      </c>
      <c r="CL41" s="7">
        <f>ROUND(-0.178,10)</f>
        <v>-0.17799999999999999</v>
      </c>
      <c r="CM41" s="7">
        <f>ROUND(-0.178,10)</f>
        <v>-0.17799999999999999</v>
      </c>
      <c r="CN41" s="7">
        <f>ROUND(-0.178,10)</f>
        <v>-0.17799999999999999</v>
      </c>
      <c r="CO41" s="7">
        <f>ROUND(-0.179,10)</f>
        <v>-0.17899999999999999</v>
      </c>
      <c r="CP41" s="7">
        <f>ROUND(-0.179,10)</f>
        <v>-0.17899999999999999</v>
      </c>
      <c r="CQ41" s="7">
        <f>ROUND(-0.179,10)</f>
        <v>-0.17899999999999999</v>
      </c>
      <c r="CR41" s="7">
        <f>ROUND(-0.18,10)</f>
        <v>-0.18</v>
      </c>
      <c r="CS41" s="7">
        <f>ROUND(-0.179,10)</f>
        <v>-0.17899999999999999</v>
      </c>
      <c r="CT41" s="7">
        <f>ROUND(-0.179,10)</f>
        <v>-0.17899999999999999</v>
      </c>
      <c r="CU41" s="7">
        <f>ROUND(-0.179,10)</f>
        <v>-0.17899999999999999</v>
      </c>
      <c r="CV41" s="7">
        <f>ROUND(-0.179,10)</f>
        <v>-0.17899999999999999</v>
      </c>
      <c r="CW41" s="7">
        <f>ROUND(-0.179,10)</f>
        <v>-0.17899999999999999</v>
      </c>
      <c r="CX41" s="7">
        <f>ROUND(-0.18,10)</f>
        <v>-0.18</v>
      </c>
      <c r="CY41" s="7">
        <f>ROUND(-0.181,10)</f>
        <v>-0.18099999999999999</v>
      </c>
      <c r="CZ41" s="7">
        <f>ROUND(-0.183,10)</f>
        <v>-0.183</v>
      </c>
      <c r="DA41" s="7">
        <f>ROUND(-0.182,10)</f>
        <v>-0.182</v>
      </c>
      <c r="DB41" s="7">
        <f>ROUND(-0.181,10)</f>
        <v>-0.18099999999999999</v>
      </c>
      <c r="DC41" s="7">
        <f>ROUND(-0.181,10)</f>
        <v>-0.18099999999999999</v>
      </c>
      <c r="DD41" s="7">
        <f>ROUND(-0.182,10)</f>
        <v>-0.182</v>
      </c>
      <c r="DE41" s="7">
        <f>ROUND(-0.181,10)</f>
        <v>-0.18099999999999999</v>
      </c>
      <c r="DF41" s="7">
        <f>ROUND(-0.183,10)</f>
        <v>-0.183</v>
      </c>
      <c r="DG41" s="7">
        <f>ROUND(-0.184,10)</f>
        <v>-0.184</v>
      </c>
      <c r="DH41" s="7">
        <f>ROUND(-0.186,10)</f>
        <v>-0.186</v>
      </c>
      <c r="DI41" s="7">
        <f>ROUND(-0.194,10)</f>
        <v>-0.19400000000000001</v>
      </c>
      <c r="DJ41" s="7">
        <f>ROUND(-0.198,10)</f>
        <v>-0.19800000000000001</v>
      </c>
      <c r="DK41" s="7">
        <f>ROUND(-0.202,10)</f>
        <v>-0.20200000000000001</v>
      </c>
      <c r="DL41" s="7">
        <f>ROUND(-0.203,10)</f>
        <v>-0.20300000000000001</v>
      </c>
      <c r="DM41" s="7">
        <f>ROUND(-0.203,10)</f>
        <v>-0.20300000000000001</v>
      </c>
      <c r="DN41" s="7">
        <f>ROUND(-0.201,10)</f>
        <v>-0.20100000000000001</v>
      </c>
      <c r="DO41" s="7">
        <f>ROUND(-0.201,10)</f>
        <v>-0.20100000000000001</v>
      </c>
      <c r="DP41" s="7">
        <f>ROUND(-0.2,10)</f>
        <v>-0.2</v>
      </c>
      <c r="DQ41" s="7">
        <f>ROUND(-0.201,10)</f>
        <v>-0.20100000000000001</v>
      </c>
      <c r="DR41" s="7">
        <f>ROUND(-0.201,10)</f>
        <v>-0.20100000000000001</v>
      </c>
      <c r="DS41" s="7">
        <f>ROUND(-0.202,10)</f>
        <v>-0.20200000000000001</v>
      </c>
      <c r="DT41" s="7">
        <f>ROUND(-0.201,10)</f>
        <v>-0.20100000000000001</v>
      </c>
      <c r="DU41" s="7">
        <f>ROUND(-0.201,10)</f>
        <v>-0.20100000000000001</v>
      </c>
      <c r="DV41" s="7">
        <f>ROUND(-0.199,10)</f>
        <v>-0.19900000000000001</v>
      </c>
      <c r="DW41" s="7">
        <f>ROUND(-0.198,10)</f>
        <v>-0.19800000000000001</v>
      </c>
      <c r="DX41" s="7">
        <f>ROUND(-0.197,10)</f>
        <v>-0.19700000000000001</v>
      </c>
      <c r="DY41" s="7">
        <f>ROUND(-0.198,10)</f>
        <v>-0.19800000000000001</v>
      </c>
      <c r="DZ41" s="7">
        <f>ROUND(-0.202,10)</f>
        <v>-0.20200000000000001</v>
      </c>
      <c r="EA41" s="7">
        <f>ROUND(-0.204,10)</f>
        <v>-0.20399999999999999</v>
      </c>
      <c r="EB41" s="7">
        <f>ROUND(-0.204,10)</f>
        <v>-0.20399999999999999</v>
      </c>
      <c r="EC41" s="7">
        <f>ROUND(-0.204,10)</f>
        <v>-0.20399999999999999</v>
      </c>
      <c r="ED41" s="7">
        <f>ROUND(-0.204,10)</f>
        <v>-0.20399999999999999</v>
      </c>
      <c r="EE41" s="7">
        <f>ROUND(-0.206,10)</f>
        <v>-0.20599999999999999</v>
      </c>
      <c r="EF41" s="7">
        <f>ROUND(-0.207,10)</f>
        <v>-0.20699999999999999</v>
      </c>
      <c r="EG41" s="7">
        <f>ROUND(-0.207,10)</f>
        <v>-0.20699999999999999</v>
      </c>
      <c r="EH41" s="7">
        <f>ROUND(-0.207,10)</f>
        <v>-0.20699999999999999</v>
      </c>
      <c r="EI41" s="7">
        <f>ROUND(-0.207,10)</f>
        <v>-0.20699999999999999</v>
      </c>
      <c r="EJ41" s="7">
        <f>ROUND(-0.206,10)</f>
        <v>-0.20599999999999999</v>
      </c>
      <c r="EK41" s="7">
        <f>ROUND(-0.205,10)</f>
        <v>-0.20499999999999999</v>
      </c>
      <c r="EL41" s="7">
        <f>ROUND(-0.206,10)</f>
        <v>-0.20599999999999999</v>
      </c>
      <c r="EM41" s="7">
        <f>ROUND(-0.206,10)</f>
        <v>-0.20599999999999999</v>
      </c>
      <c r="EN41" s="7">
        <f>ROUND(-0.208,10)</f>
        <v>-0.20799999999999999</v>
      </c>
      <c r="EO41" s="7">
        <f>ROUND(-0.207,10)</f>
        <v>-0.20699999999999999</v>
      </c>
      <c r="EP41" s="7">
        <f>ROUND(-0.209,10)</f>
        <v>-0.20899999999999999</v>
      </c>
      <c r="EQ41" s="7">
        <f>ROUND(-0.208,10)</f>
        <v>-0.20799999999999999</v>
      </c>
      <c r="ER41" s="7">
        <f>ROUND(-0.208,10)</f>
        <v>-0.20799999999999999</v>
      </c>
      <c r="ES41" s="7">
        <f>ROUND(-0.207,10)</f>
        <v>-0.20699999999999999</v>
      </c>
      <c r="ET41" s="7">
        <f>ROUND(-0.209,10)</f>
        <v>-0.20899999999999999</v>
      </c>
      <c r="EU41" s="7">
        <f>ROUND(-0.209,10)</f>
        <v>-0.20899999999999999</v>
      </c>
      <c r="EV41" s="7">
        <f>ROUND(-0.209,10)</f>
        <v>-0.20899999999999999</v>
      </c>
      <c r="EW41" s="7">
        <f>ROUND(-0.209,10)</f>
        <v>-0.20899999999999999</v>
      </c>
      <c r="EX41" s="7">
        <f>ROUND(-0.209,10)</f>
        <v>-0.20899999999999999</v>
      </c>
      <c r="EY41" s="7">
        <f>ROUND(-0.21,10)</f>
        <v>-0.21</v>
      </c>
      <c r="EZ41" s="7">
        <f>ROUND(-0.211,10)</f>
        <v>-0.21099999999999999</v>
      </c>
      <c r="FA41" s="7">
        <f>ROUND(-0.211,10)</f>
        <v>-0.21099999999999999</v>
      </c>
      <c r="FB41" s="7">
        <f>ROUND(-0.211,10)</f>
        <v>-0.21099999999999999</v>
      </c>
      <c r="FC41" s="7">
        <f>ROUND(-0.211,10)</f>
        <v>-0.21099999999999999</v>
      </c>
      <c r="FD41" s="7">
        <f>ROUND(-0.21,10)</f>
        <v>-0.21</v>
      </c>
      <c r="FE41" s="7">
        <f>ROUND(-0.21,10)</f>
        <v>-0.21</v>
      </c>
      <c r="FF41" s="7">
        <f>ROUND(-0.211,10)</f>
        <v>-0.21099999999999999</v>
      </c>
      <c r="FG41" s="7">
        <f>ROUND(-0.211,10)</f>
        <v>-0.21099999999999999</v>
      </c>
      <c r="FH41" s="7">
        <f>ROUND(-0.211,10)</f>
        <v>-0.21099999999999999</v>
      </c>
      <c r="FI41" s="7">
        <f>ROUND(-0.212,10)</f>
        <v>-0.21199999999999999</v>
      </c>
      <c r="FJ41" s="7">
        <f>ROUND(-0.212,10)</f>
        <v>-0.21199999999999999</v>
      </c>
      <c r="FK41" s="7">
        <f>ROUND(-0.212,10)</f>
        <v>-0.21199999999999999</v>
      </c>
      <c r="FL41" s="7">
        <f>ROUND(-0.212,10)</f>
        <v>-0.21199999999999999</v>
      </c>
      <c r="FM41" s="7">
        <f>ROUND(-0.211,10)</f>
        <v>-0.21099999999999999</v>
      </c>
      <c r="FN41" s="7">
        <f>ROUND(-0.212,10)</f>
        <v>-0.21199999999999999</v>
      </c>
      <c r="FO41" s="7">
        <f>ROUND(-0.211,10)</f>
        <v>-0.21099999999999999</v>
      </c>
      <c r="FP41" s="7">
        <f>ROUND(-0.213,10)</f>
        <v>-0.21299999999999999</v>
      </c>
      <c r="FQ41" s="7">
        <f>ROUND(-0.213,10)</f>
        <v>-0.21299999999999999</v>
      </c>
      <c r="FR41" s="7">
        <f>ROUND(-0.214,10)</f>
        <v>-0.214</v>
      </c>
      <c r="FS41" s="7">
        <f>ROUND(-0.214,10)</f>
        <v>-0.214</v>
      </c>
      <c r="FT41" s="7">
        <f>ROUND(-0.214,10)</f>
        <v>-0.214</v>
      </c>
      <c r="FU41" s="7">
        <f>ROUND(-0.213,10)</f>
        <v>-0.21299999999999999</v>
      </c>
      <c r="FV41" s="7">
        <f>ROUND(-0.216,10)</f>
        <v>-0.216</v>
      </c>
      <c r="FW41" s="7">
        <f>ROUND(-0.217,10)</f>
        <v>-0.217</v>
      </c>
      <c r="FX41" s="7">
        <f>ROUND(-0.218,10)</f>
        <v>-0.218</v>
      </c>
      <c r="FY41" s="7">
        <f>ROUND(-0.219,10)</f>
        <v>-0.219</v>
      </c>
      <c r="FZ41" s="7">
        <f>ROUND(-0.219,10)</f>
        <v>-0.219</v>
      </c>
      <c r="GA41" s="7">
        <f>ROUND(-0.22,10)</f>
        <v>-0.22</v>
      </c>
      <c r="GB41" s="7">
        <f>ROUND(-0.219,10)</f>
        <v>-0.219</v>
      </c>
      <c r="GC41" s="7">
        <f>ROUND(-0.219,10)</f>
        <v>-0.219</v>
      </c>
      <c r="GD41" s="7">
        <f>ROUND(-0.219,10)</f>
        <v>-0.219</v>
      </c>
      <c r="GE41" s="7">
        <f>ROUND(-0.219,10)</f>
        <v>-0.219</v>
      </c>
      <c r="GF41" s="7">
        <f>ROUND(-0.22,10)</f>
        <v>-0.22</v>
      </c>
      <c r="GG41" s="7">
        <f>ROUND(-0.219,10)</f>
        <v>-0.219</v>
      </c>
      <c r="GH41" s="7">
        <f>ROUND(-0.219,10)</f>
        <v>-0.219</v>
      </c>
      <c r="GI41" s="7">
        <f>ROUND(-0.219,10)</f>
        <v>-0.219</v>
      </c>
      <c r="GJ41" s="7">
        <f>ROUND(-0.22,10)</f>
        <v>-0.22</v>
      </c>
      <c r="GK41" s="7">
        <f>ROUND(-0.22,10)</f>
        <v>-0.22</v>
      </c>
      <c r="GL41" s="7">
        <f>ROUND(-0.219,10)</f>
        <v>-0.219</v>
      </c>
      <c r="GM41" s="7">
        <f>ROUND(-0.22,10)</f>
        <v>-0.22</v>
      </c>
      <c r="GN41" s="7">
        <f>ROUND(-0.22,10)</f>
        <v>-0.22</v>
      </c>
      <c r="GO41" s="7">
        <f>ROUND(-0.219,10)</f>
        <v>-0.219</v>
      </c>
      <c r="GP41" s="7">
        <f>ROUND(-0.22,10)</f>
        <v>-0.22</v>
      </c>
      <c r="GQ41" s="7">
        <f>ROUND(-0.222,10)</f>
        <v>-0.222</v>
      </c>
      <c r="GR41" s="7">
        <f>ROUND(-0.221,10)</f>
        <v>-0.221</v>
      </c>
      <c r="GS41" s="7">
        <f>ROUND(-0.221,10)</f>
        <v>-0.221</v>
      </c>
      <c r="GT41" s="7">
        <f>ROUND(-0.222,10)</f>
        <v>-0.222</v>
      </c>
      <c r="GU41" s="7">
        <f>ROUND(-0.222,10)</f>
        <v>-0.222</v>
      </c>
      <c r="GV41" s="7">
        <f>ROUND(-0.222,10)</f>
        <v>-0.222</v>
      </c>
      <c r="GW41" s="7">
        <f>ROUND(-0.221,10)</f>
        <v>-0.221</v>
      </c>
      <c r="GX41" s="7">
        <f>ROUND(-0.221,10)</f>
        <v>-0.221</v>
      </c>
      <c r="GY41" s="7">
        <f>ROUND(-0.221,10)</f>
        <v>-0.221</v>
      </c>
      <c r="GZ41" s="7">
        <f>ROUND(-0.22,10)</f>
        <v>-0.22</v>
      </c>
      <c r="HA41" s="7">
        <f>ROUND(-0.221,10)</f>
        <v>-0.221</v>
      </c>
      <c r="HB41" s="7">
        <f>ROUND(-0.22,10)</f>
        <v>-0.22</v>
      </c>
      <c r="HC41" s="7">
        <f>ROUND(-0.219,10)</f>
        <v>-0.219</v>
      </c>
      <c r="HD41" s="7">
        <f>ROUND(-0.223,10)</f>
        <v>-0.223</v>
      </c>
      <c r="HE41" s="7">
        <f>ROUND(-0.224,10)</f>
        <v>-0.224</v>
      </c>
      <c r="HF41" s="7">
        <f>ROUND(-0.223,10)</f>
        <v>-0.223</v>
      </c>
      <c r="HG41" s="7">
        <f>ROUND(-0.221,10)</f>
        <v>-0.221</v>
      </c>
      <c r="HH41" s="7">
        <f>ROUND(-0.222,10)</f>
        <v>-0.222</v>
      </c>
      <c r="HI41" s="7">
        <f>ROUND(-0.22,10)</f>
        <v>-0.22</v>
      </c>
      <c r="HJ41" s="7">
        <f>ROUND(-0.219,10)</f>
        <v>-0.219</v>
      </c>
      <c r="HK41" s="7">
        <f>ROUND(-0.221,10)</f>
        <v>-0.221</v>
      </c>
      <c r="HL41" s="7">
        <f>ROUND(-0.22,10)</f>
        <v>-0.22</v>
      </c>
      <c r="HM41" s="7">
        <f>ROUND(-0.219,10)</f>
        <v>-0.219</v>
      </c>
      <c r="HN41" s="7">
        <f>ROUND(-0.22,10)</f>
        <v>-0.22</v>
      </c>
      <c r="HO41" s="7">
        <f>ROUND(-0.219,10)</f>
        <v>-0.219</v>
      </c>
      <c r="HP41" s="7">
        <f>ROUND(-0.219,10)</f>
        <v>-0.219</v>
      </c>
      <c r="HQ41" s="7">
        <f>ROUND(-0.218,10)</f>
        <v>-0.218</v>
      </c>
      <c r="HR41" s="7">
        <f>ROUND(-0.218,10)</f>
        <v>-0.218</v>
      </c>
      <c r="HS41" s="7">
        <f>ROUND(-0.218,10)</f>
        <v>-0.218</v>
      </c>
      <c r="HT41" s="7">
        <f>ROUND(-0.218,10)</f>
        <v>-0.218</v>
      </c>
      <c r="HU41" s="7">
        <f>ROUND(-0.219,10)</f>
        <v>-0.219</v>
      </c>
      <c r="HV41" s="7">
        <f>ROUND(-0.218,10)</f>
        <v>-0.218</v>
      </c>
      <c r="HW41" s="7">
        <f>ROUND(-0.218,10)</f>
        <v>-0.218</v>
      </c>
      <c r="HX41" s="7">
        <f>ROUND(-0.218,10)</f>
        <v>-0.218</v>
      </c>
      <c r="HY41" s="7">
        <f>ROUND(-0.218,10)</f>
        <v>-0.218</v>
      </c>
      <c r="HZ41" s="7">
        <f>ROUND(-0.217,10)</f>
        <v>-0.217</v>
      </c>
      <c r="IA41" s="7">
        <f>ROUND(-0.218,10)</f>
        <v>-0.218</v>
      </c>
      <c r="IB41" s="7">
        <f>ROUND(-0.221,10)</f>
        <v>-0.221</v>
      </c>
      <c r="IC41" s="7">
        <f>ROUND(-0.22,10)</f>
        <v>-0.22</v>
      </c>
      <c r="ID41" s="7">
        <f>ROUND(-0.218,10)</f>
        <v>-0.218</v>
      </c>
      <c r="IE41" s="7">
        <f>ROUND(-0.219,10)</f>
        <v>-0.219</v>
      </c>
      <c r="IF41" s="7">
        <f>ROUND(-0.22,10)</f>
        <v>-0.22</v>
      </c>
      <c r="IG41" s="7">
        <f>ROUND(-0.219,10)</f>
        <v>-0.219</v>
      </c>
      <c r="IH41" s="7">
        <f>ROUND(-0.218,10)</f>
        <v>-0.218</v>
      </c>
      <c r="II41" s="7">
        <f>ROUND(-0.219,10)</f>
        <v>-0.219</v>
      </c>
      <c r="IJ41" s="7">
        <f>ROUND(-0.219,10)</f>
        <v>-0.219</v>
      </c>
      <c r="IK41" s="7">
        <f>ROUND(-0.221,10)</f>
        <v>-0.221</v>
      </c>
      <c r="IL41" s="7">
        <f>ROUND(-0.222,10)</f>
        <v>-0.222</v>
      </c>
      <c r="IM41" s="7">
        <f>ROUND(-0.223,10)</f>
        <v>-0.223</v>
      </c>
      <c r="IN41" s="7">
        <f>ROUND(-0.224,10)</f>
        <v>-0.224</v>
      </c>
      <c r="IO41" s="7">
        <f>ROUND(-0.224,10)</f>
        <v>-0.224</v>
      </c>
      <c r="IP41" s="7">
        <f>ROUND(-0.224,10)</f>
        <v>-0.224</v>
      </c>
      <c r="IQ41" s="7">
        <f>ROUND(-0.219,10)</f>
        <v>-0.219</v>
      </c>
      <c r="IR41" s="7">
        <f>ROUND(-0.218,10)</f>
        <v>-0.218</v>
      </c>
      <c r="IS41" s="7">
        <f>ROUND(-0.217,10)</f>
        <v>-0.217</v>
      </c>
      <c r="IT41" s="7">
        <f>ROUND(-0.217,10)</f>
        <v>-0.217</v>
      </c>
      <c r="IU41" s="7">
        <f>ROUND(-0.217,10)</f>
        <v>-0.217</v>
      </c>
      <c r="IV41" s="7">
        <f>ROUND(-0.217,10)</f>
        <v>-0.217</v>
      </c>
    </row>
    <row r="42" spans="1:256">
      <c r="A42" s="6" t="s">
        <v>42</v>
      </c>
      <c r="B42" s="7">
        <f>ROUND(-0.083,10)</f>
        <v>-8.3000000000000004E-2</v>
      </c>
      <c r="C42" s="7">
        <f>ROUND(-0.084,10)</f>
        <v>-8.4000000000000005E-2</v>
      </c>
      <c r="D42" s="7">
        <f>ROUND(-0.085,10)</f>
        <v>-8.5000000000000006E-2</v>
      </c>
      <c r="E42" s="7">
        <f>ROUND(-0.085,10)</f>
        <v>-8.5000000000000006E-2</v>
      </c>
      <c r="F42" s="7">
        <f>ROUND(-0.087,10)</f>
        <v>-8.6999999999999994E-2</v>
      </c>
      <c r="G42" s="7">
        <f>ROUND(-0.088,10)</f>
        <v>-8.7999999999999995E-2</v>
      </c>
      <c r="H42" s="7">
        <f>ROUND(-0.09,10)</f>
        <v>-0.09</v>
      </c>
      <c r="I42" s="7">
        <f>ROUND(-0.091,10)</f>
        <v>-9.0999999999999998E-2</v>
      </c>
      <c r="J42" s="7">
        <f>ROUND(-0.093,10)</f>
        <v>-9.2999999999999999E-2</v>
      </c>
      <c r="K42" s="7">
        <f>ROUND(-0.094,10)</f>
        <v>-9.4E-2</v>
      </c>
      <c r="L42" s="7">
        <f>ROUND(-0.095,10)</f>
        <v>-9.5000000000000001E-2</v>
      </c>
      <c r="M42" s="7">
        <f>ROUND(-0.098,10)</f>
        <v>-9.8000000000000004E-2</v>
      </c>
      <c r="N42" s="7">
        <f>ROUND(-0.099,10)</f>
        <v>-9.9000000000000005E-2</v>
      </c>
      <c r="O42" s="7">
        <f>ROUND(-0.1,10)</f>
        <v>-0.1</v>
      </c>
      <c r="P42" s="7">
        <f>ROUND(-0.1,10)</f>
        <v>-0.1</v>
      </c>
      <c r="Q42" s="7">
        <f>ROUND(-0.101,10)</f>
        <v>-0.10100000000000001</v>
      </c>
      <c r="R42" s="7">
        <f>ROUND(-0.101,10)</f>
        <v>-0.10100000000000001</v>
      </c>
      <c r="S42" s="7">
        <f>ROUND(-0.101,10)</f>
        <v>-0.10100000000000001</v>
      </c>
      <c r="T42" s="7">
        <f>ROUND(-0.102,10)</f>
        <v>-0.10199999999999999</v>
      </c>
      <c r="U42" s="7">
        <f>ROUND(-0.101,10)</f>
        <v>-0.10100000000000001</v>
      </c>
      <c r="V42" s="7">
        <f>ROUND(-0.1,10)</f>
        <v>-0.1</v>
      </c>
      <c r="W42" s="7">
        <f>ROUND(-0.101,10)</f>
        <v>-0.10100000000000001</v>
      </c>
      <c r="X42" s="7">
        <f>ROUND(-0.103,10)</f>
        <v>-0.10299999999999999</v>
      </c>
      <c r="Y42" s="7">
        <f>ROUND(-0.102,10)</f>
        <v>-0.10199999999999999</v>
      </c>
      <c r="Z42" s="7">
        <f t="shared" ref="Z42:AE42" si="89">ROUND(-0.101,10)</f>
        <v>-0.10100000000000001</v>
      </c>
      <c r="AA42" s="7">
        <f t="shared" si="89"/>
        <v>-0.10100000000000001</v>
      </c>
      <c r="AB42" s="7">
        <f t="shared" si="89"/>
        <v>-0.10100000000000001</v>
      </c>
      <c r="AC42" s="7">
        <f t="shared" si="89"/>
        <v>-0.10100000000000001</v>
      </c>
      <c r="AD42" s="7">
        <f t="shared" si="89"/>
        <v>-0.10100000000000001</v>
      </c>
      <c r="AE42" s="7">
        <f t="shared" si="89"/>
        <v>-0.10100000000000001</v>
      </c>
      <c r="AF42" s="7">
        <f>ROUND(-0.102,10)</f>
        <v>-0.10199999999999999</v>
      </c>
      <c r="AG42" s="7">
        <f>ROUND(-0.104,10)</f>
        <v>-0.104</v>
      </c>
      <c r="AH42" s="7">
        <f>ROUND(-0.104,10)</f>
        <v>-0.104</v>
      </c>
      <c r="AI42" s="7">
        <f>ROUND(-0.106,10)</f>
        <v>-0.106</v>
      </c>
      <c r="AJ42" s="7">
        <f>ROUND(-0.109,10)</f>
        <v>-0.109</v>
      </c>
      <c r="AK42" s="7">
        <f>ROUND(-0.109,10)</f>
        <v>-0.109</v>
      </c>
      <c r="AL42" s="7">
        <f>ROUND(-0.111,10)</f>
        <v>-0.111</v>
      </c>
      <c r="AM42" s="7">
        <f>ROUND(-0.111,10)</f>
        <v>-0.111</v>
      </c>
      <c r="AN42" s="7">
        <f>ROUND(-0.111,10)</f>
        <v>-0.111</v>
      </c>
      <c r="AO42" s="7">
        <f>ROUND(-0.113,10)</f>
        <v>-0.113</v>
      </c>
      <c r="AP42" s="7">
        <f>ROUND(-0.113,10)</f>
        <v>-0.113</v>
      </c>
      <c r="AQ42" s="7">
        <f>ROUND(-0.114,10)</f>
        <v>-0.114</v>
      </c>
      <c r="AR42" s="7">
        <f>ROUND(-0.114,10)</f>
        <v>-0.114</v>
      </c>
      <c r="AS42" s="7">
        <f>ROUND(-0.114,10)</f>
        <v>-0.114</v>
      </c>
      <c r="AT42" s="7">
        <f>ROUND(-0.113,10)</f>
        <v>-0.113</v>
      </c>
      <c r="AU42" s="7">
        <f>ROUND(-0.111,10)</f>
        <v>-0.111</v>
      </c>
      <c r="AV42" s="7">
        <f>ROUND(-0.111,10)</f>
        <v>-0.111</v>
      </c>
      <c r="AW42" s="7">
        <f>ROUND(-0.111,10)</f>
        <v>-0.111</v>
      </c>
      <c r="AX42" s="7">
        <f>ROUND(-0.111,10)</f>
        <v>-0.111</v>
      </c>
      <c r="AY42" s="7">
        <f>ROUND(-0.109,10)</f>
        <v>-0.109</v>
      </c>
      <c r="AZ42" s="7">
        <f>ROUND(-0.108,10)</f>
        <v>-0.108</v>
      </c>
      <c r="BA42" s="7">
        <f>ROUND(-0.108,10)</f>
        <v>-0.108</v>
      </c>
      <c r="BB42" s="7">
        <f>ROUND(-0.11,10)</f>
        <v>-0.11</v>
      </c>
      <c r="BC42" s="7">
        <f>ROUND(-0.111,10)</f>
        <v>-0.111</v>
      </c>
      <c r="BD42" s="7">
        <f>ROUND(-0.109,10)</f>
        <v>-0.109</v>
      </c>
      <c r="BE42" s="7">
        <f>ROUND(-0.109,10)</f>
        <v>-0.109</v>
      </c>
      <c r="BF42" s="7">
        <f>ROUND(-0.106,10)</f>
        <v>-0.106</v>
      </c>
      <c r="BG42" s="7">
        <f>ROUND(-0.106,10)</f>
        <v>-0.106</v>
      </c>
      <c r="BH42" s="7">
        <f>ROUND(-0.107,10)</f>
        <v>-0.107</v>
      </c>
      <c r="BI42" s="7">
        <f>ROUND(-0.107,10)</f>
        <v>-0.107</v>
      </c>
      <c r="BJ42" s="7">
        <f>ROUND(-0.109,10)</f>
        <v>-0.109</v>
      </c>
      <c r="BK42" s="7">
        <f>ROUND(-0.11,10)</f>
        <v>-0.11</v>
      </c>
      <c r="BL42" s="7">
        <f>ROUND(-0.109,10)</f>
        <v>-0.109</v>
      </c>
      <c r="BM42" s="7">
        <f>ROUND(-0.109,10)</f>
        <v>-0.109</v>
      </c>
      <c r="BN42" s="7">
        <f>ROUND(-0.109,10)</f>
        <v>-0.109</v>
      </c>
      <c r="BO42" s="7">
        <f>ROUND(-0.111,10)</f>
        <v>-0.111</v>
      </c>
      <c r="BP42" s="7">
        <f>ROUND(-0.111,10)</f>
        <v>-0.111</v>
      </c>
      <c r="BQ42" s="7">
        <f>ROUND(-0.114,10)</f>
        <v>-0.114</v>
      </c>
      <c r="BR42" s="7">
        <f>ROUND(-0.115,10)</f>
        <v>-0.115</v>
      </c>
      <c r="BS42" s="7">
        <f>ROUND(-0.116,10)</f>
        <v>-0.11600000000000001</v>
      </c>
      <c r="BT42" s="7">
        <f>ROUND(-0.118,10)</f>
        <v>-0.11799999999999999</v>
      </c>
      <c r="BU42" s="7">
        <f>ROUND(-0.119,10)</f>
        <v>-0.11899999999999999</v>
      </c>
      <c r="BV42" s="7">
        <f>ROUND(-0.12,10)</f>
        <v>-0.12</v>
      </c>
      <c r="BW42" s="7">
        <f>ROUND(-0.12,10)</f>
        <v>-0.12</v>
      </c>
      <c r="BX42" s="7">
        <f>ROUND(-0.122,10)</f>
        <v>-0.122</v>
      </c>
      <c r="BY42" s="7">
        <f>ROUND(-0.123,10)</f>
        <v>-0.123</v>
      </c>
      <c r="BZ42" s="7">
        <f>ROUND(-0.124,10)</f>
        <v>-0.124</v>
      </c>
      <c r="CA42" s="7">
        <f>ROUND(-0.124,10)</f>
        <v>-0.124</v>
      </c>
      <c r="CB42" s="7">
        <f t="shared" ref="CB42:CG42" si="90">ROUND(-0.121,10)</f>
        <v>-0.121</v>
      </c>
      <c r="CC42" s="7">
        <f t="shared" si="90"/>
        <v>-0.121</v>
      </c>
      <c r="CD42" s="7">
        <f t="shared" si="90"/>
        <v>-0.121</v>
      </c>
      <c r="CE42" s="7">
        <f t="shared" si="90"/>
        <v>-0.121</v>
      </c>
      <c r="CF42" s="7">
        <f t="shared" si="90"/>
        <v>-0.121</v>
      </c>
      <c r="CG42" s="7">
        <f t="shared" si="90"/>
        <v>-0.121</v>
      </c>
      <c r="CH42" s="7">
        <f>ROUND(-0.125,10)</f>
        <v>-0.125</v>
      </c>
      <c r="CI42" s="7">
        <f>ROUND(-0.126,10)</f>
        <v>-0.126</v>
      </c>
      <c r="CJ42" s="7">
        <f>ROUND(-0.124,10)</f>
        <v>-0.124</v>
      </c>
      <c r="CK42" s="7">
        <f>ROUND(-0.124,10)</f>
        <v>-0.124</v>
      </c>
      <c r="CL42" s="7">
        <f>ROUND(-0.123,10)</f>
        <v>-0.123</v>
      </c>
      <c r="CM42" s="7">
        <f>ROUND(-0.124,10)</f>
        <v>-0.124</v>
      </c>
      <c r="CN42" s="7">
        <f>ROUND(-0.124,10)</f>
        <v>-0.124</v>
      </c>
      <c r="CO42" s="7">
        <f>ROUND(-0.127,10)</f>
        <v>-0.127</v>
      </c>
      <c r="CP42" s="7">
        <f>ROUND(-0.127,10)</f>
        <v>-0.127</v>
      </c>
      <c r="CQ42" s="7">
        <f>ROUND(-0.128,10)</f>
        <v>-0.128</v>
      </c>
      <c r="CR42" s="7">
        <f t="shared" ref="CR42:CX42" si="91">ROUND(-0.129,10)</f>
        <v>-0.129</v>
      </c>
      <c r="CS42" s="7">
        <f t="shared" si="91"/>
        <v>-0.129</v>
      </c>
      <c r="CT42" s="7">
        <f t="shared" si="91"/>
        <v>-0.129</v>
      </c>
      <c r="CU42" s="7">
        <f t="shared" si="91"/>
        <v>-0.129</v>
      </c>
      <c r="CV42" s="7">
        <f t="shared" si="91"/>
        <v>-0.129</v>
      </c>
      <c r="CW42" s="7">
        <f t="shared" si="91"/>
        <v>-0.129</v>
      </c>
      <c r="CX42" s="7">
        <f t="shared" si="91"/>
        <v>-0.129</v>
      </c>
      <c r="CY42" s="7">
        <f>ROUND(-0.13,10)</f>
        <v>-0.13</v>
      </c>
      <c r="CZ42" s="7">
        <f t="shared" ref="CZ42:DE42" si="92">ROUND(-0.131,10)</f>
        <v>-0.13100000000000001</v>
      </c>
      <c r="DA42" s="7">
        <f t="shared" si="92"/>
        <v>-0.13100000000000001</v>
      </c>
      <c r="DB42" s="7">
        <f t="shared" si="92"/>
        <v>-0.13100000000000001</v>
      </c>
      <c r="DC42" s="7">
        <f t="shared" si="92"/>
        <v>-0.13100000000000001</v>
      </c>
      <c r="DD42" s="7">
        <f t="shared" si="92"/>
        <v>-0.13100000000000001</v>
      </c>
      <c r="DE42" s="7">
        <f t="shared" si="92"/>
        <v>-0.13100000000000001</v>
      </c>
      <c r="DF42" s="7">
        <f>ROUND(-0.133,10)</f>
        <v>-0.13300000000000001</v>
      </c>
      <c r="DG42" s="7">
        <f>ROUND(-0.134,10)</f>
        <v>-0.13400000000000001</v>
      </c>
      <c r="DH42" s="7">
        <f>ROUND(-0.134,10)</f>
        <v>-0.13400000000000001</v>
      </c>
      <c r="DI42" s="7">
        <f>ROUND(-0.14,10)</f>
        <v>-0.14000000000000001</v>
      </c>
      <c r="DJ42" s="7">
        <f>ROUND(-0.147,10)</f>
        <v>-0.14699999999999999</v>
      </c>
      <c r="DK42" s="7">
        <f>ROUND(-0.149,10)</f>
        <v>-0.14899999999999999</v>
      </c>
      <c r="DL42" s="7">
        <f>ROUND(-0.152,10)</f>
        <v>-0.152</v>
      </c>
      <c r="DM42" s="7">
        <f>ROUND(-0.152,10)</f>
        <v>-0.152</v>
      </c>
      <c r="DN42" s="7">
        <f>ROUND(-0.154,10)</f>
        <v>-0.154</v>
      </c>
      <c r="DO42" s="7">
        <f>ROUND(-0.156,10)</f>
        <v>-0.156</v>
      </c>
      <c r="DP42" s="7">
        <f>ROUND(-0.159,10)</f>
        <v>-0.159</v>
      </c>
      <c r="DQ42" s="7">
        <f>ROUND(-0.161,10)</f>
        <v>-0.161</v>
      </c>
      <c r="DR42" s="7">
        <f>ROUND(-0.161,10)</f>
        <v>-0.161</v>
      </c>
      <c r="DS42" s="7">
        <f>ROUND(-0.163,10)</f>
        <v>-0.16300000000000001</v>
      </c>
      <c r="DT42" s="7">
        <f>ROUND(-0.161,10)</f>
        <v>-0.161</v>
      </c>
      <c r="DU42" s="7">
        <f>ROUND(-0.161,10)</f>
        <v>-0.161</v>
      </c>
      <c r="DV42" s="7">
        <f>ROUND(-0.158,10)</f>
        <v>-0.158</v>
      </c>
      <c r="DW42" s="7">
        <f>ROUND(-0.156,10)</f>
        <v>-0.156</v>
      </c>
      <c r="DX42" s="7">
        <f>ROUND(-0.156,10)</f>
        <v>-0.156</v>
      </c>
      <c r="DY42" s="7">
        <f>ROUND(-0.157,10)</f>
        <v>-0.157</v>
      </c>
      <c r="DZ42" s="7">
        <f>ROUND(-0.159,10)</f>
        <v>-0.159</v>
      </c>
      <c r="EA42" s="7">
        <f>ROUND(-0.16,10)</f>
        <v>-0.16</v>
      </c>
      <c r="EB42" s="7">
        <f>ROUND(-0.161,10)</f>
        <v>-0.161</v>
      </c>
      <c r="EC42" s="7">
        <f>ROUND(-0.161,10)</f>
        <v>-0.161</v>
      </c>
      <c r="ED42" s="7">
        <f>ROUND(-0.156,10)</f>
        <v>-0.156</v>
      </c>
      <c r="EE42" s="7">
        <f>ROUND(-0.155,10)</f>
        <v>-0.155</v>
      </c>
      <c r="EF42" s="7">
        <f>ROUND(-0.154,10)</f>
        <v>-0.154</v>
      </c>
      <c r="EG42" s="7">
        <f t="shared" ref="EG42:EL42" si="93">ROUND(-0.151,10)</f>
        <v>-0.151</v>
      </c>
      <c r="EH42" s="7">
        <f t="shared" si="93"/>
        <v>-0.151</v>
      </c>
      <c r="EI42" s="7">
        <f t="shared" si="93"/>
        <v>-0.151</v>
      </c>
      <c r="EJ42" s="7">
        <f t="shared" si="93"/>
        <v>-0.151</v>
      </c>
      <c r="EK42" s="7">
        <f t="shared" si="93"/>
        <v>-0.151</v>
      </c>
      <c r="EL42" s="7">
        <f t="shared" si="93"/>
        <v>-0.151</v>
      </c>
      <c r="EM42" s="7">
        <f>ROUND(-0.152,10)</f>
        <v>-0.152</v>
      </c>
      <c r="EN42" s="7">
        <f>ROUND(-0.153,10)</f>
        <v>-0.153</v>
      </c>
      <c r="EO42" s="7">
        <f>ROUND(-0.153,10)</f>
        <v>-0.153</v>
      </c>
      <c r="EP42" s="7">
        <f>ROUND(-0.153,10)</f>
        <v>-0.153</v>
      </c>
      <c r="EQ42" s="7">
        <f>ROUND(-0.153,10)</f>
        <v>-0.153</v>
      </c>
      <c r="ER42" s="7">
        <f>ROUND(-0.152,10)</f>
        <v>-0.152</v>
      </c>
      <c r="ES42" s="7">
        <f>ROUND(-0.151,10)</f>
        <v>-0.151</v>
      </c>
      <c r="ET42" s="7">
        <f>ROUND(-0.151,10)</f>
        <v>-0.151</v>
      </c>
      <c r="EU42" s="7">
        <f>ROUND(-0.153,10)</f>
        <v>-0.153</v>
      </c>
      <c r="EV42" s="7">
        <f>ROUND(-0.152,10)</f>
        <v>-0.152</v>
      </c>
      <c r="EW42" s="7">
        <f>ROUND(-0.151,10)</f>
        <v>-0.151</v>
      </c>
      <c r="EX42" s="7">
        <f>ROUND(-0.152,10)</f>
        <v>-0.152</v>
      </c>
      <c r="EY42" s="7">
        <f>ROUND(-0.152,10)</f>
        <v>-0.152</v>
      </c>
      <c r="EZ42" s="7">
        <f>ROUND(-0.153,10)</f>
        <v>-0.153</v>
      </c>
      <c r="FA42" s="7">
        <f>ROUND(-0.154,10)</f>
        <v>-0.154</v>
      </c>
      <c r="FB42" s="7">
        <f>ROUND(-0.156,10)</f>
        <v>-0.156</v>
      </c>
      <c r="FC42" s="7">
        <f>ROUND(-0.158,10)</f>
        <v>-0.158</v>
      </c>
      <c r="FD42" s="7">
        <f>ROUND(-0.157,10)</f>
        <v>-0.157</v>
      </c>
      <c r="FE42" s="7">
        <f>ROUND(-0.157,10)</f>
        <v>-0.157</v>
      </c>
      <c r="FF42" s="7">
        <f>ROUND(-0.158,10)</f>
        <v>-0.158</v>
      </c>
      <c r="FG42" s="7">
        <f>ROUND(-0.158,10)</f>
        <v>-0.158</v>
      </c>
      <c r="FH42" s="7">
        <f>ROUND(-0.158,10)</f>
        <v>-0.158</v>
      </c>
      <c r="FI42" s="7">
        <f>ROUND(-0.158,10)</f>
        <v>-0.158</v>
      </c>
      <c r="FJ42" s="7">
        <f>ROUND(-0.159,10)</f>
        <v>-0.159</v>
      </c>
      <c r="FK42" s="7">
        <f>ROUND(-0.159,10)</f>
        <v>-0.159</v>
      </c>
      <c r="FL42" s="7">
        <f>ROUND(-0.159,10)</f>
        <v>-0.159</v>
      </c>
      <c r="FM42" s="7">
        <f>ROUND(-0.159,10)</f>
        <v>-0.159</v>
      </c>
      <c r="FN42" s="7">
        <f>ROUND(-0.16,10)</f>
        <v>-0.16</v>
      </c>
      <c r="FO42" s="7">
        <f>ROUND(-0.161,10)</f>
        <v>-0.161</v>
      </c>
      <c r="FP42" s="7">
        <f>ROUND(-0.161,10)</f>
        <v>-0.161</v>
      </c>
      <c r="FQ42" s="7">
        <f>ROUND(-0.161,10)</f>
        <v>-0.161</v>
      </c>
      <c r="FR42" s="7">
        <f>ROUND(-0.161,10)</f>
        <v>-0.161</v>
      </c>
      <c r="FS42" s="7">
        <f>ROUND(-0.161,10)</f>
        <v>-0.161</v>
      </c>
      <c r="FT42" s="7">
        <f>ROUND(-0.163,10)</f>
        <v>-0.16300000000000001</v>
      </c>
      <c r="FU42" s="7">
        <f>ROUND(-0.162,10)</f>
        <v>-0.16200000000000001</v>
      </c>
      <c r="FV42" s="7">
        <f>ROUND(-0.166,10)</f>
        <v>-0.16600000000000001</v>
      </c>
      <c r="FW42" s="7">
        <f>ROUND(-0.168,10)</f>
        <v>-0.16800000000000001</v>
      </c>
      <c r="FX42" s="7">
        <f>ROUND(-0.169,10)</f>
        <v>-0.16900000000000001</v>
      </c>
      <c r="FY42" s="7">
        <f>ROUND(-0.169,10)</f>
        <v>-0.16900000000000001</v>
      </c>
      <c r="FZ42" s="7">
        <f t="shared" ref="FZ42:GI42" si="94">ROUND(-0.171,10)</f>
        <v>-0.17100000000000001</v>
      </c>
      <c r="GA42" s="7">
        <f t="shared" si="94"/>
        <v>-0.17100000000000001</v>
      </c>
      <c r="GB42" s="7">
        <f t="shared" si="94"/>
        <v>-0.17100000000000001</v>
      </c>
      <c r="GC42" s="7">
        <f t="shared" si="94"/>
        <v>-0.17100000000000001</v>
      </c>
      <c r="GD42" s="7">
        <f t="shared" si="94"/>
        <v>-0.17100000000000001</v>
      </c>
      <c r="GE42" s="7">
        <f t="shared" si="94"/>
        <v>-0.17100000000000001</v>
      </c>
      <c r="GF42" s="7">
        <f t="shared" si="94"/>
        <v>-0.17100000000000001</v>
      </c>
      <c r="GG42" s="7">
        <f t="shared" si="94"/>
        <v>-0.17100000000000001</v>
      </c>
      <c r="GH42" s="7">
        <f t="shared" si="94"/>
        <v>-0.17100000000000001</v>
      </c>
      <c r="GI42" s="7">
        <f t="shared" si="94"/>
        <v>-0.17100000000000001</v>
      </c>
      <c r="GJ42" s="7">
        <f>ROUND(-0.172,10)</f>
        <v>-0.17199999999999999</v>
      </c>
      <c r="GK42" s="7">
        <f>ROUND(-0.172,10)</f>
        <v>-0.17199999999999999</v>
      </c>
      <c r="GL42" s="7">
        <f>ROUND(-0.172,10)</f>
        <v>-0.17199999999999999</v>
      </c>
      <c r="GM42" s="7">
        <f>ROUND(-0.171,10)</f>
        <v>-0.17100000000000001</v>
      </c>
      <c r="GN42" s="7">
        <f>ROUND(-0.168,10)</f>
        <v>-0.16800000000000001</v>
      </c>
      <c r="GO42" s="7">
        <f>ROUND(-0.171,10)</f>
        <v>-0.17100000000000001</v>
      </c>
      <c r="GP42" s="7">
        <f>ROUND(-0.173,10)</f>
        <v>-0.17299999999999999</v>
      </c>
      <c r="GQ42" s="7">
        <f>ROUND(-0.176,10)</f>
        <v>-0.17599999999999999</v>
      </c>
      <c r="GR42" s="7">
        <f>ROUND(-0.181,10)</f>
        <v>-0.18099999999999999</v>
      </c>
      <c r="GS42" s="7">
        <f>ROUND(-0.181,10)</f>
        <v>-0.18099999999999999</v>
      </c>
      <c r="GT42" s="7">
        <f>ROUND(-0.181,10)</f>
        <v>-0.18099999999999999</v>
      </c>
      <c r="GU42" s="7">
        <f>ROUND(-0.181,10)</f>
        <v>-0.18099999999999999</v>
      </c>
      <c r="GV42" s="7">
        <f>ROUND(-0.182,10)</f>
        <v>-0.182</v>
      </c>
      <c r="GW42" s="7">
        <f t="shared" ref="GW42:HD42" si="95">ROUND(-0.183,10)</f>
        <v>-0.183</v>
      </c>
      <c r="GX42" s="7">
        <f t="shared" si="95"/>
        <v>-0.183</v>
      </c>
      <c r="GY42" s="7">
        <f t="shared" si="95"/>
        <v>-0.183</v>
      </c>
      <c r="GZ42" s="7">
        <f t="shared" si="95"/>
        <v>-0.183</v>
      </c>
      <c r="HA42" s="7">
        <f t="shared" si="95"/>
        <v>-0.183</v>
      </c>
      <c r="HB42" s="7">
        <f t="shared" si="95"/>
        <v>-0.183</v>
      </c>
      <c r="HC42" s="7">
        <f t="shared" si="95"/>
        <v>-0.183</v>
      </c>
      <c r="HD42" s="7">
        <f t="shared" si="95"/>
        <v>-0.183</v>
      </c>
      <c r="HE42" s="7">
        <f>ROUND(-0.184,10)</f>
        <v>-0.184</v>
      </c>
      <c r="HF42" s="7">
        <f>ROUND(-0.185,10)</f>
        <v>-0.185</v>
      </c>
      <c r="HG42" s="7">
        <f>ROUND(-0.185,10)</f>
        <v>-0.185</v>
      </c>
      <c r="HH42" s="7">
        <f>ROUND(-0.187,10)</f>
        <v>-0.187</v>
      </c>
      <c r="HI42" s="7">
        <f>ROUND(-0.189,10)</f>
        <v>-0.189</v>
      </c>
      <c r="HJ42" s="7">
        <f>ROUND(-0.191,10)</f>
        <v>-0.191</v>
      </c>
      <c r="HK42" s="7">
        <f>ROUND(-0.191,10)</f>
        <v>-0.191</v>
      </c>
      <c r="HL42" s="7">
        <f>ROUND(-0.19,10)</f>
        <v>-0.19</v>
      </c>
      <c r="HM42" s="7">
        <f>ROUND(-0.191,10)</f>
        <v>-0.191</v>
      </c>
      <c r="HN42" s="7">
        <f>ROUND(-0.191,10)</f>
        <v>-0.191</v>
      </c>
      <c r="HO42" s="7">
        <f>ROUND(-0.191,10)</f>
        <v>-0.191</v>
      </c>
      <c r="HP42" s="7">
        <f>ROUND(-0.191,10)</f>
        <v>-0.191</v>
      </c>
      <c r="HQ42" s="7">
        <f>ROUND(-0.191,10)</f>
        <v>-0.191</v>
      </c>
      <c r="HR42" s="7">
        <f>ROUND(-0.192,10)</f>
        <v>-0.192</v>
      </c>
      <c r="HS42" s="7">
        <f>ROUND(-0.192,10)</f>
        <v>-0.192</v>
      </c>
      <c r="HT42" s="7">
        <f>ROUND(-0.192,10)</f>
        <v>-0.192</v>
      </c>
      <c r="HU42" s="7">
        <f>ROUND(-0.187,10)</f>
        <v>-0.187</v>
      </c>
      <c r="HV42" s="7">
        <f t="shared" ref="HV42:IA42" si="96">ROUND(-0.186,10)</f>
        <v>-0.186</v>
      </c>
      <c r="HW42" s="7">
        <f t="shared" si="96"/>
        <v>-0.186</v>
      </c>
      <c r="HX42" s="7">
        <f t="shared" si="96"/>
        <v>-0.186</v>
      </c>
      <c r="HY42" s="7">
        <f t="shared" si="96"/>
        <v>-0.186</v>
      </c>
      <c r="HZ42" s="7">
        <f t="shared" si="96"/>
        <v>-0.186</v>
      </c>
      <c r="IA42" s="7">
        <f t="shared" si="96"/>
        <v>-0.186</v>
      </c>
      <c r="IB42" s="7">
        <f>ROUND(-0.187,10)</f>
        <v>-0.187</v>
      </c>
      <c r="IC42" s="7">
        <f>ROUND(-0.188,10)</f>
        <v>-0.188</v>
      </c>
      <c r="ID42" s="7">
        <f>ROUND(-0.188,10)</f>
        <v>-0.188</v>
      </c>
      <c r="IE42" s="7">
        <f>ROUND(-0.19,10)</f>
        <v>-0.19</v>
      </c>
      <c r="IF42" s="7">
        <f>ROUND(-0.191,10)</f>
        <v>-0.191</v>
      </c>
      <c r="IG42" s="7">
        <f>ROUND(-0.191,10)</f>
        <v>-0.191</v>
      </c>
      <c r="IH42" s="7">
        <f>ROUND(-0.19,10)</f>
        <v>-0.19</v>
      </c>
      <c r="II42" s="7">
        <f>ROUND(-0.191,10)</f>
        <v>-0.191</v>
      </c>
      <c r="IJ42" s="7">
        <f>ROUND(-0.191,10)</f>
        <v>-0.191</v>
      </c>
      <c r="IK42" s="7">
        <f>ROUND(-0.191,10)</f>
        <v>-0.191</v>
      </c>
      <c r="IL42" s="7">
        <f>ROUND(-0.191,10)</f>
        <v>-0.191</v>
      </c>
      <c r="IM42" s="7">
        <f>ROUND(-0.192,10)</f>
        <v>-0.192</v>
      </c>
      <c r="IN42" s="7">
        <f>ROUND(-0.193,10)</f>
        <v>-0.193</v>
      </c>
      <c r="IO42" s="7">
        <f>ROUND(-0.194,10)</f>
        <v>-0.19400000000000001</v>
      </c>
      <c r="IP42" s="7">
        <f>ROUND(-0.194,10)</f>
        <v>-0.19400000000000001</v>
      </c>
      <c r="IQ42" s="7">
        <f>ROUND(-0.188,10)</f>
        <v>-0.188</v>
      </c>
      <c r="IR42" s="7">
        <f>ROUND(-0.186,10)</f>
        <v>-0.186</v>
      </c>
      <c r="IS42" s="7">
        <f>ROUND(-0.186,10)</f>
        <v>-0.186</v>
      </c>
      <c r="IT42" s="7">
        <f>ROUND(-0.186,10)</f>
        <v>-0.186</v>
      </c>
      <c r="IU42" s="7">
        <f>ROUND(-0.186,10)</f>
        <v>-0.186</v>
      </c>
      <c r="IV42" s="7">
        <f>ROUND(-0.186,10)</f>
        <v>-0.186</v>
      </c>
    </row>
    <row r="45" spans="1:256">
      <c r="A45" s="8">
        <v>2018</v>
      </c>
      <c r="B45" s="5">
        <v>43102</v>
      </c>
      <c r="C45" s="5">
        <v>43103</v>
      </c>
      <c r="D45" s="5">
        <v>43104</v>
      </c>
      <c r="E45" s="5">
        <v>43105</v>
      </c>
      <c r="F45" s="5">
        <v>43108</v>
      </c>
      <c r="G45" s="5">
        <v>43109</v>
      </c>
      <c r="H45" s="5">
        <v>43110</v>
      </c>
      <c r="I45" s="5">
        <v>43111</v>
      </c>
      <c r="J45" s="5">
        <v>43112</v>
      </c>
      <c r="K45" s="5">
        <v>43115</v>
      </c>
      <c r="L45" s="5">
        <v>43116</v>
      </c>
      <c r="M45" s="5">
        <v>43117</v>
      </c>
      <c r="N45" s="5">
        <v>43118</v>
      </c>
      <c r="O45" s="5">
        <v>43119</v>
      </c>
      <c r="P45" s="5">
        <v>43122</v>
      </c>
      <c r="Q45" s="5">
        <v>43123</v>
      </c>
      <c r="R45" s="5">
        <v>43124</v>
      </c>
      <c r="S45" s="5">
        <v>43125</v>
      </c>
      <c r="T45" s="5">
        <v>43126</v>
      </c>
      <c r="U45" s="5">
        <v>43129</v>
      </c>
      <c r="V45" s="5">
        <v>43130</v>
      </c>
      <c r="W45" s="5">
        <v>43131</v>
      </c>
      <c r="X45" s="5">
        <v>43132</v>
      </c>
      <c r="Y45" s="5">
        <v>43133</v>
      </c>
      <c r="Z45" s="5">
        <v>43136</v>
      </c>
      <c r="AA45" s="5">
        <v>43137</v>
      </c>
      <c r="AB45" s="5">
        <v>43138</v>
      </c>
      <c r="AC45" s="5">
        <v>43139</v>
      </c>
      <c r="AD45" s="5">
        <v>43140</v>
      </c>
      <c r="AE45" s="5">
        <v>43143</v>
      </c>
      <c r="AF45" s="5">
        <v>43144</v>
      </c>
      <c r="AG45" s="5">
        <v>43145</v>
      </c>
      <c r="AH45" s="5">
        <v>43146</v>
      </c>
      <c r="AI45" s="5">
        <v>43147</v>
      </c>
      <c r="AJ45" s="5">
        <v>43150</v>
      </c>
      <c r="AK45" s="5">
        <v>43151</v>
      </c>
      <c r="AL45" s="5">
        <v>43152</v>
      </c>
      <c r="AM45" s="5">
        <v>43153</v>
      </c>
      <c r="AN45" s="5">
        <v>43154</v>
      </c>
      <c r="AO45" s="5">
        <v>43157</v>
      </c>
      <c r="AP45" s="5">
        <v>43158</v>
      </c>
      <c r="AQ45" s="5">
        <v>43159</v>
      </c>
      <c r="AR45" s="5">
        <v>43160</v>
      </c>
      <c r="AS45" s="5">
        <v>43161</v>
      </c>
      <c r="AT45" s="5">
        <v>43164</v>
      </c>
      <c r="AU45" s="5">
        <v>43165</v>
      </c>
      <c r="AV45" s="5">
        <v>43166</v>
      </c>
      <c r="AW45" s="5">
        <v>43167</v>
      </c>
      <c r="AX45" s="5">
        <v>43168</v>
      </c>
      <c r="AY45" s="5">
        <v>43171</v>
      </c>
      <c r="AZ45" s="5">
        <v>43172</v>
      </c>
      <c r="BA45" s="5">
        <v>43173</v>
      </c>
      <c r="BB45" s="5">
        <v>43174</v>
      </c>
      <c r="BC45" s="5">
        <v>43175</v>
      </c>
      <c r="BD45" s="5">
        <v>43178</v>
      </c>
      <c r="BE45" s="5">
        <v>43179</v>
      </c>
      <c r="BF45" s="5">
        <v>43180</v>
      </c>
      <c r="BG45" s="5">
        <v>43181</v>
      </c>
      <c r="BH45" s="5">
        <v>43182</v>
      </c>
      <c r="BI45" s="5">
        <v>43185</v>
      </c>
      <c r="BJ45" s="5">
        <v>43186</v>
      </c>
      <c r="BK45" s="5">
        <v>43187</v>
      </c>
      <c r="BL45" s="5">
        <v>43188</v>
      </c>
      <c r="BM45" s="5">
        <v>43193</v>
      </c>
      <c r="BN45" s="5">
        <v>43194</v>
      </c>
      <c r="BO45" s="5">
        <v>43195</v>
      </c>
      <c r="BP45" s="5">
        <v>43196</v>
      </c>
      <c r="BQ45" s="5">
        <v>43199</v>
      </c>
      <c r="BR45" s="5">
        <v>43200</v>
      </c>
      <c r="BS45" s="5">
        <v>43201</v>
      </c>
      <c r="BT45" s="5">
        <v>43202</v>
      </c>
      <c r="BU45" s="5">
        <v>43203</v>
      </c>
      <c r="BV45" s="5">
        <v>43206</v>
      </c>
      <c r="BW45" s="5">
        <v>43207</v>
      </c>
      <c r="BX45" s="5">
        <v>43208</v>
      </c>
      <c r="BY45" s="5">
        <v>43209</v>
      </c>
      <c r="BZ45" s="5">
        <v>43210</v>
      </c>
      <c r="CA45" s="5">
        <v>43213</v>
      </c>
      <c r="CB45" s="5">
        <v>43214</v>
      </c>
      <c r="CC45" s="5">
        <v>43215</v>
      </c>
      <c r="CD45" s="5">
        <v>43216</v>
      </c>
      <c r="CE45" s="5">
        <v>43217</v>
      </c>
      <c r="CF45" s="5">
        <v>43220</v>
      </c>
      <c r="CG45" s="5">
        <v>43222</v>
      </c>
      <c r="CH45" s="5">
        <v>43223</v>
      </c>
      <c r="CI45" s="5">
        <v>43224</v>
      </c>
      <c r="CJ45" s="5">
        <v>43227</v>
      </c>
      <c r="CK45" s="5">
        <v>43228</v>
      </c>
      <c r="CL45" s="5">
        <v>43229</v>
      </c>
      <c r="CM45" s="5">
        <v>43230</v>
      </c>
      <c r="CN45" s="5">
        <v>43231</v>
      </c>
      <c r="CO45" s="5">
        <v>43234</v>
      </c>
      <c r="CP45" s="5">
        <v>43235</v>
      </c>
      <c r="CQ45" s="5">
        <v>43236</v>
      </c>
      <c r="CR45" s="5">
        <v>43237</v>
      </c>
      <c r="CS45" s="5">
        <v>43238</v>
      </c>
      <c r="CT45" s="5">
        <v>43241</v>
      </c>
      <c r="CU45" s="5">
        <v>43242</v>
      </c>
      <c r="CV45" s="5">
        <v>43243</v>
      </c>
      <c r="CW45" s="5">
        <v>43244</v>
      </c>
      <c r="CX45" s="5">
        <v>43245</v>
      </c>
      <c r="CY45" s="5">
        <v>43248</v>
      </c>
      <c r="CZ45" s="5">
        <v>43249</v>
      </c>
      <c r="DA45" s="5">
        <v>43250</v>
      </c>
      <c r="DB45" s="5">
        <v>43251</v>
      </c>
      <c r="DC45" s="5">
        <v>43252</v>
      </c>
      <c r="DD45" s="5">
        <v>43255</v>
      </c>
      <c r="DE45" s="5">
        <v>43256</v>
      </c>
      <c r="DF45" s="5">
        <v>43257</v>
      </c>
      <c r="DG45" s="5">
        <v>43258</v>
      </c>
      <c r="DH45" s="5">
        <v>43259</v>
      </c>
      <c r="DI45" s="5">
        <v>43262</v>
      </c>
      <c r="DJ45" s="5">
        <v>43263</v>
      </c>
      <c r="DK45" s="5">
        <v>43264</v>
      </c>
      <c r="DL45" s="5">
        <v>43265</v>
      </c>
      <c r="DM45" s="5">
        <v>43266</v>
      </c>
      <c r="DN45" s="5">
        <v>43269</v>
      </c>
      <c r="DO45" s="5">
        <v>43270</v>
      </c>
      <c r="DP45" s="5">
        <v>43271</v>
      </c>
      <c r="DQ45" s="5">
        <v>43272</v>
      </c>
      <c r="DR45" s="5">
        <v>43273</v>
      </c>
      <c r="DS45" s="5">
        <v>43276</v>
      </c>
      <c r="DT45" s="5">
        <v>43277</v>
      </c>
      <c r="DU45" s="5">
        <v>43278</v>
      </c>
      <c r="DV45" s="5">
        <v>43279</v>
      </c>
      <c r="DW45" s="5">
        <v>43280</v>
      </c>
      <c r="DX45" s="5">
        <v>43283</v>
      </c>
      <c r="DY45" s="5">
        <v>43284</v>
      </c>
      <c r="DZ45" s="5">
        <v>43285</v>
      </c>
      <c r="EA45" s="5">
        <v>43286</v>
      </c>
      <c r="EB45" s="5">
        <v>43287</v>
      </c>
      <c r="EC45" s="5">
        <v>43290</v>
      </c>
      <c r="ED45" s="5">
        <v>43291</v>
      </c>
      <c r="EE45" s="5">
        <v>43292</v>
      </c>
      <c r="EF45" s="5">
        <v>43293</v>
      </c>
      <c r="EG45" s="5">
        <v>43294</v>
      </c>
      <c r="EH45" s="5">
        <v>43297</v>
      </c>
      <c r="EI45" s="5">
        <v>43298</v>
      </c>
      <c r="EJ45" s="5">
        <v>43299</v>
      </c>
      <c r="EK45" s="5">
        <v>43300</v>
      </c>
      <c r="EL45" s="5">
        <v>43301</v>
      </c>
      <c r="EM45" s="5">
        <v>43304</v>
      </c>
      <c r="EN45" s="5">
        <v>43305</v>
      </c>
      <c r="EO45" s="5">
        <v>43306</v>
      </c>
      <c r="EP45" s="5">
        <v>43307</v>
      </c>
      <c r="EQ45" s="5">
        <v>43308</v>
      </c>
      <c r="ER45" s="5">
        <v>43311</v>
      </c>
      <c r="ES45" s="5">
        <v>43312</v>
      </c>
      <c r="ET45" s="5">
        <v>43313</v>
      </c>
      <c r="EU45" s="5">
        <v>43314</v>
      </c>
      <c r="EV45" s="5">
        <v>43315</v>
      </c>
      <c r="EW45" s="5">
        <v>43318</v>
      </c>
      <c r="EX45" s="5">
        <v>43319</v>
      </c>
      <c r="EY45" s="5">
        <v>43320</v>
      </c>
      <c r="EZ45" s="5">
        <v>43321</v>
      </c>
      <c r="FA45" s="5">
        <v>43322</v>
      </c>
      <c r="FB45" s="5">
        <v>43325</v>
      </c>
      <c r="FC45" s="5">
        <v>43326</v>
      </c>
      <c r="FD45" s="5">
        <v>43327</v>
      </c>
      <c r="FE45" s="5">
        <v>43328</v>
      </c>
      <c r="FF45" s="5">
        <v>43329</v>
      </c>
      <c r="FG45" s="5">
        <v>43332</v>
      </c>
      <c r="FH45" s="5">
        <v>43333</v>
      </c>
      <c r="FI45" s="5">
        <v>43334</v>
      </c>
      <c r="FJ45" s="5">
        <v>43335</v>
      </c>
      <c r="FK45" s="5">
        <v>43336</v>
      </c>
      <c r="FL45" s="5">
        <v>43339</v>
      </c>
      <c r="FM45" s="5">
        <v>43340</v>
      </c>
      <c r="FN45" s="5">
        <v>43341</v>
      </c>
      <c r="FO45" s="5">
        <v>43342</v>
      </c>
      <c r="FP45" s="5">
        <v>43343</v>
      </c>
      <c r="FQ45" s="5">
        <v>43346</v>
      </c>
      <c r="FR45" s="5">
        <v>43347</v>
      </c>
      <c r="FS45" s="5">
        <v>43348</v>
      </c>
      <c r="FT45" s="5">
        <v>43349</v>
      </c>
      <c r="FU45" s="5">
        <v>43350</v>
      </c>
      <c r="FV45" s="5">
        <v>43353</v>
      </c>
      <c r="FW45" s="5">
        <v>43354</v>
      </c>
      <c r="FX45" s="5">
        <v>43355</v>
      </c>
      <c r="FY45" s="5">
        <v>43356</v>
      </c>
      <c r="FZ45" s="5">
        <v>43357</v>
      </c>
      <c r="GA45" s="5">
        <v>43360</v>
      </c>
      <c r="GB45" s="5">
        <v>43361</v>
      </c>
      <c r="GC45" s="5">
        <v>43362</v>
      </c>
      <c r="GD45" s="5">
        <v>43363</v>
      </c>
      <c r="GE45" s="5">
        <v>43364</v>
      </c>
      <c r="GF45" s="5">
        <v>43367</v>
      </c>
      <c r="GG45" s="5">
        <v>43368</v>
      </c>
      <c r="GH45" s="5">
        <v>43369</v>
      </c>
      <c r="GI45" s="5">
        <v>43370</v>
      </c>
      <c r="GJ45" s="5">
        <v>43371</v>
      </c>
      <c r="GK45" s="5">
        <v>43374</v>
      </c>
      <c r="GL45" s="5">
        <v>43375</v>
      </c>
      <c r="GM45" s="5">
        <v>43376</v>
      </c>
      <c r="GN45" s="5">
        <v>43377</v>
      </c>
      <c r="GO45" s="5">
        <v>43378</v>
      </c>
      <c r="GP45" s="5">
        <v>43381</v>
      </c>
      <c r="GQ45" s="5">
        <v>43382</v>
      </c>
      <c r="GR45" s="5">
        <v>43383</v>
      </c>
      <c r="GS45" s="5">
        <v>43384</v>
      </c>
      <c r="GT45" s="5">
        <v>43385</v>
      </c>
      <c r="GU45" s="5">
        <v>43388</v>
      </c>
      <c r="GV45" s="5">
        <v>43389</v>
      </c>
      <c r="GW45" s="5">
        <v>43390</v>
      </c>
      <c r="GX45" s="5">
        <v>43391</v>
      </c>
      <c r="GY45" s="5">
        <v>43392</v>
      </c>
      <c r="GZ45" s="5">
        <v>43395</v>
      </c>
      <c r="HA45" s="5">
        <v>43396</v>
      </c>
      <c r="HB45" s="5">
        <v>43397</v>
      </c>
      <c r="HC45" s="5">
        <v>43398</v>
      </c>
      <c r="HD45" s="5">
        <v>43399</v>
      </c>
      <c r="HE45" s="5">
        <v>43402</v>
      </c>
      <c r="HF45" s="5">
        <v>43403</v>
      </c>
      <c r="HG45" s="5">
        <v>43404</v>
      </c>
      <c r="HH45" s="5">
        <v>43405</v>
      </c>
      <c r="HI45" s="5">
        <v>43406</v>
      </c>
      <c r="HJ45" s="5">
        <v>43409</v>
      </c>
      <c r="HK45" s="5">
        <v>43410</v>
      </c>
      <c r="HL45" s="5">
        <v>43411</v>
      </c>
      <c r="HM45" s="5">
        <v>43412</v>
      </c>
      <c r="HN45" s="5">
        <v>43413</v>
      </c>
      <c r="HO45" s="5">
        <v>43416</v>
      </c>
      <c r="HP45" s="5">
        <v>43417</v>
      </c>
      <c r="HQ45" s="5">
        <v>43418</v>
      </c>
      <c r="HR45" s="5">
        <v>43419</v>
      </c>
      <c r="HS45" s="5">
        <v>43420</v>
      </c>
      <c r="HT45" s="5">
        <v>43423</v>
      </c>
      <c r="HU45" s="5">
        <v>43424</v>
      </c>
      <c r="HV45" s="5">
        <v>43425</v>
      </c>
      <c r="HW45" s="5">
        <v>43426</v>
      </c>
      <c r="HX45" s="5">
        <v>43427</v>
      </c>
      <c r="HY45" s="5">
        <v>43430</v>
      </c>
      <c r="HZ45" s="5">
        <v>43431</v>
      </c>
      <c r="IA45" s="5">
        <v>43432</v>
      </c>
      <c r="IB45" s="5">
        <v>43433</v>
      </c>
      <c r="IC45" s="5">
        <v>43434</v>
      </c>
      <c r="ID45" s="5">
        <v>43437</v>
      </c>
      <c r="IE45" s="5">
        <v>43438</v>
      </c>
      <c r="IF45" s="5">
        <v>43439</v>
      </c>
      <c r="IG45" s="5">
        <v>43440</v>
      </c>
      <c r="IH45" s="5">
        <v>43441</v>
      </c>
      <c r="II45" s="5">
        <v>43444</v>
      </c>
      <c r="IJ45" s="5">
        <v>43445</v>
      </c>
      <c r="IK45" s="5">
        <v>43446</v>
      </c>
      <c r="IL45" s="5">
        <v>43447</v>
      </c>
      <c r="IM45" s="5">
        <v>43448</v>
      </c>
      <c r="IN45" s="5">
        <v>43451</v>
      </c>
      <c r="IO45" s="5">
        <v>43452</v>
      </c>
      <c r="IP45" s="5">
        <v>43453</v>
      </c>
      <c r="IQ45" s="5">
        <v>43454</v>
      </c>
      <c r="IR45" s="5">
        <v>43455</v>
      </c>
      <c r="IS45" s="5">
        <v>43458</v>
      </c>
      <c r="IT45" s="5">
        <v>43461</v>
      </c>
      <c r="IU45" s="5">
        <v>43462</v>
      </c>
      <c r="IV45" s="5">
        <v>43465</v>
      </c>
    </row>
    <row r="46" spans="1:256">
      <c r="A46" s="6" t="s">
        <v>35</v>
      </c>
      <c r="B46" s="7">
        <f>ROUND(-0.379,10)</f>
        <v>-0.379</v>
      </c>
      <c r="C46" s="7">
        <f>ROUND(-0.379,10)</f>
        <v>-0.379</v>
      </c>
      <c r="D46" s="7">
        <f>ROUND(-0.378,10)</f>
        <v>-0.378</v>
      </c>
      <c r="E46" s="7">
        <f t="shared" ref="E46:N46" si="97">ROUND(-0.379,10)</f>
        <v>-0.379</v>
      </c>
      <c r="F46" s="7">
        <f t="shared" si="97"/>
        <v>-0.379</v>
      </c>
      <c r="G46" s="7">
        <f t="shared" si="97"/>
        <v>-0.379</v>
      </c>
      <c r="H46" s="7">
        <f t="shared" si="97"/>
        <v>-0.379</v>
      </c>
      <c r="I46" s="7">
        <f t="shared" si="97"/>
        <v>-0.379</v>
      </c>
      <c r="J46" s="7">
        <f t="shared" si="97"/>
        <v>-0.379</v>
      </c>
      <c r="K46" s="7">
        <f t="shared" si="97"/>
        <v>-0.379</v>
      </c>
      <c r="L46" s="7">
        <f t="shared" si="97"/>
        <v>-0.379</v>
      </c>
      <c r="M46" s="7">
        <f t="shared" si="97"/>
        <v>-0.379</v>
      </c>
      <c r="N46" s="7">
        <f t="shared" si="97"/>
        <v>-0.379</v>
      </c>
      <c r="O46" s="7">
        <f>ROUND(-0.378,10)</f>
        <v>-0.378</v>
      </c>
      <c r="P46" s="7">
        <f>ROUND(-0.379,10)</f>
        <v>-0.379</v>
      </c>
      <c r="Q46" s="7">
        <f>ROUND(-0.379,10)</f>
        <v>-0.379</v>
      </c>
      <c r="R46" s="7">
        <f>ROUND(-0.377,10)</f>
        <v>-0.377</v>
      </c>
      <c r="S46" s="7">
        <f>ROUND(-0.377,10)</f>
        <v>-0.377</v>
      </c>
      <c r="T46" s="7">
        <f>ROUND(-0.378,10)</f>
        <v>-0.378</v>
      </c>
      <c r="U46" s="7">
        <f>ROUND(-0.378,10)</f>
        <v>-0.378</v>
      </c>
      <c r="V46" s="7">
        <f>ROUND(-0.377,10)</f>
        <v>-0.377</v>
      </c>
      <c r="W46" s="7">
        <f>ROUND(-0.379,10)</f>
        <v>-0.379</v>
      </c>
      <c r="X46" s="7">
        <f>ROUND(-0.379,10)</f>
        <v>-0.379</v>
      </c>
      <c r="Y46" s="7">
        <f>ROUND(-0.378,10)</f>
        <v>-0.378</v>
      </c>
      <c r="Z46" s="7">
        <f>ROUND(-0.38,10)</f>
        <v>-0.38</v>
      </c>
      <c r="AA46" s="7">
        <f>ROUND(-0.38,10)</f>
        <v>-0.38</v>
      </c>
      <c r="AB46" s="7">
        <f>ROUND(-0.379,10)</f>
        <v>-0.379</v>
      </c>
      <c r="AC46" s="7">
        <f>ROUND(-0.379,10)</f>
        <v>-0.379</v>
      </c>
      <c r="AD46" s="7">
        <f>ROUND(-0.38,10)</f>
        <v>-0.38</v>
      </c>
      <c r="AE46" s="7">
        <f t="shared" ref="AE46:AN46" si="98">ROUND(-0.379,10)</f>
        <v>-0.379</v>
      </c>
      <c r="AF46" s="7">
        <f t="shared" si="98"/>
        <v>-0.379</v>
      </c>
      <c r="AG46" s="7">
        <f t="shared" si="98"/>
        <v>-0.379</v>
      </c>
      <c r="AH46" s="7">
        <f t="shared" si="98"/>
        <v>-0.379</v>
      </c>
      <c r="AI46" s="7">
        <f t="shared" si="98"/>
        <v>-0.379</v>
      </c>
      <c r="AJ46" s="7">
        <f t="shared" si="98"/>
        <v>-0.379</v>
      </c>
      <c r="AK46" s="7">
        <f t="shared" si="98"/>
        <v>-0.379</v>
      </c>
      <c r="AL46" s="7">
        <f t="shared" si="98"/>
        <v>-0.379</v>
      </c>
      <c r="AM46" s="7">
        <f t="shared" si="98"/>
        <v>-0.379</v>
      </c>
      <c r="AN46" s="7">
        <f t="shared" si="98"/>
        <v>-0.379</v>
      </c>
      <c r="AO46" s="7">
        <f>ROUND(-0.377,10)</f>
        <v>-0.377</v>
      </c>
      <c r="AP46" s="7">
        <f>ROUND(-0.378,10)</f>
        <v>-0.378</v>
      </c>
      <c r="AQ46" s="7">
        <f>ROUND(-0.377,10)</f>
        <v>-0.377</v>
      </c>
      <c r="AR46" s="7">
        <f>ROUND(-0.378,10)</f>
        <v>-0.378</v>
      </c>
      <c r="AS46" s="7">
        <f t="shared" ref="AS46:BB46" si="99">ROUND(-0.379,10)</f>
        <v>-0.379</v>
      </c>
      <c r="AT46" s="7">
        <f t="shared" si="99"/>
        <v>-0.379</v>
      </c>
      <c r="AU46" s="7">
        <f t="shared" si="99"/>
        <v>-0.379</v>
      </c>
      <c r="AV46" s="7">
        <f t="shared" si="99"/>
        <v>-0.379</v>
      </c>
      <c r="AW46" s="7">
        <f t="shared" si="99"/>
        <v>-0.379</v>
      </c>
      <c r="AX46" s="7">
        <f t="shared" si="99"/>
        <v>-0.379</v>
      </c>
      <c r="AY46" s="7">
        <f t="shared" si="99"/>
        <v>-0.379</v>
      </c>
      <c r="AZ46" s="7">
        <f t="shared" si="99"/>
        <v>-0.379</v>
      </c>
      <c r="BA46" s="7">
        <f t="shared" si="99"/>
        <v>-0.379</v>
      </c>
      <c r="BB46" s="7">
        <f t="shared" si="99"/>
        <v>-0.379</v>
      </c>
      <c r="BC46" s="7">
        <f>ROUND(-0.378,10)</f>
        <v>-0.378</v>
      </c>
      <c r="BD46" s="7">
        <f>ROUND(-0.378,10)</f>
        <v>-0.378</v>
      </c>
      <c r="BE46" s="7">
        <f>ROUND(-0.377,10)</f>
        <v>-0.377</v>
      </c>
      <c r="BF46" s="7">
        <f>ROUND(-0.377,10)</f>
        <v>-0.377</v>
      </c>
      <c r="BG46" s="7">
        <f>ROUND(-0.376,10)</f>
        <v>-0.376</v>
      </c>
      <c r="BH46" s="7">
        <f>ROUND(-0.376,10)</f>
        <v>-0.376</v>
      </c>
      <c r="BI46" s="7">
        <f>ROUND(-0.377,10)</f>
        <v>-0.377</v>
      </c>
      <c r="BJ46" s="7">
        <f>ROUND(-0.379,10)</f>
        <v>-0.379</v>
      </c>
      <c r="BK46" s="7">
        <f>ROUND(-0.378,10)</f>
        <v>-0.378</v>
      </c>
      <c r="BL46" s="7">
        <f>ROUND(-0.379,10)</f>
        <v>-0.379</v>
      </c>
      <c r="BM46" s="7">
        <f>ROUND(-0.379,10)</f>
        <v>-0.379</v>
      </c>
      <c r="BN46" s="7">
        <f>ROUND(-0.378,10)</f>
        <v>-0.378</v>
      </c>
      <c r="BO46" s="7">
        <f>ROUND(-0.378,10)</f>
        <v>-0.378</v>
      </c>
      <c r="BP46" s="7">
        <f>ROUND(-0.379,10)</f>
        <v>-0.379</v>
      </c>
      <c r="BQ46" s="7">
        <f>ROUND(-0.38,10)</f>
        <v>-0.38</v>
      </c>
      <c r="BR46" s="7">
        <f>ROUND(-0.38,10)</f>
        <v>-0.38</v>
      </c>
      <c r="BS46" s="7">
        <f>ROUND(-0.38,10)</f>
        <v>-0.38</v>
      </c>
      <c r="BT46" s="7">
        <f>ROUND(-0.38,10)</f>
        <v>-0.38</v>
      </c>
      <c r="BU46" s="7">
        <f>ROUND(-0.379,10)</f>
        <v>-0.379</v>
      </c>
      <c r="BV46" s="7">
        <f>ROUND(-0.379,10)</f>
        <v>-0.379</v>
      </c>
      <c r="BW46" s="7">
        <f>ROUND(-0.379,10)</f>
        <v>-0.379</v>
      </c>
      <c r="BX46" s="7">
        <f>ROUND(-0.379,10)</f>
        <v>-0.379</v>
      </c>
      <c r="BY46" s="7">
        <f>ROUND(-0.38,10)</f>
        <v>-0.38</v>
      </c>
      <c r="BZ46" s="7">
        <f>ROUND(-0.379,10)</f>
        <v>-0.379</v>
      </c>
      <c r="CA46" s="7">
        <f>ROUND(-0.38,10)</f>
        <v>-0.38</v>
      </c>
      <c r="CB46" s="7">
        <f>ROUND(-0.379,10)</f>
        <v>-0.379</v>
      </c>
      <c r="CC46" s="7">
        <f>ROUND(-0.379,10)</f>
        <v>-0.379</v>
      </c>
      <c r="CD46" s="7">
        <f>ROUND(-0.38,10)</f>
        <v>-0.38</v>
      </c>
      <c r="CE46" s="7">
        <f>ROUND(-0.379,10)</f>
        <v>-0.379</v>
      </c>
      <c r="CF46" s="7">
        <f>ROUND(-0.379,10)</f>
        <v>-0.379</v>
      </c>
      <c r="CG46" s="7">
        <f>ROUND(-0.38,10)</f>
        <v>-0.38</v>
      </c>
      <c r="CH46" s="7">
        <f>ROUND(-0.379,10)</f>
        <v>-0.379</v>
      </c>
      <c r="CI46" s="7">
        <f>ROUND(-0.379,10)</f>
        <v>-0.379</v>
      </c>
      <c r="CJ46" s="7">
        <f>ROUND(-0.379,10)</f>
        <v>-0.379</v>
      </c>
      <c r="CK46" s="7">
        <f>ROUND(-0.379,10)</f>
        <v>-0.379</v>
      </c>
      <c r="CL46" s="7">
        <f>ROUND(-0.381,10)</f>
        <v>-0.38100000000000001</v>
      </c>
      <c r="CM46" s="7">
        <f>ROUND(-0.38,10)</f>
        <v>-0.38</v>
      </c>
      <c r="CN46" s="7">
        <f>ROUND(-0.381,10)</f>
        <v>-0.38100000000000001</v>
      </c>
      <c r="CO46" s="7">
        <f>ROUND(-0.38,10)</f>
        <v>-0.38</v>
      </c>
      <c r="CP46" s="7">
        <f>ROUND(-0.381,10)</f>
        <v>-0.38100000000000001</v>
      </c>
      <c r="CQ46" s="7">
        <f>ROUND(-0.38,10)</f>
        <v>-0.38</v>
      </c>
      <c r="CR46" s="7">
        <f>ROUND(-0.38,10)</f>
        <v>-0.38</v>
      </c>
      <c r="CS46" s="7">
        <f>ROUND(-0.381,10)</f>
        <v>-0.38100000000000001</v>
      </c>
      <c r="CT46" s="7">
        <f>ROUND(-0.38,10)</f>
        <v>-0.38</v>
      </c>
      <c r="CU46" s="7">
        <f>ROUND(-0.38,10)</f>
        <v>-0.38</v>
      </c>
      <c r="CV46" s="7">
        <f>ROUND(-0.379,10)</f>
        <v>-0.379</v>
      </c>
      <c r="CW46" s="7">
        <f>ROUND(-0.38,10)</f>
        <v>-0.38</v>
      </c>
      <c r="CX46" s="7">
        <f>ROUND(-0.38,10)</f>
        <v>-0.38</v>
      </c>
      <c r="CY46" s="7">
        <f>ROUND(-0.379,10)</f>
        <v>-0.379</v>
      </c>
      <c r="CZ46" s="7">
        <f>ROUND(-0.379,10)</f>
        <v>-0.379</v>
      </c>
      <c r="DA46" s="7">
        <f>ROUND(-0.379,10)</f>
        <v>-0.379</v>
      </c>
      <c r="DB46" s="7">
        <f>ROUND(-0.378,10)</f>
        <v>-0.378</v>
      </c>
      <c r="DC46" s="7">
        <f>ROUND(-0.378,10)</f>
        <v>-0.378</v>
      </c>
      <c r="DD46" s="7">
        <f>ROUND(-0.378,10)</f>
        <v>-0.378</v>
      </c>
      <c r="DE46" s="7">
        <f>ROUND(-0.38,10)</f>
        <v>-0.38</v>
      </c>
      <c r="DF46" s="7">
        <f>ROUND(-0.379,10)</f>
        <v>-0.379</v>
      </c>
      <c r="DG46" s="7">
        <f>ROUND(-0.379,10)</f>
        <v>-0.379</v>
      </c>
      <c r="DH46" s="7">
        <f>ROUND(-0.38,10)</f>
        <v>-0.38</v>
      </c>
      <c r="DI46" s="7">
        <f>ROUND(-0.379,10)</f>
        <v>-0.379</v>
      </c>
      <c r="DJ46" s="7">
        <f>ROUND(-0.379,10)</f>
        <v>-0.379</v>
      </c>
      <c r="DK46" s="7">
        <f>ROUND(-0.379,10)</f>
        <v>-0.379</v>
      </c>
      <c r="DL46" s="7">
        <f>ROUND(-0.379,10)</f>
        <v>-0.379</v>
      </c>
      <c r="DM46" s="7">
        <f>ROUND(-0.379,10)</f>
        <v>-0.379</v>
      </c>
      <c r="DN46" s="7">
        <f>ROUND(-0.38,10)</f>
        <v>-0.38</v>
      </c>
      <c r="DO46" s="7">
        <f>ROUND(-0.379,10)</f>
        <v>-0.379</v>
      </c>
      <c r="DP46" s="7">
        <f>ROUND(-0.379,10)</f>
        <v>-0.379</v>
      </c>
      <c r="DQ46" s="7">
        <f>ROUND(-0.378,10)</f>
        <v>-0.378</v>
      </c>
      <c r="DR46" s="7">
        <f>ROUND(-0.376,10)</f>
        <v>-0.376</v>
      </c>
      <c r="DS46" s="7">
        <f>ROUND(-0.377,10)</f>
        <v>-0.377</v>
      </c>
      <c r="DT46" s="7">
        <f>ROUND(-0.378,10)</f>
        <v>-0.378</v>
      </c>
      <c r="DU46" s="7">
        <f>ROUND(-0.378,10)</f>
        <v>-0.378</v>
      </c>
      <c r="DV46" s="7">
        <f>ROUND(-0.38,10)</f>
        <v>-0.38</v>
      </c>
      <c r="DW46" s="7">
        <f>ROUND(-0.38,10)</f>
        <v>-0.38</v>
      </c>
      <c r="DX46" s="7">
        <f>ROUND(-0.38,10)</f>
        <v>-0.38</v>
      </c>
      <c r="DY46" s="7">
        <f>ROUND(-0.38,10)</f>
        <v>-0.38</v>
      </c>
      <c r="DZ46" s="7">
        <f>ROUND(-0.38,10)</f>
        <v>-0.38</v>
      </c>
      <c r="EA46" s="7">
        <f>ROUND(-0.378,10)</f>
        <v>-0.378</v>
      </c>
      <c r="EB46" s="7">
        <f>ROUND(-0.378,10)</f>
        <v>-0.378</v>
      </c>
      <c r="EC46" s="7">
        <f>ROUND(-0.377,10)</f>
        <v>-0.377</v>
      </c>
      <c r="ED46" s="7">
        <f>ROUND(-0.378,10)</f>
        <v>-0.378</v>
      </c>
      <c r="EE46" s="7">
        <f>ROUND(-0.377,10)</f>
        <v>-0.377</v>
      </c>
      <c r="EF46" s="7">
        <f>ROUND(-0.377,10)</f>
        <v>-0.377</v>
      </c>
      <c r="EG46" s="7">
        <f>ROUND(-0.377,10)</f>
        <v>-0.377</v>
      </c>
      <c r="EH46" s="7">
        <f>ROUND(-0.378,10)</f>
        <v>-0.378</v>
      </c>
      <c r="EI46" s="7">
        <f>ROUND(-0.377,10)</f>
        <v>-0.377</v>
      </c>
      <c r="EJ46" s="7">
        <f>ROUND(-0.379,10)</f>
        <v>-0.379</v>
      </c>
      <c r="EK46" s="7">
        <f>ROUND(-0.379,10)</f>
        <v>-0.379</v>
      </c>
      <c r="EL46" s="7">
        <f>ROUND(-0.379,10)</f>
        <v>-0.379</v>
      </c>
      <c r="EM46" s="7">
        <f>ROUND(-0.377,10)</f>
        <v>-0.377</v>
      </c>
      <c r="EN46" s="7">
        <f>ROUND(-0.377,10)</f>
        <v>-0.377</v>
      </c>
      <c r="EO46" s="7">
        <f>ROUND(-0.378,10)</f>
        <v>-0.378</v>
      </c>
      <c r="EP46" s="7">
        <f>ROUND(-0.378,10)</f>
        <v>-0.378</v>
      </c>
      <c r="EQ46" s="7">
        <f>ROUND(-0.376,10)</f>
        <v>-0.376</v>
      </c>
      <c r="ER46" s="7">
        <f>ROUND(-0.376,10)</f>
        <v>-0.376</v>
      </c>
      <c r="ES46" s="7">
        <f>ROUND(-0.378,10)</f>
        <v>-0.378</v>
      </c>
      <c r="ET46" s="7">
        <f>ROUND(-0.377,10)</f>
        <v>-0.377</v>
      </c>
      <c r="EU46" s="7">
        <f>ROUND(-0.378,10)</f>
        <v>-0.378</v>
      </c>
      <c r="EV46" s="7">
        <f>ROUND(-0.377,10)</f>
        <v>-0.377</v>
      </c>
      <c r="EW46" s="7">
        <f>ROUND(-0.377,10)</f>
        <v>-0.377</v>
      </c>
      <c r="EX46" s="7">
        <f>ROUND(-0.377,10)</f>
        <v>-0.377</v>
      </c>
      <c r="EY46" s="7">
        <f>ROUND(-0.379,10)</f>
        <v>-0.379</v>
      </c>
      <c r="EZ46" s="7">
        <f>ROUND(-0.378,10)</f>
        <v>-0.378</v>
      </c>
      <c r="FA46" s="7">
        <f>ROUND(-0.379,10)</f>
        <v>-0.379</v>
      </c>
      <c r="FB46" s="7">
        <f>ROUND(-0.377,10)</f>
        <v>-0.377</v>
      </c>
      <c r="FC46" s="7">
        <f>ROUND(-0.377,10)</f>
        <v>-0.377</v>
      </c>
      <c r="FD46" s="7">
        <f>ROUND(-0.376,10)</f>
        <v>-0.376</v>
      </c>
      <c r="FE46" s="7">
        <f>ROUND(-0.376,10)</f>
        <v>-0.376</v>
      </c>
      <c r="FF46" s="7">
        <f>ROUND(-0.377,10)</f>
        <v>-0.377</v>
      </c>
      <c r="FG46" s="7">
        <f>ROUND(-0.377,10)</f>
        <v>-0.377</v>
      </c>
      <c r="FH46" s="7">
        <f>ROUND(-0.377,10)</f>
        <v>-0.377</v>
      </c>
      <c r="FI46" s="7">
        <f>ROUND(-0.377,10)</f>
        <v>-0.377</v>
      </c>
      <c r="FJ46" s="7">
        <f>ROUND(-0.377,10)</f>
        <v>-0.377</v>
      </c>
      <c r="FK46" s="7">
        <f>ROUND(-0.376,10)</f>
        <v>-0.376</v>
      </c>
      <c r="FL46" s="7">
        <f>ROUND(-0.376,10)</f>
        <v>-0.376</v>
      </c>
      <c r="FM46" s="7">
        <f>ROUND(-0.376,10)</f>
        <v>-0.376</v>
      </c>
      <c r="FN46" s="7">
        <f>ROUND(-0.376,10)</f>
        <v>-0.376</v>
      </c>
      <c r="FO46" s="7">
        <f>ROUND(-0.377,10)</f>
        <v>-0.377</v>
      </c>
      <c r="FP46" s="7">
        <f>ROUND(-0.377,10)</f>
        <v>-0.377</v>
      </c>
      <c r="FQ46" s="7">
        <f>ROUND(-0.377,10)</f>
        <v>-0.377</v>
      </c>
      <c r="FR46" s="7">
        <f>ROUND(-0.376,10)</f>
        <v>-0.376</v>
      </c>
      <c r="FS46" s="7">
        <f>ROUND(-0.376,10)</f>
        <v>-0.376</v>
      </c>
      <c r="FT46" s="7">
        <f>ROUND(-0.376,10)</f>
        <v>-0.376</v>
      </c>
      <c r="FU46" s="7">
        <f>ROUND(-0.377,10)</f>
        <v>-0.377</v>
      </c>
      <c r="FV46" s="7">
        <f>ROUND(-0.377,10)</f>
        <v>-0.377</v>
      </c>
      <c r="FW46" s="7">
        <f>ROUND(-0.378,10)</f>
        <v>-0.378</v>
      </c>
      <c r="FX46" s="7">
        <f>ROUND(-0.378,10)</f>
        <v>-0.378</v>
      </c>
      <c r="FY46" s="7">
        <f>ROUND(-0.377,10)</f>
        <v>-0.377</v>
      </c>
      <c r="FZ46" s="7">
        <f>ROUND(-0.376,10)</f>
        <v>-0.376</v>
      </c>
      <c r="GA46" s="7">
        <f>ROUND(-0.377,10)</f>
        <v>-0.377</v>
      </c>
      <c r="GB46" s="7">
        <f>ROUND(-0.377,10)</f>
        <v>-0.377</v>
      </c>
      <c r="GC46" s="7">
        <f>ROUND(-0.377,10)</f>
        <v>-0.377</v>
      </c>
      <c r="GD46" s="7">
        <f>ROUND(-0.376,10)</f>
        <v>-0.376</v>
      </c>
      <c r="GE46" s="7">
        <f>ROUND(-0.375,10)</f>
        <v>-0.375</v>
      </c>
      <c r="GF46" s="7">
        <f>ROUND(-0.376,10)</f>
        <v>-0.376</v>
      </c>
      <c r="GG46" s="7">
        <f>ROUND(-0.376,10)</f>
        <v>-0.376</v>
      </c>
      <c r="GH46" s="7">
        <f>ROUND(-0.376,10)</f>
        <v>-0.376</v>
      </c>
      <c r="GI46" s="7">
        <f>ROUND(-0.377,10)</f>
        <v>-0.377</v>
      </c>
      <c r="GJ46" s="7">
        <f>ROUND(-0.378,10)</f>
        <v>-0.378</v>
      </c>
      <c r="GK46" s="7">
        <f>ROUND(-0.378,10)</f>
        <v>-0.378</v>
      </c>
      <c r="GL46" s="7">
        <f>ROUND(-0.377,10)</f>
        <v>-0.377</v>
      </c>
      <c r="GM46" s="7">
        <f t="shared" ref="GM46:GT46" si="100">ROUND(-0.376,10)</f>
        <v>-0.376</v>
      </c>
      <c r="GN46" s="7">
        <f t="shared" si="100"/>
        <v>-0.376</v>
      </c>
      <c r="GO46" s="7">
        <f t="shared" si="100"/>
        <v>-0.376</v>
      </c>
      <c r="GP46" s="7">
        <f t="shared" si="100"/>
        <v>-0.376</v>
      </c>
      <c r="GQ46" s="7">
        <f t="shared" si="100"/>
        <v>-0.376</v>
      </c>
      <c r="GR46" s="7">
        <f t="shared" si="100"/>
        <v>-0.376</v>
      </c>
      <c r="GS46" s="7">
        <f t="shared" si="100"/>
        <v>-0.376</v>
      </c>
      <c r="GT46" s="7">
        <f t="shared" si="100"/>
        <v>-0.376</v>
      </c>
      <c r="GU46" s="7">
        <f>ROUND(-0.375,10)</f>
        <v>-0.375</v>
      </c>
      <c r="GV46" s="7">
        <f>ROUND(-0.377,10)</f>
        <v>-0.377</v>
      </c>
      <c r="GW46" s="7">
        <f>ROUND(-0.376,10)</f>
        <v>-0.376</v>
      </c>
      <c r="GX46" s="7">
        <f>ROUND(-0.376,10)</f>
        <v>-0.376</v>
      </c>
      <c r="GY46" s="7">
        <f>ROUND(-0.376,10)</f>
        <v>-0.376</v>
      </c>
      <c r="GZ46" s="7">
        <f>ROUND(-0.376,10)</f>
        <v>-0.376</v>
      </c>
      <c r="HA46" s="7">
        <f>ROUND(-0.377,10)</f>
        <v>-0.377</v>
      </c>
      <c r="HB46" s="7">
        <f>ROUND(-0.376,10)</f>
        <v>-0.376</v>
      </c>
      <c r="HC46" s="7">
        <f>ROUND(-0.376,10)</f>
        <v>-0.376</v>
      </c>
      <c r="HD46" s="7">
        <f>ROUND(-0.376,10)</f>
        <v>-0.376</v>
      </c>
      <c r="HE46" s="7">
        <f>ROUND(-0.378,10)</f>
        <v>-0.378</v>
      </c>
      <c r="HF46" s="7">
        <f>ROUND(-0.378,10)</f>
        <v>-0.378</v>
      </c>
      <c r="HG46" s="7">
        <f>ROUND(-0.379,10)</f>
        <v>-0.379</v>
      </c>
      <c r="HH46" s="7">
        <f>ROUND(-0.376,10)</f>
        <v>-0.376</v>
      </c>
      <c r="HI46" s="7">
        <f>ROUND(-0.376,10)</f>
        <v>-0.376</v>
      </c>
      <c r="HJ46" s="7">
        <f>ROUND(-0.377,10)</f>
        <v>-0.377</v>
      </c>
      <c r="HK46" s="7">
        <f>ROUND(-0.376,10)</f>
        <v>-0.376</v>
      </c>
      <c r="HL46" s="7">
        <f>ROUND(-0.376,10)</f>
        <v>-0.376</v>
      </c>
      <c r="HM46" s="7">
        <f>ROUND(-0.376,10)</f>
        <v>-0.376</v>
      </c>
      <c r="HN46" s="7">
        <f>ROUND(-0.376,10)</f>
        <v>-0.376</v>
      </c>
      <c r="HO46" s="7">
        <f>ROUND(-0.376,10)</f>
        <v>-0.376</v>
      </c>
      <c r="HP46" s="7">
        <f>ROUND(-0.377,10)</f>
        <v>-0.377</v>
      </c>
      <c r="HQ46" s="7">
        <f>ROUND(-0.377,10)</f>
        <v>-0.377</v>
      </c>
      <c r="HR46" s="7">
        <f>ROUND(-0.377,10)</f>
        <v>-0.377</v>
      </c>
      <c r="HS46" s="7">
        <f>ROUND(-0.376,10)</f>
        <v>-0.376</v>
      </c>
      <c r="HT46" s="7">
        <f>ROUND(-0.377,10)</f>
        <v>-0.377</v>
      </c>
      <c r="HU46" s="7">
        <f t="shared" ref="HU46:ID46" si="101">ROUND(-0.376,10)</f>
        <v>-0.376</v>
      </c>
      <c r="HV46" s="7">
        <f t="shared" si="101"/>
        <v>-0.376</v>
      </c>
      <c r="HW46" s="7">
        <f t="shared" si="101"/>
        <v>-0.376</v>
      </c>
      <c r="HX46" s="7">
        <f t="shared" si="101"/>
        <v>-0.376</v>
      </c>
      <c r="HY46" s="7">
        <f t="shared" si="101"/>
        <v>-0.376</v>
      </c>
      <c r="HZ46" s="7">
        <f t="shared" si="101"/>
        <v>-0.376</v>
      </c>
      <c r="IA46" s="7">
        <f t="shared" si="101"/>
        <v>-0.376</v>
      </c>
      <c r="IB46" s="7">
        <f t="shared" si="101"/>
        <v>-0.376</v>
      </c>
      <c r="IC46" s="7">
        <f t="shared" si="101"/>
        <v>-0.376</v>
      </c>
      <c r="ID46" s="7">
        <f t="shared" si="101"/>
        <v>-0.376</v>
      </c>
      <c r="IE46" s="7">
        <f>ROUND(-0.377,10)</f>
        <v>-0.377</v>
      </c>
      <c r="IF46" s="7">
        <f>ROUND(-0.379,10)</f>
        <v>-0.379</v>
      </c>
      <c r="IG46" s="7">
        <f t="shared" ref="IG46:IP46" si="102">ROUND(-0.378,10)</f>
        <v>-0.378</v>
      </c>
      <c r="IH46" s="7">
        <f t="shared" si="102"/>
        <v>-0.378</v>
      </c>
      <c r="II46" s="7">
        <f t="shared" si="102"/>
        <v>-0.378</v>
      </c>
      <c r="IJ46" s="7">
        <f t="shared" si="102"/>
        <v>-0.378</v>
      </c>
      <c r="IK46" s="7">
        <f t="shared" si="102"/>
        <v>-0.378</v>
      </c>
      <c r="IL46" s="7">
        <f t="shared" si="102"/>
        <v>-0.378</v>
      </c>
      <c r="IM46" s="7">
        <f t="shared" si="102"/>
        <v>-0.378</v>
      </c>
      <c r="IN46" s="7">
        <f t="shared" si="102"/>
        <v>-0.378</v>
      </c>
      <c r="IO46" s="7">
        <f t="shared" si="102"/>
        <v>-0.378</v>
      </c>
      <c r="IP46" s="7">
        <f t="shared" si="102"/>
        <v>-0.378</v>
      </c>
      <c r="IQ46" s="7">
        <f>ROUND(-0.379,10)</f>
        <v>-0.379</v>
      </c>
      <c r="IR46" s="7">
        <f>ROUND(-0.376,10)</f>
        <v>-0.376</v>
      </c>
      <c r="IS46" s="7">
        <f>ROUND(-0.375,10)</f>
        <v>-0.375</v>
      </c>
      <c r="IT46" s="7">
        <f>ROUND(-0.374,10)</f>
        <v>-0.374</v>
      </c>
      <c r="IU46" s="7">
        <f>ROUND(-0.373,10)</f>
        <v>-0.373</v>
      </c>
      <c r="IV46" s="7">
        <f>ROUND(-0.373,10)</f>
        <v>-0.373</v>
      </c>
    </row>
    <row r="47" spans="1:256">
      <c r="A47" s="6" t="s">
        <v>36</v>
      </c>
      <c r="B47" s="7">
        <f>ROUND(-0.373,10)</f>
        <v>-0.373</v>
      </c>
      <c r="C47" s="7">
        <f>ROUND(-0.374,10)</f>
        <v>-0.374</v>
      </c>
      <c r="D47" s="7">
        <f>ROUND(-0.371,10)</f>
        <v>-0.371</v>
      </c>
      <c r="E47" s="7">
        <f>ROUND(-0.374,10)</f>
        <v>-0.374</v>
      </c>
      <c r="F47" s="7">
        <f>ROUND(-0.374,10)</f>
        <v>-0.374</v>
      </c>
      <c r="G47" s="7">
        <f>ROUND(-0.375,10)</f>
        <v>-0.375</v>
      </c>
      <c r="H47" s="7">
        <f>ROUND(-0.374,10)</f>
        <v>-0.374</v>
      </c>
      <c r="I47" s="7">
        <f>ROUND(-0.374,10)</f>
        <v>-0.374</v>
      </c>
      <c r="J47" s="7">
        <f>ROUND(-0.373,10)</f>
        <v>-0.373</v>
      </c>
      <c r="K47" s="7">
        <f>ROUND(-0.373,10)</f>
        <v>-0.373</v>
      </c>
      <c r="L47" s="7">
        <f>ROUND(-0.374,10)</f>
        <v>-0.374</v>
      </c>
      <c r="M47" s="7">
        <f>ROUND(-0.373,10)</f>
        <v>-0.373</v>
      </c>
      <c r="N47" s="7">
        <f>ROUND(-0.372,10)</f>
        <v>-0.372</v>
      </c>
      <c r="O47" s="7">
        <f>ROUND(-0.371,10)</f>
        <v>-0.371</v>
      </c>
      <c r="P47" s="7">
        <f>ROUND(-0.371,10)</f>
        <v>-0.371</v>
      </c>
      <c r="Q47" s="7">
        <f>ROUND(-0.372,10)</f>
        <v>-0.372</v>
      </c>
      <c r="R47" s="7">
        <f>ROUND(-0.371,10)</f>
        <v>-0.371</v>
      </c>
      <c r="S47" s="7">
        <f>ROUND(-0.371,10)</f>
        <v>-0.371</v>
      </c>
      <c r="T47" s="7">
        <f>ROUND(-0.372,10)</f>
        <v>-0.372</v>
      </c>
      <c r="U47" s="7">
        <f>ROUND(-0.371,10)</f>
        <v>-0.371</v>
      </c>
      <c r="V47" s="7">
        <f>ROUND(-0.371,10)</f>
        <v>-0.371</v>
      </c>
      <c r="W47" s="7">
        <f>ROUND(-0.371,10)</f>
        <v>-0.371</v>
      </c>
      <c r="X47" s="7">
        <f>ROUND(-0.372,10)</f>
        <v>-0.372</v>
      </c>
      <c r="Y47" s="7">
        <f>ROUND(-0.372,10)</f>
        <v>-0.372</v>
      </c>
      <c r="Z47" s="7">
        <f>ROUND(-0.371,10)</f>
        <v>-0.371</v>
      </c>
      <c r="AA47" s="7">
        <f>ROUND(-0.371,10)</f>
        <v>-0.371</v>
      </c>
      <c r="AB47" s="7">
        <f>ROUND(-0.371,10)</f>
        <v>-0.371</v>
      </c>
      <c r="AC47" s="7">
        <f>ROUND(-0.371,10)</f>
        <v>-0.371</v>
      </c>
      <c r="AD47" s="7">
        <f>ROUND(-0.373,10)</f>
        <v>-0.373</v>
      </c>
      <c r="AE47" s="7">
        <f>ROUND(-0.373,10)</f>
        <v>-0.373</v>
      </c>
      <c r="AF47" s="7">
        <f>ROUND(-0.373,10)</f>
        <v>-0.373</v>
      </c>
      <c r="AG47" s="7">
        <f>ROUND(-0.373,10)</f>
        <v>-0.373</v>
      </c>
      <c r="AH47" s="7">
        <f>ROUND(-0.374,10)</f>
        <v>-0.374</v>
      </c>
      <c r="AI47" s="7">
        <f>ROUND(-0.373,10)</f>
        <v>-0.373</v>
      </c>
      <c r="AJ47" s="7">
        <f>ROUND(-0.374,10)</f>
        <v>-0.374</v>
      </c>
      <c r="AK47" s="7">
        <f>ROUND(-0.374,10)</f>
        <v>-0.374</v>
      </c>
      <c r="AL47" s="7">
        <f>ROUND(-0.372,10)</f>
        <v>-0.372</v>
      </c>
      <c r="AM47" s="7">
        <f>ROUND(-0.371,10)</f>
        <v>-0.371</v>
      </c>
      <c r="AN47" s="7">
        <f>ROUND(-0.372,10)</f>
        <v>-0.372</v>
      </c>
      <c r="AO47" s="7">
        <f>ROUND(-0.372,10)</f>
        <v>-0.372</v>
      </c>
      <c r="AP47" s="7">
        <f>ROUND(-0.373,10)</f>
        <v>-0.373</v>
      </c>
      <c r="AQ47" s="7">
        <f>ROUND(-0.371,10)</f>
        <v>-0.371</v>
      </c>
      <c r="AR47" s="7">
        <f>ROUND(-0.372,10)</f>
        <v>-0.372</v>
      </c>
      <c r="AS47" s="7">
        <f>ROUND(-0.372,10)</f>
        <v>-0.372</v>
      </c>
      <c r="AT47" s="7">
        <f>ROUND(-0.372,10)</f>
        <v>-0.372</v>
      </c>
      <c r="AU47" s="7">
        <f t="shared" ref="AU47:BA47" si="103">ROUND(-0.374,10)</f>
        <v>-0.374</v>
      </c>
      <c r="AV47" s="7">
        <f t="shared" si="103"/>
        <v>-0.374</v>
      </c>
      <c r="AW47" s="7">
        <f t="shared" si="103"/>
        <v>-0.374</v>
      </c>
      <c r="AX47" s="7">
        <f t="shared" si="103"/>
        <v>-0.374</v>
      </c>
      <c r="AY47" s="7">
        <f t="shared" si="103"/>
        <v>-0.374</v>
      </c>
      <c r="AZ47" s="7">
        <f t="shared" si="103"/>
        <v>-0.374</v>
      </c>
      <c r="BA47" s="7">
        <f t="shared" si="103"/>
        <v>-0.374</v>
      </c>
      <c r="BB47" s="7">
        <f>ROUND(-0.372,10)</f>
        <v>-0.372</v>
      </c>
      <c r="BC47" s="7">
        <f>ROUND(-0.373,10)</f>
        <v>-0.373</v>
      </c>
      <c r="BD47" s="7">
        <f>ROUND(-0.373,10)</f>
        <v>-0.373</v>
      </c>
      <c r="BE47" s="7">
        <f>ROUND(-0.373,10)</f>
        <v>-0.373</v>
      </c>
      <c r="BF47" s="7">
        <f>ROUND(-0.374,10)</f>
        <v>-0.374</v>
      </c>
      <c r="BG47" s="7">
        <f>ROUND(-0.374,10)</f>
        <v>-0.374</v>
      </c>
      <c r="BH47" s="7">
        <f>ROUND(-0.374,10)</f>
        <v>-0.374</v>
      </c>
      <c r="BI47" s="7">
        <f>ROUND(-0.374,10)</f>
        <v>-0.374</v>
      </c>
      <c r="BJ47" s="7">
        <f>ROUND(-0.374,10)</f>
        <v>-0.374</v>
      </c>
      <c r="BK47" s="7">
        <f>ROUND(-0.375,10)</f>
        <v>-0.375</v>
      </c>
      <c r="BL47" s="7">
        <f>ROUND(-0.376,10)</f>
        <v>-0.376</v>
      </c>
      <c r="BM47" s="7">
        <f>ROUND(-0.376,10)</f>
        <v>-0.376</v>
      </c>
      <c r="BN47" s="7">
        <f>ROUND(-0.376,10)</f>
        <v>-0.376</v>
      </c>
      <c r="BO47" s="7">
        <f>ROUND(-0.377,10)</f>
        <v>-0.377</v>
      </c>
      <c r="BP47" s="7">
        <f>ROUND(-0.376,10)</f>
        <v>-0.376</v>
      </c>
      <c r="BQ47" s="7">
        <f>ROUND(-0.376,10)</f>
        <v>-0.376</v>
      </c>
      <c r="BR47" s="7">
        <f>ROUND(-0.376,10)</f>
        <v>-0.376</v>
      </c>
      <c r="BS47" s="7">
        <f>ROUND(-0.376,10)</f>
        <v>-0.376</v>
      </c>
      <c r="BT47" s="7">
        <f>ROUND(-0.377,10)</f>
        <v>-0.377</v>
      </c>
      <c r="BU47" s="7">
        <f>ROUND(-0.377,10)</f>
        <v>-0.377</v>
      </c>
      <c r="BV47" s="7">
        <f>ROUND(-0.378,10)</f>
        <v>-0.378</v>
      </c>
      <c r="BW47" s="7">
        <f>ROUND(-0.378,10)</f>
        <v>-0.378</v>
      </c>
      <c r="BX47" s="7">
        <f>ROUND(-0.378,10)</f>
        <v>-0.378</v>
      </c>
      <c r="BY47" s="7">
        <f>ROUND(-0.379,10)</f>
        <v>-0.379</v>
      </c>
      <c r="BZ47" s="7">
        <f>ROUND(-0.378,10)</f>
        <v>-0.378</v>
      </c>
      <c r="CA47" s="7">
        <f>ROUND(-0.379,10)</f>
        <v>-0.379</v>
      </c>
      <c r="CB47" s="7">
        <f>ROUND(-0.379,10)</f>
        <v>-0.379</v>
      </c>
      <c r="CC47" s="7">
        <f>ROUND(-0.379,10)</f>
        <v>-0.379</v>
      </c>
      <c r="CD47" s="7">
        <f>ROUND(-0.379,10)</f>
        <v>-0.379</v>
      </c>
      <c r="CE47" s="7">
        <f>ROUND(-0.378,10)</f>
        <v>-0.378</v>
      </c>
      <c r="CF47" s="7">
        <f>ROUND(-0.378,10)</f>
        <v>-0.378</v>
      </c>
      <c r="CG47" s="7">
        <f>ROUND(-0.378,10)</f>
        <v>-0.378</v>
      </c>
      <c r="CH47" s="7">
        <f>ROUND(-0.378,10)</f>
        <v>-0.378</v>
      </c>
      <c r="CI47" s="7">
        <f>ROUND(-0.377,10)</f>
        <v>-0.377</v>
      </c>
      <c r="CJ47" s="7">
        <f>ROUND(-0.376,10)</f>
        <v>-0.376</v>
      </c>
      <c r="CK47" s="7">
        <f>ROUND(-0.377,10)</f>
        <v>-0.377</v>
      </c>
      <c r="CL47" s="7">
        <f>ROUND(-0.378,10)</f>
        <v>-0.378</v>
      </c>
      <c r="CM47" s="7">
        <f t="shared" ref="CM47:CR47" si="104">ROUND(-0.376,10)</f>
        <v>-0.376</v>
      </c>
      <c r="CN47" s="7">
        <f t="shared" si="104"/>
        <v>-0.376</v>
      </c>
      <c r="CO47" s="7">
        <f t="shared" si="104"/>
        <v>-0.376</v>
      </c>
      <c r="CP47" s="7">
        <f t="shared" si="104"/>
        <v>-0.376</v>
      </c>
      <c r="CQ47" s="7">
        <f t="shared" si="104"/>
        <v>-0.376</v>
      </c>
      <c r="CR47" s="7">
        <f t="shared" si="104"/>
        <v>-0.376</v>
      </c>
      <c r="CS47" s="7">
        <f>ROUND(-0.377,10)</f>
        <v>-0.377</v>
      </c>
      <c r="CT47" s="7">
        <f>ROUND(-0.376,10)</f>
        <v>-0.376</v>
      </c>
      <c r="CU47" s="7">
        <f>ROUND(-0.376,10)</f>
        <v>-0.376</v>
      </c>
      <c r="CV47" s="7">
        <f>ROUND(-0.376,10)</f>
        <v>-0.376</v>
      </c>
      <c r="CW47" s="7">
        <f>ROUND(-0.376,10)</f>
        <v>-0.376</v>
      </c>
      <c r="CX47" s="7">
        <f>ROUND(-0.375,10)</f>
        <v>-0.375</v>
      </c>
      <c r="CY47" s="7">
        <f>ROUND(-0.375,10)</f>
        <v>-0.375</v>
      </c>
      <c r="CZ47" s="7">
        <f>ROUND(-0.376,10)</f>
        <v>-0.376</v>
      </c>
      <c r="DA47" s="7">
        <f>ROUND(-0.375,10)</f>
        <v>-0.375</v>
      </c>
      <c r="DB47" s="7">
        <f>ROUND(-0.375,10)</f>
        <v>-0.375</v>
      </c>
      <c r="DC47" s="7">
        <f>ROUND(-0.374,10)</f>
        <v>-0.374</v>
      </c>
      <c r="DD47" s="7">
        <f>ROUND(-0.373,10)</f>
        <v>-0.373</v>
      </c>
      <c r="DE47" s="7">
        <f>ROUND(-0.373,10)</f>
        <v>-0.373</v>
      </c>
      <c r="DF47" s="7">
        <f>ROUND(-0.374,10)</f>
        <v>-0.374</v>
      </c>
      <c r="DG47" s="7">
        <f>ROUND(-0.374,10)</f>
        <v>-0.374</v>
      </c>
      <c r="DH47" s="7">
        <f>ROUND(-0.373,10)</f>
        <v>-0.373</v>
      </c>
      <c r="DI47" s="7">
        <f>ROUND(-0.372,10)</f>
        <v>-0.372</v>
      </c>
      <c r="DJ47" s="7">
        <f>ROUND(-0.372,10)</f>
        <v>-0.372</v>
      </c>
      <c r="DK47" s="7">
        <f>ROUND(-0.371,10)</f>
        <v>-0.371</v>
      </c>
      <c r="DL47" s="7">
        <f>ROUND(-0.37,10)</f>
        <v>-0.37</v>
      </c>
      <c r="DM47" s="7">
        <f>ROUND(-0.371,10)</f>
        <v>-0.371</v>
      </c>
      <c r="DN47" s="7">
        <f>ROUND(-0.371,10)</f>
        <v>-0.371</v>
      </c>
      <c r="DO47" s="7">
        <f>ROUND(-0.369,10)</f>
        <v>-0.36899999999999999</v>
      </c>
      <c r="DP47" s="7">
        <f>ROUND(-0.37,10)</f>
        <v>-0.37</v>
      </c>
      <c r="DQ47" s="7">
        <f>ROUND(-0.373,10)</f>
        <v>-0.373</v>
      </c>
      <c r="DR47" s="7">
        <f>ROUND(-0.373,10)</f>
        <v>-0.373</v>
      </c>
      <c r="DS47" s="7">
        <f>ROUND(-0.374,10)</f>
        <v>-0.374</v>
      </c>
      <c r="DT47" s="7">
        <f>ROUND(-0.372,10)</f>
        <v>-0.372</v>
      </c>
      <c r="DU47" s="7">
        <f>ROUND(-0.373,10)</f>
        <v>-0.373</v>
      </c>
      <c r="DV47" s="7">
        <f>ROUND(-0.374,10)</f>
        <v>-0.374</v>
      </c>
      <c r="DW47" s="7">
        <f>ROUND(-0.374,10)</f>
        <v>-0.374</v>
      </c>
      <c r="DX47" s="7">
        <f>ROUND(-0.374,10)</f>
        <v>-0.374</v>
      </c>
      <c r="DY47" s="7">
        <f>ROUND(-0.374,10)</f>
        <v>-0.374</v>
      </c>
      <c r="DZ47" s="7">
        <f>ROUND(-0.373,10)</f>
        <v>-0.373</v>
      </c>
      <c r="EA47" s="7">
        <f>ROUND(-0.372,10)</f>
        <v>-0.372</v>
      </c>
      <c r="EB47" s="7">
        <f>ROUND(-0.371,10)</f>
        <v>-0.371</v>
      </c>
      <c r="EC47" s="7">
        <f>ROUND(-0.371,10)</f>
        <v>-0.371</v>
      </c>
      <c r="ED47" s="7">
        <f>ROUND(-0.371,10)</f>
        <v>-0.371</v>
      </c>
      <c r="EE47" s="7">
        <f>ROUND(-0.371,10)</f>
        <v>-0.371</v>
      </c>
      <c r="EF47" s="7">
        <f>ROUND(-0.372,10)</f>
        <v>-0.372</v>
      </c>
      <c r="EG47" s="7">
        <f>ROUND(-0.373,10)</f>
        <v>-0.373</v>
      </c>
      <c r="EH47" s="7">
        <f>ROUND(-0.372,10)</f>
        <v>-0.372</v>
      </c>
      <c r="EI47" s="7">
        <f>ROUND(-0.372,10)</f>
        <v>-0.372</v>
      </c>
      <c r="EJ47" s="7">
        <f>ROUND(-0.371,10)</f>
        <v>-0.371</v>
      </c>
      <c r="EK47" s="7">
        <f>ROUND(-0.372,10)</f>
        <v>-0.372</v>
      </c>
      <c r="EL47" s="7">
        <f t="shared" ref="EL47:EQ47" si="105">ROUND(-0.371,10)</f>
        <v>-0.371</v>
      </c>
      <c r="EM47" s="7">
        <f t="shared" si="105"/>
        <v>-0.371</v>
      </c>
      <c r="EN47" s="7">
        <f t="shared" si="105"/>
        <v>-0.371</v>
      </c>
      <c r="EO47" s="7">
        <f t="shared" si="105"/>
        <v>-0.371</v>
      </c>
      <c r="EP47" s="7">
        <f t="shared" si="105"/>
        <v>-0.371</v>
      </c>
      <c r="EQ47" s="7">
        <f t="shared" si="105"/>
        <v>-0.371</v>
      </c>
      <c r="ER47" s="7">
        <f>ROUND(-0.372,10)</f>
        <v>-0.372</v>
      </c>
      <c r="ES47" s="7">
        <f>ROUND(-0.371,10)</f>
        <v>-0.371</v>
      </c>
      <c r="ET47" s="7">
        <f>ROUND(-0.371,10)</f>
        <v>-0.371</v>
      </c>
      <c r="EU47" s="7">
        <f>ROUND(-0.371,10)</f>
        <v>-0.371</v>
      </c>
      <c r="EV47" s="7">
        <f>ROUND(-0.371,10)</f>
        <v>-0.371</v>
      </c>
      <c r="EW47" s="7">
        <f t="shared" ref="EW47:FB47" si="106">ROUND(-0.369,10)</f>
        <v>-0.36899999999999999</v>
      </c>
      <c r="EX47" s="7">
        <f t="shared" si="106"/>
        <v>-0.36899999999999999</v>
      </c>
      <c r="EY47" s="7">
        <f t="shared" si="106"/>
        <v>-0.36899999999999999</v>
      </c>
      <c r="EZ47" s="7">
        <f t="shared" si="106"/>
        <v>-0.36899999999999999</v>
      </c>
      <c r="FA47" s="7">
        <f t="shared" si="106"/>
        <v>-0.36899999999999999</v>
      </c>
      <c r="FB47" s="7">
        <f t="shared" si="106"/>
        <v>-0.36899999999999999</v>
      </c>
      <c r="FC47" s="7">
        <f>ROUND(-0.37,10)</f>
        <v>-0.37</v>
      </c>
      <c r="FD47" s="7">
        <f t="shared" ref="FD47:FK47" si="107">ROUND(-0.369,10)</f>
        <v>-0.36899999999999999</v>
      </c>
      <c r="FE47" s="7">
        <f t="shared" si="107"/>
        <v>-0.36899999999999999</v>
      </c>
      <c r="FF47" s="7">
        <f t="shared" si="107"/>
        <v>-0.36899999999999999</v>
      </c>
      <c r="FG47" s="7">
        <f t="shared" si="107"/>
        <v>-0.36899999999999999</v>
      </c>
      <c r="FH47" s="7">
        <f t="shared" si="107"/>
        <v>-0.36899999999999999</v>
      </c>
      <c r="FI47" s="7">
        <f t="shared" si="107"/>
        <v>-0.36899999999999999</v>
      </c>
      <c r="FJ47" s="7">
        <f t="shared" si="107"/>
        <v>-0.36899999999999999</v>
      </c>
      <c r="FK47" s="7">
        <f t="shared" si="107"/>
        <v>-0.36899999999999999</v>
      </c>
      <c r="FL47" s="7">
        <f>ROUND(-0.371,10)</f>
        <v>-0.371</v>
      </c>
      <c r="FM47" s="7">
        <f>ROUND(-0.372,10)</f>
        <v>-0.372</v>
      </c>
      <c r="FN47" s="7">
        <f t="shared" ref="FN47:FS47" si="108">ROUND(-0.371,10)</f>
        <v>-0.371</v>
      </c>
      <c r="FO47" s="7">
        <f t="shared" si="108"/>
        <v>-0.371</v>
      </c>
      <c r="FP47" s="7">
        <f t="shared" si="108"/>
        <v>-0.371</v>
      </c>
      <c r="FQ47" s="7">
        <f t="shared" si="108"/>
        <v>-0.371</v>
      </c>
      <c r="FR47" s="7">
        <f t="shared" si="108"/>
        <v>-0.371</v>
      </c>
      <c r="FS47" s="7">
        <f t="shared" si="108"/>
        <v>-0.371</v>
      </c>
      <c r="FT47" s="7">
        <f>ROUND(-0.372,10)</f>
        <v>-0.372</v>
      </c>
      <c r="FU47" s="7">
        <f>ROUND(-0.371,10)</f>
        <v>-0.371</v>
      </c>
      <c r="FV47" s="7">
        <f>ROUND(-0.371,10)</f>
        <v>-0.371</v>
      </c>
      <c r="FW47" s="7">
        <f>ROUND(-0.372,10)</f>
        <v>-0.372</v>
      </c>
      <c r="FX47" s="7">
        <f>ROUND(-0.372,10)</f>
        <v>-0.372</v>
      </c>
      <c r="FY47" s="7">
        <f>ROUND(-0.371,10)</f>
        <v>-0.371</v>
      </c>
      <c r="FZ47" s="7">
        <f>ROUND(-0.373,10)</f>
        <v>-0.373</v>
      </c>
      <c r="GA47" s="7">
        <f>ROUND(-0.374,10)</f>
        <v>-0.374</v>
      </c>
      <c r="GB47" s="7">
        <f>ROUND(-0.374,10)</f>
        <v>-0.374</v>
      </c>
      <c r="GC47" s="7">
        <f>ROUND(-0.371,10)</f>
        <v>-0.371</v>
      </c>
      <c r="GD47" s="7">
        <f>ROUND(-0.371,10)</f>
        <v>-0.371</v>
      </c>
      <c r="GE47" s="7">
        <f>ROUND(-0.37,10)</f>
        <v>-0.37</v>
      </c>
      <c r="GF47" s="7">
        <f>ROUND(-0.371,10)</f>
        <v>-0.371</v>
      </c>
      <c r="GG47" s="7">
        <f>ROUND(-0.37,10)</f>
        <v>-0.37</v>
      </c>
      <c r="GH47" s="7">
        <f>ROUND(-0.369,10)</f>
        <v>-0.36899999999999999</v>
      </c>
      <c r="GI47" s="7">
        <f>ROUND(-0.371,10)</f>
        <v>-0.371</v>
      </c>
      <c r="GJ47" s="7">
        <f>ROUND(-0.37,10)</f>
        <v>-0.37</v>
      </c>
      <c r="GK47" s="7">
        <f>ROUND(-0.371,10)</f>
        <v>-0.371</v>
      </c>
      <c r="GL47" s="7">
        <f>ROUND(-0.372,10)</f>
        <v>-0.372</v>
      </c>
      <c r="GM47" s="7">
        <f>ROUND(-0.372,10)</f>
        <v>-0.372</v>
      </c>
      <c r="GN47" s="7">
        <f>ROUND(-0.372,10)</f>
        <v>-0.372</v>
      </c>
      <c r="GO47" s="7">
        <f t="shared" ref="GO47:GU47" si="109">ROUND(-0.371,10)</f>
        <v>-0.371</v>
      </c>
      <c r="GP47" s="7">
        <f t="shared" si="109"/>
        <v>-0.371</v>
      </c>
      <c r="GQ47" s="7">
        <f t="shared" si="109"/>
        <v>-0.371</v>
      </c>
      <c r="GR47" s="7">
        <f t="shared" si="109"/>
        <v>-0.371</v>
      </c>
      <c r="GS47" s="7">
        <f t="shared" si="109"/>
        <v>-0.371</v>
      </c>
      <c r="GT47" s="7">
        <f t="shared" si="109"/>
        <v>-0.371</v>
      </c>
      <c r="GU47" s="7">
        <f t="shared" si="109"/>
        <v>-0.371</v>
      </c>
      <c r="GV47" s="7">
        <f>ROUND(-0.372,10)</f>
        <v>-0.372</v>
      </c>
      <c r="GW47" s="7">
        <f>ROUND(-0.371,10)</f>
        <v>-0.371</v>
      </c>
      <c r="GX47" s="7">
        <f>ROUND(-0.372,10)</f>
        <v>-0.372</v>
      </c>
      <c r="GY47" s="7">
        <f t="shared" ref="GY47:HD47" si="110">ROUND(-0.371,10)</f>
        <v>-0.371</v>
      </c>
      <c r="GZ47" s="7">
        <f t="shared" si="110"/>
        <v>-0.371</v>
      </c>
      <c r="HA47" s="7">
        <f t="shared" si="110"/>
        <v>-0.371</v>
      </c>
      <c r="HB47" s="7">
        <f t="shared" si="110"/>
        <v>-0.371</v>
      </c>
      <c r="HC47" s="7">
        <f t="shared" si="110"/>
        <v>-0.371</v>
      </c>
      <c r="HD47" s="7">
        <f t="shared" si="110"/>
        <v>-0.371</v>
      </c>
      <c r="HE47" s="7">
        <f>ROUND(-0.37,10)</f>
        <v>-0.37</v>
      </c>
      <c r="HF47" s="7">
        <f>ROUND(-0.37,10)</f>
        <v>-0.37</v>
      </c>
      <c r="HG47" s="7">
        <f t="shared" ref="HG47:HN47" si="111">ROUND(-0.371,10)</f>
        <v>-0.371</v>
      </c>
      <c r="HH47" s="7">
        <f t="shared" si="111"/>
        <v>-0.371</v>
      </c>
      <c r="HI47" s="7">
        <f t="shared" si="111"/>
        <v>-0.371</v>
      </c>
      <c r="HJ47" s="7">
        <f t="shared" si="111"/>
        <v>-0.371</v>
      </c>
      <c r="HK47" s="7">
        <f t="shared" si="111"/>
        <v>-0.371</v>
      </c>
      <c r="HL47" s="7">
        <f t="shared" si="111"/>
        <v>-0.371</v>
      </c>
      <c r="HM47" s="7">
        <f t="shared" si="111"/>
        <v>-0.371</v>
      </c>
      <c r="HN47" s="7">
        <f t="shared" si="111"/>
        <v>-0.371</v>
      </c>
      <c r="HO47" s="7">
        <f>ROUND(-0.373,10)</f>
        <v>-0.373</v>
      </c>
      <c r="HP47" s="7">
        <f>ROUND(-0.373,10)</f>
        <v>-0.373</v>
      </c>
      <c r="HQ47" s="7">
        <f>ROUND(-0.372,10)</f>
        <v>-0.372</v>
      </c>
      <c r="HR47" s="7">
        <f>ROUND(-0.374,10)</f>
        <v>-0.374</v>
      </c>
      <c r="HS47" s="7">
        <f>ROUND(-0.372,10)</f>
        <v>-0.372</v>
      </c>
      <c r="HT47" s="7">
        <f>ROUND(-0.373,10)</f>
        <v>-0.373</v>
      </c>
      <c r="HU47" s="7">
        <f>ROUND(-0.372,10)</f>
        <v>-0.372</v>
      </c>
      <c r="HV47" s="7">
        <f>ROUND(-0.372,10)</f>
        <v>-0.372</v>
      </c>
      <c r="HW47" s="7">
        <f t="shared" ref="HW47:IC47" si="112">ROUND(-0.371,10)</f>
        <v>-0.371</v>
      </c>
      <c r="HX47" s="7">
        <f t="shared" si="112"/>
        <v>-0.371</v>
      </c>
      <c r="HY47" s="7">
        <f t="shared" si="112"/>
        <v>-0.371</v>
      </c>
      <c r="HZ47" s="7">
        <f t="shared" si="112"/>
        <v>-0.371</v>
      </c>
      <c r="IA47" s="7">
        <f t="shared" si="112"/>
        <v>-0.371</v>
      </c>
      <c r="IB47" s="7">
        <f t="shared" si="112"/>
        <v>-0.371</v>
      </c>
      <c r="IC47" s="7">
        <f t="shared" si="112"/>
        <v>-0.371</v>
      </c>
      <c r="ID47" s="6"/>
      <c r="IE47" s="6"/>
      <c r="IF47" s="6"/>
      <c r="IG47" s="6"/>
      <c r="IH47" s="6"/>
      <c r="II47" s="6"/>
      <c r="IJ47" s="6"/>
      <c r="IK47" s="6"/>
      <c r="IL47" s="6"/>
      <c r="IM47" s="6"/>
      <c r="IN47" s="6"/>
      <c r="IO47" s="6"/>
      <c r="IP47" s="6"/>
      <c r="IQ47" s="6"/>
      <c r="IR47" s="6"/>
      <c r="IS47" s="6"/>
      <c r="IT47" s="6"/>
      <c r="IU47" s="6"/>
      <c r="IV47" s="6"/>
    </row>
    <row r="48" spans="1:256">
      <c r="A48" s="6" t="s">
        <v>37</v>
      </c>
      <c r="B48" s="7">
        <f>ROUND(-0.368,10)</f>
        <v>-0.36799999999999999</v>
      </c>
      <c r="C48" s="7">
        <f>ROUND(-0.368,10)</f>
        <v>-0.36799999999999999</v>
      </c>
      <c r="D48" s="7">
        <f>ROUND(-0.368,10)</f>
        <v>-0.36799999999999999</v>
      </c>
      <c r="E48" s="7">
        <f>ROUND(-0.369,10)</f>
        <v>-0.36899999999999999</v>
      </c>
      <c r="F48" s="7">
        <f>ROUND(-0.368,10)</f>
        <v>-0.36799999999999999</v>
      </c>
      <c r="G48" s="7">
        <f t="shared" ref="G48:X48" si="113">ROUND(-0.369,10)</f>
        <v>-0.36899999999999999</v>
      </c>
      <c r="H48" s="7">
        <f t="shared" si="113"/>
        <v>-0.36899999999999999</v>
      </c>
      <c r="I48" s="7">
        <f t="shared" si="113"/>
        <v>-0.36899999999999999</v>
      </c>
      <c r="J48" s="7">
        <f t="shared" si="113"/>
        <v>-0.36899999999999999</v>
      </c>
      <c r="K48" s="7">
        <f t="shared" si="113"/>
        <v>-0.36899999999999999</v>
      </c>
      <c r="L48" s="7">
        <f t="shared" si="113"/>
        <v>-0.36899999999999999</v>
      </c>
      <c r="M48" s="7">
        <f t="shared" si="113"/>
        <v>-0.36899999999999999</v>
      </c>
      <c r="N48" s="7">
        <f t="shared" si="113"/>
        <v>-0.36899999999999999</v>
      </c>
      <c r="O48" s="7">
        <f t="shared" si="113"/>
        <v>-0.36899999999999999</v>
      </c>
      <c r="P48" s="7">
        <f t="shared" si="113"/>
        <v>-0.36899999999999999</v>
      </c>
      <c r="Q48" s="7">
        <f t="shared" si="113"/>
        <v>-0.36899999999999999</v>
      </c>
      <c r="R48" s="7">
        <f t="shared" si="113"/>
        <v>-0.36899999999999999</v>
      </c>
      <c r="S48" s="7">
        <f t="shared" si="113"/>
        <v>-0.36899999999999999</v>
      </c>
      <c r="T48" s="7">
        <f t="shared" si="113"/>
        <v>-0.36899999999999999</v>
      </c>
      <c r="U48" s="7">
        <f t="shared" si="113"/>
        <v>-0.36899999999999999</v>
      </c>
      <c r="V48" s="7">
        <f t="shared" si="113"/>
        <v>-0.36899999999999999</v>
      </c>
      <c r="W48" s="7">
        <f t="shared" si="113"/>
        <v>-0.36899999999999999</v>
      </c>
      <c r="X48" s="7">
        <f t="shared" si="113"/>
        <v>-0.36899999999999999</v>
      </c>
      <c r="Y48" s="7">
        <f>ROUND(-0.371,10)</f>
        <v>-0.371</v>
      </c>
      <c r="Z48" s="7">
        <f>ROUND(-0.369,10)</f>
        <v>-0.36899999999999999</v>
      </c>
      <c r="AA48" s="7">
        <f>ROUND(-0.369,10)</f>
        <v>-0.36899999999999999</v>
      </c>
      <c r="AB48" s="7">
        <f>ROUND(-0.369,10)</f>
        <v>-0.36899999999999999</v>
      </c>
      <c r="AC48" s="7">
        <f>ROUND(-0.369,10)</f>
        <v>-0.36899999999999999</v>
      </c>
      <c r="AD48" s="7">
        <f>ROUND(-0.37,10)</f>
        <v>-0.37</v>
      </c>
      <c r="AE48" s="7">
        <f t="shared" ref="AE48:AJ48" si="114">ROUND(-0.369,10)</f>
        <v>-0.36899999999999999</v>
      </c>
      <c r="AF48" s="7">
        <f t="shared" si="114"/>
        <v>-0.36899999999999999</v>
      </c>
      <c r="AG48" s="7">
        <f t="shared" si="114"/>
        <v>-0.36899999999999999</v>
      </c>
      <c r="AH48" s="7">
        <f t="shared" si="114"/>
        <v>-0.36899999999999999</v>
      </c>
      <c r="AI48" s="7">
        <f t="shared" si="114"/>
        <v>-0.36899999999999999</v>
      </c>
      <c r="AJ48" s="7">
        <f t="shared" si="114"/>
        <v>-0.36899999999999999</v>
      </c>
      <c r="AK48" s="7">
        <f>ROUND(-0.37,10)</f>
        <v>-0.37</v>
      </c>
      <c r="AL48" s="7">
        <f>ROUND(-0.37,10)</f>
        <v>-0.37</v>
      </c>
      <c r="AM48" s="7">
        <f>ROUND(-0.37,10)</f>
        <v>-0.37</v>
      </c>
      <c r="AN48" s="7">
        <f>ROUND(-0.37,10)</f>
        <v>-0.37</v>
      </c>
      <c r="AO48" s="7">
        <f>ROUND(-0.371,10)</f>
        <v>-0.371</v>
      </c>
      <c r="AP48" s="7">
        <f>ROUND(-0.371,10)</f>
        <v>-0.371</v>
      </c>
      <c r="AQ48" s="7">
        <f>ROUND(-0.37,10)</f>
        <v>-0.37</v>
      </c>
      <c r="AR48" s="7">
        <f>ROUND(-0.371,10)</f>
        <v>-0.371</v>
      </c>
      <c r="AS48" s="7">
        <f>ROUND(-0.37,10)</f>
        <v>-0.37</v>
      </c>
      <c r="AT48" s="7">
        <f>ROUND(-0.37,10)</f>
        <v>-0.37</v>
      </c>
      <c r="AU48" s="7">
        <f>ROUND(-0.371,10)</f>
        <v>-0.371</v>
      </c>
      <c r="AV48" s="7">
        <f>ROUND(-0.371,10)</f>
        <v>-0.371</v>
      </c>
      <c r="AW48" s="7">
        <f>ROUND(-0.371,10)</f>
        <v>-0.371</v>
      </c>
      <c r="AX48" s="7">
        <f>ROUND(-0.371,10)</f>
        <v>-0.371</v>
      </c>
      <c r="AY48" s="7">
        <f>ROUND(-0.37,10)</f>
        <v>-0.37</v>
      </c>
      <c r="AZ48" s="7">
        <f>ROUND(-0.371,10)</f>
        <v>-0.371</v>
      </c>
      <c r="BA48" s="7">
        <f>ROUND(-0.371,10)</f>
        <v>-0.371</v>
      </c>
      <c r="BB48" s="7">
        <f>ROUND(-0.371,10)</f>
        <v>-0.371</v>
      </c>
      <c r="BC48" s="7">
        <f>ROUND(-0.37,10)</f>
        <v>-0.37</v>
      </c>
      <c r="BD48" s="7">
        <f>ROUND(-0.37,10)</f>
        <v>-0.37</v>
      </c>
      <c r="BE48" s="7">
        <f>ROUND(-0.37,10)</f>
        <v>-0.37</v>
      </c>
      <c r="BF48" s="7">
        <f>ROUND(-0.37,10)</f>
        <v>-0.37</v>
      </c>
      <c r="BG48" s="7">
        <f>ROUND(-0.371,10)</f>
        <v>-0.371</v>
      </c>
      <c r="BH48" s="7">
        <f>ROUND(-0.37,10)</f>
        <v>-0.37</v>
      </c>
      <c r="BI48" s="7">
        <f>ROUND(-0.37,10)</f>
        <v>-0.37</v>
      </c>
      <c r="BJ48" s="7">
        <f>ROUND(-0.371,10)</f>
        <v>-0.371</v>
      </c>
      <c r="BK48" s="7">
        <f>ROUND(-0.371,10)</f>
        <v>-0.371</v>
      </c>
      <c r="BL48" s="7">
        <f t="shared" ref="BL48:BS48" si="115">ROUND(-0.372,10)</f>
        <v>-0.372</v>
      </c>
      <c r="BM48" s="7">
        <f t="shared" si="115"/>
        <v>-0.372</v>
      </c>
      <c r="BN48" s="7">
        <f t="shared" si="115"/>
        <v>-0.372</v>
      </c>
      <c r="BO48" s="7">
        <f t="shared" si="115"/>
        <v>-0.372</v>
      </c>
      <c r="BP48" s="7">
        <f t="shared" si="115"/>
        <v>-0.372</v>
      </c>
      <c r="BQ48" s="7">
        <f t="shared" si="115"/>
        <v>-0.372</v>
      </c>
      <c r="BR48" s="7">
        <f t="shared" si="115"/>
        <v>-0.372</v>
      </c>
      <c r="BS48" s="7">
        <f t="shared" si="115"/>
        <v>-0.372</v>
      </c>
      <c r="BT48" s="7">
        <f>ROUND(-0.371,10)</f>
        <v>-0.371</v>
      </c>
      <c r="BU48" s="7">
        <f>ROUND(-0.371,10)</f>
        <v>-0.371</v>
      </c>
      <c r="BV48" s="7">
        <f>ROUND(-0.371,10)</f>
        <v>-0.371</v>
      </c>
      <c r="BW48" s="7">
        <f>ROUND(-0.371,10)</f>
        <v>-0.371</v>
      </c>
      <c r="BX48" s="7">
        <f>ROUND(-0.371,10)</f>
        <v>-0.371</v>
      </c>
      <c r="BY48" s="7">
        <f>ROUND(-0.372,10)</f>
        <v>-0.372</v>
      </c>
      <c r="BZ48" s="7">
        <f>ROUND(-0.372,10)</f>
        <v>-0.372</v>
      </c>
      <c r="CA48" s="7">
        <f>ROUND(-0.372,10)</f>
        <v>-0.372</v>
      </c>
      <c r="CB48" s="7">
        <f>ROUND(-0.372,10)</f>
        <v>-0.372</v>
      </c>
      <c r="CC48" s="7">
        <f>ROUND(-0.371,10)</f>
        <v>-0.371</v>
      </c>
      <c r="CD48" s="7">
        <f>ROUND(-0.372,10)</f>
        <v>-0.372</v>
      </c>
      <c r="CE48" s="7">
        <f>ROUND(-0.372,10)</f>
        <v>-0.372</v>
      </c>
      <c r="CF48" s="7">
        <f>ROUND(-0.371,10)</f>
        <v>-0.371</v>
      </c>
      <c r="CG48" s="7">
        <f>ROUND(-0.371,10)</f>
        <v>-0.371</v>
      </c>
      <c r="CH48" s="7">
        <f>ROUND(-0.372,10)</f>
        <v>-0.372</v>
      </c>
      <c r="CI48" s="7">
        <f>ROUND(-0.372,10)</f>
        <v>-0.372</v>
      </c>
      <c r="CJ48" s="7">
        <f>ROUND(-0.372,10)</f>
        <v>-0.372</v>
      </c>
      <c r="CK48" s="7">
        <f>ROUND(-0.372,10)</f>
        <v>-0.372</v>
      </c>
      <c r="CL48" s="7">
        <f>ROUND(-0.371,10)</f>
        <v>-0.371</v>
      </c>
      <c r="CM48" s="7">
        <f>ROUND(-0.371,10)</f>
        <v>-0.371</v>
      </c>
      <c r="CN48" s="7">
        <f>ROUND(-0.371,10)</f>
        <v>-0.371</v>
      </c>
      <c r="CO48" s="7">
        <f>ROUND(-0.371,10)</f>
        <v>-0.371</v>
      </c>
      <c r="CP48" s="7">
        <f>ROUND(-0.369,10)</f>
        <v>-0.36899999999999999</v>
      </c>
      <c r="CQ48" s="7">
        <f>ROUND(-0.371,10)</f>
        <v>-0.371</v>
      </c>
      <c r="CR48" s="7">
        <f>ROUND(-0.371,10)</f>
        <v>-0.371</v>
      </c>
      <c r="CS48" s="7">
        <f>ROUND(-0.371,10)</f>
        <v>-0.371</v>
      </c>
      <c r="CT48" s="7">
        <f>ROUND(-0.37,10)</f>
        <v>-0.37</v>
      </c>
      <c r="CU48" s="7">
        <f>ROUND(-0.371,10)</f>
        <v>-0.371</v>
      </c>
      <c r="CV48" s="7">
        <f>ROUND(-0.371,10)</f>
        <v>-0.371</v>
      </c>
      <c r="CW48" s="7">
        <f>ROUND(-0.371,10)</f>
        <v>-0.371</v>
      </c>
      <c r="CX48" s="7">
        <f>ROUND(-0.369,10)</f>
        <v>-0.36899999999999999</v>
      </c>
      <c r="CY48" s="7">
        <f>ROUND(-0.371,10)</f>
        <v>-0.371</v>
      </c>
      <c r="CZ48" s="7">
        <f>ROUND(-0.371,10)</f>
        <v>-0.371</v>
      </c>
      <c r="DA48" s="7">
        <f>ROUND(-0.37,10)</f>
        <v>-0.37</v>
      </c>
      <c r="DB48" s="7">
        <f>ROUND(-0.369,10)</f>
        <v>-0.36899999999999999</v>
      </c>
      <c r="DC48" s="7">
        <f t="shared" ref="DC48:DH48" si="116">ROUND(-0.371,10)</f>
        <v>-0.371</v>
      </c>
      <c r="DD48" s="7">
        <f t="shared" si="116"/>
        <v>-0.371</v>
      </c>
      <c r="DE48" s="7">
        <f t="shared" si="116"/>
        <v>-0.371</v>
      </c>
      <c r="DF48" s="7">
        <f t="shared" si="116"/>
        <v>-0.371</v>
      </c>
      <c r="DG48" s="7">
        <f t="shared" si="116"/>
        <v>-0.371</v>
      </c>
      <c r="DH48" s="7">
        <f t="shared" si="116"/>
        <v>-0.371</v>
      </c>
      <c r="DI48" s="7">
        <f>ROUND(-0.369,10)</f>
        <v>-0.36899999999999999</v>
      </c>
      <c r="DJ48" s="7">
        <f>ROUND(-0.371,10)</f>
        <v>-0.371</v>
      </c>
      <c r="DK48" s="7">
        <f>ROUND(-0.37,10)</f>
        <v>-0.37</v>
      </c>
      <c r="DL48" s="7">
        <f>ROUND(-0.369,10)</f>
        <v>-0.36899999999999999</v>
      </c>
      <c r="DM48" s="7">
        <f>ROUND(-0.37,10)</f>
        <v>-0.37</v>
      </c>
      <c r="DN48" s="7">
        <f>ROUND(-0.37,10)</f>
        <v>-0.37</v>
      </c>
      <c r="DO48" s="7">
        <f>ROUND(-0.37,10)</f>
        <v>-0.37</v>
      </c>
      <c r="DP48" s="7">
        <f>ROUND(-0.37,10)</f>
        <v>-0.37</v>
      </c>
      <c r="DQ48" s="7">
        <f>ROUND(-0.37,10)</f>
        <v>-0.37</v>
      </c>
      <c r="DR48" s="7">
        <f>ROUND(-0.37,10)</f>
        <v>-0.37</v>
      </c>
      <c r="DS48" s="7">
        <f>ROUND(-0.371,10)</f>
        <v>-0.371</v>
      </c>
      <c r="DT48" s="7">
        <f>ROUND(-0.37,10)</f>
        <v>-0.37</v>
      </c>
      <c r="DU48" s="7">
        <f>ROUND(-0.37,10)</f>
        <v>-0.37</v>
      </c>
      <c r="DV48" s="7">
        <f>ROUND(-0.371,10)</f>
        <v>-0.371</v>
      </c>
      <c r="DW48" s="7">
        <f>ROUND(-0.37,10)</f>
        <v>-0.37</v>
      </c>
      <c r="DX48" s="7">
        <f>ROUND(-0.369,10)</f>
        <v>-0.36899999999999999</v>
      </c>
      <c r="DY48" s="7">
        <f>ROUND(-0.372,10)</f>
        <v>-0.372</v>
      </c>
      <c r="DZ48" s="7">
        <f>ROUND(-0.372,10)</f>
        <v>-0.372</v>
      </c>
      <c r="EA48" s="7">
        <f>ROUND(-0.372,10)</f>
        <v>-0.372</v>
      </c>
      <c r="EB48" s="7">
        <f>ROUND(-0.371,10)</f>
        <v>-0.371</v>
      </c>
      <c r="EC48" s="7">
        <f>ROUND(-0.371,10)</f>
        <v>-0.371</v>
      </c>
      <c r="ED48" s="7">
        <f>ROUND(-0.37,10)</f>
        <v>-0.37</v>
      </c>
      <c r="EE48" s="7">
        <f>ROUND(-0.369,10)</f>
        <v>-0.36899999999999999</v>
      </c>
      <c r="EF48" s="7">
        <f>ROUND(-0.37,10)</f>
        <v>-0.37</v>
      </c>
      <c r="EG48" s="7">
        <f t="shared" ref="EG48:FA48" si="117">ROUND(-0.369,10)</f>
        <v>-0.36899999999999999</v>
      </c>
      <c r="EH48" s="7">
        <f t="shared" si="117"/>
        <v>-0.36899999999999999</v>
      </c>
      <c r="EI48" s="7">
        <f t="shared" si="117"/>
        <v>-0.36899999999999999</v>
      </c>
      <c r="EJ48" s="7">
        <f t="shared" si="117"/>
        <v>-0.36899999999999999</v>
      </c>
      <c r="EK48" s="7">
        <f t="shared" si="117"/>
        <v>-0.36899999999999999</v>
      </c>
      <c r="EL48" s="7">
        <f t="shared" si="117"/>
        <v>-0.36899999999999999</v>
      </c>
      <c r="EM48" s="7">
        <f t="shared" si="117"/>
        <v>-0.36899999999999999</v>
      </c>
      <c r="EN48" s="7">
        <f t="shared" si="117"/>
        <v>-0.36899999999999999</v>
      </c>
      <c r="EO48" s="7">
        <f t="shared" si="117"/>
        <v>-0.36899999999999999</v>
      </c>
      <c r="EP48" s="7">
        <f t="shared" si="117"/>
        <v>-0.36899999999999999</v>
      </c>
      <c r="EQ48" s="7">
        <f t="shared" si="117"/>
        <v>-0.36899999999999999</v>
      </c>
      <c r="ER48" s="7">
        <f t="shared" si="117"/>
        <v>-0.36899999999999999</v>
      </c>
      <c r="ES48" s="7">
        <f t="shared" si="117"/>
        <v>-0.36899999999999999</v>
      </c>
      <c r="ET48" s="7">
        <f t="shared" si="117"/>
        <v>-0.36899999999999999</v>
      </c>
      <c r="EU48" s="7">
        <f t="shared" si="117"/>
        <v>-0.36899999999999999</v>
      </c>
      <c r="EV48" s="7">
        <f t="shared" si="117"/>
        <v>-0.36899999999999999</v>
      </c>
      <c r="EW48" s="7">
        <f t="shared" si="117"/>
        <v>-0.36899999999999999</v>
      </c>
      <c r="EX48" s="7">
        <f t="shared" si="117"/>
        <v>-0.36899999999999999</v>
      </c>
      <c r="EY48" s="7">
        <f t="shared" si="117"/>
        <v>-0.36899999999999999</v>
      </c>
      <c r="EZ48" s="7">
        <f t="shared" si="117"/>
        <v>-0.36899999999999999</v>
      </c>
      <c r="FA48" s="7">
        <f t="shared" si="117"/>
        <v>-0.36899999999999999</v>
      </c>
      <c r="FB48" s="7">
        <f>ROUND(-0.37,10)</f>
        <v>-0.37</v>
      </c>
      <c r="FC48" s="7">
        <f>ROUND(-0.37,10)</f>
        <v>-0.37</v>
      </c>
      <c r="FD48" s="7">
        <f>ROUND(-0.368,10)</f>
        <v>-0.36799999999999999</v>
      </c>
      <c r="FE48" s="7">
        <f>ROUND(-0.369,10)</f>
        <v>-0.36899999999999999</v>
      </c>
      <c r="FF48" s="7">
        <f>ROUND(-0.37,10)</f>
        <v>-0.37</v>
      </c>
      <c r="FG48" s="7">
        <f>ROUND(-0.369,10)</f>
        <v>-0.36899999999999999</v>
      </c>
      <c r="FH48" s="7">
        <f>ROUND(-0.371,10)</f>
        <v>-0.371</v>
      </c>
      <c r="FI48" s="7">
        <f>ROUND(-0.371,10)</f>
        <v>-0.371</v>
      </c>
      <c r="FJ48" s="7">
        <f>ROUND(-0.371,10)</f>
        <v>-0.371</v>
      </c>
      <c r="FK48" s="7">
        <f>ROUND(-0.369,10)</f>
        <v>-0.36899999999999999</v>
      </c>
      <c r="FL48" s="7">
        <f>ROUND(-0.37,10)</f>
        <v>-0.37</v>
      </c>
      <c r="FM48" s="7">
        <f>ROUND(-0.371,10)</f>
        <v>-0.371</v>
      </c>
      <c r="FN48" s="7">
        <f>ROUND(-0.37,10)</f>
        <v>-0.37</v>
      </c>
      <c r="FO48" s="7">
        <f>ROUND(-0.37,10)</f>
        <v>-0.37</v>
      </c>
      <c r="FP48" s="7">
        <f>ROUND(-0.369,10)</f>
        <v>-0.36899999999999999</v>
      </c>
      <c r="FQ48" s="7">
        <f>ROUND(-0.37,10)</f>
        <v>-0.37</v>
      </c>
      <c r="FR48" s="7">
        <f>ROUND(-0.369,10)</f>
        <v>-0.36899999999999999</v>
      </c>
      <c r="FS48" s="7">
        <f>ROUND(-0.369,10)</f>
        <v>-0.36899999999999999</v>
      </c>
      <c r="FT48" s="7">
        <f>ROUND(-0.371,10)</f>
        <v>-0.371</v>
      </c>
      <c r="FU48" s="7">
        <f>ROUND(-0.372,10)</f>
        <v>-0.372</v>
      </c>
      <c r="FV48" s="7">
        <f>ROUND(-0.371,10)</f>
        <v>-0.371</v>
      </c>
      <c r="FW48" s="7">
        <f>ROUND(-0.372,10)</f>
        <v>-0.372</v>
      </c>
      <c r="FX48" s="7">
        <f>ROUND(-0.371,10)</f>
        <v>-0.371</v>
      </c>
      <c r="FY48" s="7">
        <f>ROUND(-0.372,10)</f>
        <v>-0.372</v>
      </c>
      <c r="FZ48" s="7">
        <f>ROUND(-0.371,10)</f>
        <v>-0.371</v>
      </c>
      <c r="GA48" s="7">
        <f>ROUND(-0.372,10)</f>
        <v>-0.372</v>
      </c>
      <c r="GB48" s="7">
        <f>ROUND(-0.372,10)</f>
        <v>-0.372</v>
      </c>
      <c r="GC48" s="7">
        <f>ROUND(-0.371,10)</f>
        <v>-0.371</v>
      </c>
      <c r="GD48" s="7">
        <f>ROUND(-0.372,10)</f>
        <v>-0.372</v>
      </c>
      <c r="GE48" s="7">
        <f>ROUND(-0.371,10)</f>
        <v>-0.371</v>
      </c>
      <c r="GF48" s="7">
        <f>ROUND(-0.372,10)</f>
        <v>-0.372</v>
      </c>
      <c r="GG48" s="7">
        <f>ROUND(-0.37,10)</f>
        <v>-0.37</v>
      </c>
      <c r="GH48" s="7">
        <f>ROUND(-0.369,10)</f>
        <v>-0.36899999999999999</v>
      </c>
      <c r="GI48" s="7">
        <f>ROUND(-0.371,10)</f>
        <v>-0.371</v>
      </c>
      <c r="GJ48" s="7">
        <f>ROUND(-0.371,10)</f>
        <v>-0.371</v>
      </c>
      <c r="GK48" s="7">
        <f>ROUND(-0.371,10)</f>
        <v>-0.371</v>
      </c>
      <c r="GL48" s="7">
        <f t="shared" ref="GL48:GQ48" si="118">ROUND(-0.371,10)</f>
        <v>-0.371</v>
      </c>
      <c r="GM48" s="7">
        <f t="shared" si="118"/>
        <v>-0.371</v>
      </c>
      <c r="GN48" s="7">
        <f t="shared" si="118"/>
        <v>-0.371</v>
      </c>
      <c r="GO48" s="7">
        <f t="shared" si="118"/>
        <v>-0.371</v>
      </c>
      <c r="GP48" s="7">
        <f t="shared" si="118"/>
        <v>-0.371</v>
      </c>
      <c r="GQ48" s="7">
        <f t="shared" si="118"/>
        <v>-0.371</v>
      </c>
      <c r="GR48" s="7">
        <f t="shared" ref="GR48:GX48" si="119">ROUND(-0.369,10)</f>
        <v>-0.36899999999999999</v>
      </c>
      <c r="GS48" s="7">
        <f t="shared" si="119"/>
        <v>-0.36899999999999999</v>
      </c>
      <c r="GT48" s="7">
        <f t="shared" si="119"/>
        <v>-0.36899999999999999</v>
      </c>
      <c r="GU48" s="7">
        <f t="shared" si="119"/>
        <v>-0.36899999999999999</v>
      </c>
      <c r="GV48" s="7">
        <f t="shared" si="119"/>
        <v>-0.36899999999999999</v>
      </c>
      <c r="GW48" s="7">
        <f t="shared" si="119"/>
        <v>-0.36899999999999999</v>
      </c>
      <c r="GX48" s="7">
        <f t="shared" si="119"/>
        <v>-0.36899999999999999</v>
      </c>
      <c r="GY48" s="7">
        <f>ROUND(-0.37,10)</f>
        <v>-0.37</v>
      </c>
      <c r="GZ48" s="7">
        <f>ROUND(-0.369,10)</f>
        <v>-0.36899999999999999</v>
      </c>
      <c r="HA48" s="7">
        <f>ROUND(-0.369,10)</f>
        <v>-0.36899999999999999</v>
      </c>
      <c r="HB48" s="7">
        <f>ROUND(-0.37,10)</f>
        <v>-0.37</v>
      </c>
      <c r="HC48" s="7">
        <f>ROUND(-0.369,10)</f>
        <v>-0.36899999999999999</v>
      </c>
      <c r="HD48" s="7">
        <f>ROUND(-0.369,10)</f>
        <v>-0.36899999999999999</v>
      </c>
      <c r="HE48" s="7">
        <f>ROUND(-0.369,10)</f>
        <v>-0.36899999999999999</v>
      </c>
      <c r="HF48" s="7">
        <f>ROUND(-0.369,10)</f>
        <v>-0.36899999999999999</v>
      </c>
      <c r="HG48" s="7">
        <f>ROUND(-0.369,10)</f>
        <v>-0.36899999999999999</v>
      </c>
      <c r="HH48" s="7">
        <f>ROUND(-0.368,10)</f>
        <v>-0.36799999999999999</v>
      </c>
      <c r="HI48" s="7">
        <f>ROUND(-0.368,10)</f>
        <v>-0.36799999999999999</v>
      </c>
      <c r="HJ48" s="7">
        <f t="shared" ref="HJ48:HQ48" si="120">ROUND(-0.369,10)</f>
        <v>-0.36899999999999999</v>
      </c>
      <c r="HK48" s="7">
        <f t="shared" si="120"/>
        <v>-0.36899999999999999</v>
      </c>
      <c r="HL48" s="7">
        <f t="shared" si="120"/>
        <v>-0.36899999999999999</v>
      </c>
      <c r="HM48" s="7">
        <f t="shared" si="120"/>
        <v>-0.36899999999999999</v>
      </c>
      <c r="HN48" s="7">
        <f t="shared" si="120"/>
        <v>-0.36899999999999999</v>
      </c>
      <c r="HO48" s="7">
        <f t="shared" si="120"/>
        <v>-0.36899999999999999</v>
      </c>
      <c r="HP48" s="7">
        <f t="shared" si="120"/>
        <v>-0.36899999999999999</v>
      </c>
      <c r="HQ48" s="7">
        <f t="shared" si="120"/>
        <v>-0.36899999999999999</v>
      </c>
      <c r="HR48" s="7">
        <f>ROUND(-0.371,10)</f>
        <v>-0.371</v>
      </c>
      <c r="HS48" s="7">
        <f t="shared" ref="HS48:HX48" si="121">ROUND(-0.369,10)</f>
        <v>-0.36899999999999999</v>
      </c>
      <c r="HT48" s="7">
        <f t="shared" si="121"/>
        <v>-0.36899999999999999</v>
      </c>
      <c r="HU48" s="7">
        <f t="shared" si="121"/>
        <v>-0.36899999999999999</v>
      </c>
      <c r="HV48" s="7">
        <f t="shared" si="121"/>
        <v>-0.36899999999999999</v>
      </c>
      <c r="HW48" s="7">
        <f t="shared" si="121"/>
        <v>-0.36899999999999999</v>
      </c>
      <c r="HX48" s="7">
        <f t="shared" si="121"/>
        <v>-0.36899999999999999</v>
      </c>
      <c r="HY48" s="7">
        <f>ROUND(-0.368,10)</f>
        <v>-0.36799999999999999</v>
      </c>
      <c r="HZ48" s="7">
        <f>ROUND(-0.369,10)</f>
        <v>-0.36899999999999999</v>
      </c>
      <c r="IA48" s="7">
        <f>ROUND(-0.368,10)</f>
        <v>-0.36799999999999999</v>
      </c>
      <c r="IB48" s="7">
        <f>ROUND(-0.368,10)</f>
        <v>-0.36799999999999999</v>
      </c>
      <c r="IC48" s="7">
        <f>ROUND(-0.368,10)</f>
        <v>-0.36799999999999999</v>
      </c>
      <c r="ID48" s="7">
        <f>ROUND(-0.368,10)</f>
        <v>-0.36799999999999999</v>
      </c>
      <c r="IE48" s="7">
        <f>ROUND(-0.367,10)</f>
        <v>-0.36699999999999999</v>
      </c>
      <c r="IF48" s="7">
        <f>ROUND(-0.367,10)</f>
        <v>-0.36699999999999999</v>
      </c>
      <c r="IG48" s="7">
        <f t="shared" ref="IG48:IM48" si="122">ROUND(-0.368,10)</f>
        <v>-0.36799999999999999</v>
      </c>
      <c r="IH48" s="7">
        <f t="shared" si="122"/>
        <v>-0.36799999999999999</v>
      </c>
      <c r="II48" s="7">
        <f t="shared" si="122"/>
        <v>-0.36799999999999999</v>
      </c>
      <c r="IJ48" s="7">
        <f t="shared" si="122"/>
        <v>-0.36799999999999999</v>
      </c>
      <c r="IK48" s="7">
        <f t="shared" si="122"/>
        <v>-0.36799999999999999</v>
      </c>
      <c r="IL48" s="7">
        <f t="shared" si="122"/>
        <v>-0.36799999999999999</v>
      </c>
      <c r="IM48" s="7">
        <f t="shared" si="122"/>
        <v>-0.36799999999999999</v>
      </c>
      <c r="IN48" s="7">
        <f>ROUND(-0.369,10)</f>
        <v>-0.36899999999999999</v>
      </c>
      <c r="IO48" s="7">
        <f>ROUND(-0.369,10)</f>
        <v>-0.36899999999999999</v>
      </c>
      <c r="IP48" s="7">
        <f>ROUND(-0.369,10)</f>
        <v>-0.36899999999999999</v>
      </c>
      <c r="IQ48" s="7">
        <f>ROUND(-0.367,10)</f>
        <v>-0.36699999999999999</v>
      </c>
      <c r="IR48" s="7">
        <f>ROUND(-0.366,10)</f>
        <v>-0.36599999999999999</v>
      </c>
      <c r="IS48" s="7">
        <f>ROUND(-0.365,10)</f>
        <v>-0.36499999999999999</v>
      </c>
      <c r="IT48" s="7">
        <f>ROUND(-0.364,10)</f>
        <v>-0.36399999999999999</v>
      </c>
      <c r="IU48" s="7">
        <f>ROUND(-0.364,10)</f>
        <v>-0.36399999999999999</v>
      </c>
      <c r="IV48" s="7">
        <f>ROUND(-0.363,10)</f>
        <v>-0.36299999999999999</v>
      </c>
    </row>
    <row r="49" spans="1:256">
      <c r="A49" s="6" t="s">
        <v>38</v>
      </c>
      <c r="B49" s="7">
        <f>ROUND(-0.34,10)</f>
        <v>-0.34</v>
      </c>
      <c r="C49" s="7">
        <f>ROUND(-0.341,10)</f>
        <v>-0.34100000000000003</v>
      </c>
      <c r="D49" s="7">
        <f>ROUND(-0.339,10)</f>
        <v>-0.33900000000000002</v>
      </c>
      <c r="E49" s="7">
        <f>ROUND(-0.34,10)</f>
        <v>-0.34</v>
      </c>
      <c r="F49" s="7">
        <f t="shared" ref="F49:P49" si="123">ROUND(-0.341,10)</f>
        <v>-0.34100000000000003</v>
      </c>
      <c r="G49" s="7">
        <f t="shared" si="123"/>
        <v>-0.34100000000000003</v>
      </c>
      <c r="H49" s="7">
        <f t="shared" si="123"/>
        <v>-0.34100000000000003</v>
      </c>
      <c r="I49" s="7">
        <f t="shared" si="123"/>
        <v>-0.34100000000000003</v>
      </c>
      <c r="J49" s="7">
        <f t="shared" si="123"/>
        <v>-0.34100000000000003</v>
      </c>
      <c r="K49" s="7">
        <f t="shared" si="123"/>
        <v>-0.34100000000000003</v>
      </c>
      <c r="L49" s="7">
        <f t="shared" si="123"/>
        <v>-0.34100000000000003</v>
      </c>
      <c r="M49" s="7">
        <f t="shared" si="123"/>
        <v>-0.34100000000000003</v>
      </c>
      <c r="N49" s="7">
        <f t="shared" si="123"/>
        <v>-0.34100000000000003</v>
      </c>
      <c r="O49" s="7">
        <f t="shared" si="123"/>
        <v>-0.34100000000000003</v>
      </c>
      <c r="P49" s="7">
        <f t="shared" si="123"/>
        <v>-0.34100000000000003</v>
      </c>
      <c r="Q49" s="7">
        <f>ROUND(-0.34,10)</f>
        <v>-0.34</v>
      </c>
      <c r="R49" s="7">
        <f>ROUND(-0.34,10)</f>
        <v>-0.34</v>
      </c>
      <c r="S49" s="7">
        <f>ROUND(-0.34,10)</f>
        <v>-0.34</v>
      </c>
      <c r="T49" s="7">
        <f>ROUND(-0.34,10)</f>
        <v>-0.34</v>
      </c>
      <c r="U49" s="7">
        <f>ROUND(-0.339,10)</f>
        <v>-0.33900000000000002</v>
      </c>
      <c r="V49" s="7">
        <f>ROUND(-0.341,10)</f>
        <v>-0.34100000000000003</v>
      </c>
      <c r="W49" s="7">
        <f>ROUND(-0.341,10)</f>
        <v>-0.34100000000000003</v>
      </c>
      <c r="X49" s="7">
        <f>ROUND(-0.341,10)</f>
        <v>-0.34100000000000003</v>
      </c>
      <c r="Y49" s="7">
        <f>ROUND(-0.341,10)</f>
        <v>-0.34100000000000003</v>
      </c>
      <c r="Z49" s="7">
        <f>ROUND(-0.341,10)</f>
        <v>-0.34100000000000003</v>
      </c>
      <c r="AA49" s="7">
        <f>ROUND(-0.34,10)</f>
        <v>-0.34</v>
      </c>
      <c r="AB49" s="7">
        <f t="shared" ref="AB49:AO49" si="124">ROUND(-0.341,10)</f>
        <v>-0.34100000000000003</v>
      </c>
      <c r="AC49" s="7">
        <f t="shared" si="124"/>
        <v>-0.34100000000000003</v>
      </c>
      <c r="AD49" s="7">
        <f t="shared" si="124"/>
        <v>-0.34100000000000003</v>
      </c>
      <c r="AE49" s="7">
        <f t="shared" si="124"/>
        <v>-0.34100000000000003</v>
      </c>
      <c r="AF49" s="7">
        <f t="shared" si="124"/>
        <v>-0.34100000000000003</v>
      </c>
      <c r="AG49" s="7">
        <f t="shared" si="124"/>
        <v>-0.34100000000000003</v>
      </c>
      <c r="AH49" s="7">
        <f t="shared" si="124"/>
        <v>-0.34100000000000003</v>
      </c>
      <c r="AI49" s="7">
        <f t="shared" si="124"/>
        <v>-0.34100000000000003</v>
      </c>
      <c r="AJ49" s="7">
        <f t="shared" si="124"/>
        <v>-0.34100000000000003</v>
      </c>
      <c r="AK49" s="7">
        <f t="shared" si="124"/>
        <v>-0.34100000000000003</v>
      </c>
      <c r="AL49" s="7">
        <f t="shared" si="124"/>
        <v>-0.34100000000000003</v>
      </c>
      <c r="AM49" s="7">
        <f t="shared" si="124"/>
        <v>-0.34100000000000003</v>
      </c>
      <c r="AN49" s="7">
        <f t="shared" si="124"/>
        <v>-0.34100000000000003</v>
      </c>
      <c r="AO49" s="7">
        <f t="shared" si="124"/>
        <v>-0.34100000000000003</v>
      </c>
      <c r="AP49" s="7">
        <f>ROUND(-0.342,10)</f>
        <v>-0.34200000000000003</v>
      </c>
      <c r="AQ49" s="7">
        <f t="shared" ref="AQ49:AW49" si="125">ROUND(-0.341,10)</f>
        <v>-0.34100000000000003</v>
      </c>
      <c r="AR49" s="7">
        <f t="shared" si="125"/>
        <v>-0.34100000000000003</v>
      </c>
      <c r="AS49" s="7">
        <f t="shared" si="125"/>
        <v>-0.34100000000000003</v>
      </c>
      <c r="AT49" s="7">
        <f t="shared" si="125"/>
        <v>-0.34100000000000003</v>
      </c>
      <c r="AU49" s="7">
        <f t="shared" si="125"/>
        <v>-0.34100000000000003</v>
      </c>
      <c r="AV49" s="7">
        <f t="shared" si="125"/>
        <v>-0.34100000000000003</v>
      </c>
      <c r="AW49" s="7">
        <f t="shared" si="125"/>
        <v>-0.34100000000000003</v>
      </c>
      <c r="AX49" s="7">
        <f>ROUND(-0.34,10)</f>
        <v>-0.34</v>
      </c>
      <c r="AY49" s="7">
        <f>ROUND(-0.34,10)</f>
        <v>-0.34</v>
      </c>
      <c r="AZ49" s="7">
        <f>ROUND(-0.341,10)</f>
        <v>-0.34100000000000003</v>
      </c>
      <c r="BA49" s="7">
        <f>ROUND(-0.34,10)</f>
        <v>-0.34</v>
      </c>
      <c r="BB49" s="7">
        <f t="shared" ref="BB49:BO49" si="126">ROUND(-0.341,10)</f>
        <v>-0.34100000000000003</v>
      </c>
      <c r="BC49" s="7">
        <f t="shared" si="126"/>
        <v>-0.34100000000000003</v>
      </c>
      <c r="BD49" s="7">
        <f t="shared" si="126"/>
        <v>-0.34100000000000003</v>
      </c>
      <c r="BE49" s="7">
        <f t="shared" si="126"/>
        <v>-0.34100000000000003</v>
      </c>
      <c r="BF49" s="7">
        <f t="shared" si="126"/>
        <v>-0.34100000000000003</v>
      </c>
      <c r="BG49" s="7">
        <f t="shared" si="126"/>
        <v>-0.34100000000000003</v>
      </c>
      <c r="BH49" s="7">
        <f t="shared" si="126"/>
        <v>-0.34100000000000003</v>
      </c>
      <c r="BI49" s="7">
        <f t="shared" si="126"/>
        <v>-0.34100000000000003</v>
      </c>
      <c r="BJ49" s="7">
        <f t="shared" si="126"/>
        <v>-0.34100000000000003</v>
      </c>
      <c r="BK49" s="7">
        <f t="shared" si="126"/>
        <v>-0.34100000000000003</v>
      </c>
      <c r="BL49" s="7">
        <f t="shared" si="126"/>
        <v>-0.34100000000000003</v>
      </c>
      <c r="BM49" s="7">
        <f t="shared" si="126"/>
        <v>-0.34100000000000003</v>
      </c>
      <c r="BN49" s="7">
        <f t="shared" si="126"/>
        <v>-0.34100000000000003</v>
      </c>
      <c r="BO49" s="7">
        <f t="shared" si="126"/>
        <v>-0.34100000000000003</v>
      </c>
      <c r="BP49" s="7">
        <f>ROUND(-0.342,10)</f>
        <v>-0.34200000000000003</v>
      </c>
      <c r="BQ49" s="7">
        <f>ROUND(-0.342,10)</f>
        <v>-0.34200000000000003</v>
      </c>
      <c r="BR49" s="7">
        <f>ROUND(-0.342,10)</f>
        <v>-0.34200000000000003</v>
      </c>
      <c r="BS49" s="7">
        <f>ROUND(-0.342,10)</f>
        <v>-0.34200000000000003</v>
      </c>
      <c r="BT49" s="7">
        <f>ROUND(-0.341,10)</f>
        <v>-0.34100000000000003</v>
      </c>
      <c r="BU49" s="7">
        <f>ROUND(-0.341,10)</f>
        <v>-0.34100000000000003</v>
      </c>
      <c r="BV49" s="7">
        <f>ROUND(-0.341,10)</f>
        <v>-0.34100000000000003</v>
      </c>
      <c r="BW49" s="7">
        <f>ROUND(-0.341,10)</f>
        <v>-0.34100000000000003</v>
      </c>
      <c r="BX49" s="7">
        <f>ROUND(-0.341,10)</f>
        <v>-0.34100000000000003</v>
      </c>
      <c r="BY49" s="7">
        <f>ROUND(-0.342,10)</f>
        <v>-0.34200000000000003</v>
      </c>
      <c r="BZ49" s="7">
        <f t="shared" ref="BZ49:CI49" si="127">ROUND(-0.341,10)</f>
        <v>-0.34100000000000003</v>
      </c>
      <c r="CA49" s="7">
        <f t="shared" si="127"/>
        <v>-0.34100000000000003</v>
      </c>
      <c r="CB49" s="7">
        <f t="shared" si="127"/>
        <v>-0.34100000000000003</v>
      </c>
      <c r="CC49" s="7">
        <f t="shared" si="127"/>
        <v>-0.34100000000000003</v>
      </c>
      <c r="CD49" s="7">
        <f t="shared" si="127"/>
        <v>-0.34100000000000003</v>
      </c>
      <c r="CE49" s="7">
        <f t="shared" si="127"/>
        <v>-0.34100000000000003</v>
      </c>
      <c r="CF49" s="7">
        <f t="shared" si="127"/>
        <v>-0.34100000000000003</v>
      </c>
      <c r="CG49" s="7">
        <f t="shared" si="127"/>
        <v>-0.34100000000000003</v>
      </c>
      <c r="CH49" s="7">
        <f t="shared" si="127"/>
        <v>-0.34100000000000003</v>
      </c>
      <c r="CI49" s="7">
        <f t="shared" si="127"/>
        <v>-0.34100000000000003</v>
      </c>
      <c r="CJ49" s="7">
        <f>ROUND(-0.34,10)</f>
        <v>-0.34</v>
      </c>
      <c r="CK49" s="7">
        <f>ROUND(-0.341,10)</f>
        <v>-0.34100000000000003</v>
      </c>
      <c r="CL49" s="7">
        <f>ROUND(-0.34,10)</f>
        <v>-0.34</v>
      </c>
      <c r="CM49" s="7">
        <f>ROUND(-0.341,10)</f>
        <v>-0.34100000000000003</v>
      </c>
      <c r="CN49" s="7">
        <f>ROUND(-0.341,10)</f>
        <v>-0.34100000000000003</v>
      </c>
      <c r="CO49" s="7">
        <f>ROUND(-0.34,10)</f>
        <v>-0.34</v>
      </c>
      <c r="CP49" s="7">
        <f>ROUND(-0.341,10)</f>
        <v>-0.34100000000000003</v>
      </c>
      <c r="CQ49" s="7">
        <f>ROUND(-0.341,10)</f>
        <v>-0.34100000000000003</v>
      </c>
      <c r="CR49" s="7">
        <f>ROUND(-0.341,10)</f>
        <v>-0.34100000000000003</v>
      </c>
      <c r="CS49" s="7">
        <f>ROUND(-0.34,10)</f>
        <v>-0.34</v>
      </c>
      <c r="CT49" s="7">
        <f>ROUND(-0.34,10)</f>
        <v>-0.34</v>
      </c>
      <c r="CU49" s="7">
        <f>ROUND(-0.341,10)</f>
        <v>-0.34100000000000003</v>
      </c>
      <c r="CV49" s="7">
        <f>ROUND(-0.34,10)</f>
        <v>-0.34</v>
      </c>
      <c r="CW49" s="7">
        <f>ROUND(-0.339,10)</f>
        <v>-0.33900000000000002</v>
      </c>
      <c r="CX49" s="7">
        <f>ROUND(-0.339,10)</f>
        <v>-0.33900000000000002</v>
      </c>
      <c r="CY49" s="7">
        <f>ROUND(-0.339,10)</f>
        <v>-0.33900000000000002</v>
      </c>
      <c r="CZ49" s="7">
        <f>ROUND(-0.339,10)</f>
        <v>-0.33900000000000002</v>
      </c>
      <c r="DA49" s="7">
        <f>ROUND(-0.338,10)</f>
        <v>-0.33800000000000002</v>
      </c>
      <c r="DB49" s="7">
        <f t="shared" ref="DB49:DG49" si="128">ROUND(-0.339,10)</f>
        <v>-0.33900000000000002</v>
      </c>
      <c r="DC49" s="7">
        <f t="shared" si="128"/>
        <v>-0.33900000000000002</v>
      </c>
      <c r="DD49" s="7">
        <f t="shared" si="128"/>
        <v>-0.33900000000000002</v>
      </c>
      <c r="DE49" s="7">
        <f t="shared" si="128"/>
        <v>-0.33900000000000002</v>
      </c>
      <c r="DF49" s="7">
        <f t="shared" si="128"/>
        <v>-0.33900000000000002</v>
      </c>
      <c r="DG49" s="7">
        <f t="shared" si="128"/>
        <v>-0.33900000000000002</v>
      </c>
      <c r="DH49" s="7">
        <f>ROUND(-0.338,10)</f>
        <v>-0.33800000000000002</v>
      </c>
      <c r="DI49" s="7">
        <f>ROUND(-0.338,10)</f>
        <v>-0.33800000000000002</v>
      </c>
      <c r="DJ49" s="7">
        <f>ROUND(-0.338,10)</f>
        <v>-0.33800000000000002</v>
      </c>
      <c r="DK49" s="7">
        <f>ROUND(-0.338,10)</f>
        <v>-0.33800000000000002</v>
      </c>
      <c r="DL49" s="7">
        <f>ROUND(-0.338,10)</f>
        <v>-0.33800000000000002</v>
      </c>
      <c r="DM49" s="7">
        <f>ROUND(-0.339,10)</f>
        <v>-0.33900000000000002</v>
      </c>
      <c r="DN49" s="7">
        <f t="shared" ref="DN49:DU49" si="129">ROUND(-0.338,10)</f>
        <v>-0.33800000000000002</v>
      </c>
      <c r="DO49" s="7">
        <f t="shared" si="129"/>
        <v>-0.33800000000000002</v>
      </c>
      <c r="DP49" s="7">
        <f t="shared" si="129"/>
        <v>-0.33800000000000002</v>
      </c>
      <c r="DQ49" s="7">
        <f t="shared" si="129"/>
        <v>-0.33800000000000002</v>
      </c>
      <c r="DR49" s="7">
        <f t="shared" si="129"/>
        <v>-0.33800000000000002</v>
      </c>
      <c r="DS49" s="7">
        <f t="shared" si="129"/>
        <v>-0.33800000000000002</v>
      </c>
      <c r="DT49" s="7">
        <f t="shared" si="129"/>
        <v>-0.33800000000000002</v>
      </c>
      <c r="DU49" s="7">
        <f t="shared" si="129"/>
        <v>-0.33800000000000002</v>
      </c>
      <c r="DV49" s="7">
        <f>ROUND(-0.339,10)</f>
        <v>-0.33900000000000002</v>
      </c>
      <c r="DW49" s="7">
        <f>ROUND(-0.337,10)</f>
        <v>-0.33700000000000002</v>
      </c>
      <c r="DX49" s="7">
        <f>ROUND(-0.337,10)</f>
        <v>-0.33700000000000002</v>
      </c>
      <c r="DY49" s="7">
        <f>ROUND(-0.337,10)</f>
        <v>-0.33700000000000002</v>
      </c>
      <c r="DZ49" s="7">
        <f>ROUND(-0.337,10)</f>
        <v>-0.33700000000000002</v>
      </c>
      <c r="EA49" s="7">
        <f>ROUND(-0.337,10)</f>
        <v>-0.33700000000000002</v>
      </c>
      <c r="EB49" s="7">
        <f t="shared" ref="EB49:EK49" si="130">ROUND(-0.336,10)</f>
        <v>-0.33600000000000002</v>
      </c>
      <c r="EC49" s="7">
        <f t="shared" si="130"/>
        <v>-0.33600000000000002</v>
      </c>
      <c r="ED49" s="7">
        <f t="shared" si="130"/>
        <v>-0.33600000000000002</v>
      </c>
      <c r="EE49" s="7">
        <f t="shared" si="130"/>
        <v>-0.33600000000000002</v>
      </c>
      <c r="EF49" s="7">
        <f t="shared" si="130"/>
        <v>-0.33600000000000002</v>
      </c>
      <c r="EG49" s="7">
        <f t="shared" si="130"/>
        <v>-0.33600000000000002</v>
      </c>
      <c r="EH49" s="7">
        <f t="shared" si="130"/>
        <v>-0.33600000000000002</v>
      </c>
      <c r="EI49" s="7">
        <f t="shared" si="130"/>
        <v>-0.33600000000000002</v>
      </c>
      <c r="EJ49" s="7">
        <f t="shared" si="130"/>
        <v>-0.33600000000000002</v>
      </c>
      <c r="EK49" s="7">
        <f t="shared" si="130"/>
        <v>-0.33600000000000002</v>
      </c>
      <c r="EL49" s="7">
        <f>ROUND(-0.337,10)</f>
        <v>-0.33700000000000002</v>
      </c>
      <c r="EM49" s="7">
        <f>ROUND(-0.337,10)</f>
        <v>-0.33700000000000002</v>
      </c>
      <c r="EN49" s="7">
        <f>ROUND(-0.337,10)</f>
        <v>-0.33700000000000002</v>
      </c>
      <c r="EO49" s="7">
        <f>ROUND(-0.337,10)</f>
        <v>-0.33700000000000002</v>
      </c>
      <c r="EP49" s="7">
        <f>ROUND(-0.337,10)</f>
        <v>-0.33700000000000002</v>
      </c>
      <c r="EQ49" s="7">
        <f>ROUND(-0.336,10)</f>
        <v>-0.33600000000000002</v>
      </c>
      <c r="ER49" s="7">
        <f>ROUND(-0.337,10)</f>
        <v>-0.33700000000000002</v>
      </c>
      <c r="ES49" s="7">
        <f>ROUND(-0.336,10)</f>
        <v>-0.33600000000000002</v>
      </c>
      <c r="ET49" s="7">
        <f t="shared" ref="ET49:FC49" si="131">ROUND(-0.337,10)</f>
        <v>-0.33700000000000002</v>
      </c>
      <c r="EU49" s="7">
        <f t="shared" si="131"/>
        <v>-0.33700000000000002</v>
      </c>
      <c r="EV49" s="7">
        <f t="shared" si="131"/>
        <v>-0.33700000000000002</v>
      </c>
      <c r="EW49" s="7">
        <f t="shared" si="131"/>
        <v>-0.33700000000000002</v>
      </c>
      <c r="EX49" s="7">
        <f t="shared" si="131"/>
        <v>-0.33700000000000002</v>
      </c>
      <c r="EY49" s="7">
        <f t="shared" si="131"/>
        <v>-0.33700000000000002</v>
      </c>
      <c r="EZ49" s="7">
        <f t="shared" si="131"/>
        <v>-0.33700000000000002</v>
      </c>
      <c r="FA49" s="7">
        <f t="shared" si="131"/>
        <v>-0.33700000000000002</v>
      </c>
      <c r="FB49" s="7">
        <f t="shared" si="131"/>
        <v>-0.33700000000000002</v>
      </c>
      <c r="FC49" s="7">
        <f t="shared" si="131"/>
        <v>-0.33700000000000002</v>
      </c>
      <c r="FD49" s="7">
        <f>ROUND(-0.336,10)</f>
        <v>-0.33600000000000002</v>
      </c>
      <c r="FE49" s="7">
        <f>ROUND(-0.337,10)</f>
        <v>-0.33700000000000002</v>
      </c>
      <c r="FF49" s="7">
        <f>ROUND(-0.337,10)</f>
        <v>-0.33700000000000002</v>
      </c>
      <c r="FG49" s="7">
        <f>ROUND(-0.338,10)</f>
        <v>-0.33800000000000002</v>
      </c>
      <c r="FH49" s="7">
        <f>ROUND(-0.338,10)</f>
        <v>-0.33800000000000002</v>
      </c>
      <c r="FI49" s="7">
        <f>ROUND(-0.338,10)</f>
        <v>-0.33800000000000002</v>
      </c>
      <c r="FJ49" s="7">
        <f>ROUND(-0.338,10)</f>
        <v>-0.33800000000000002</v>
      </c>
      <c r="FK49" s="7">
        <f>ROUND(-0.338,10)</f>
        <v>-0.33800000000000002</v>
      </c>
      <c r="FL49" s="7">
        <f>ROUND(-0.337,10)</f>
        <v>-0.33700000000000002</v>
      </c>
      <c r="FM49" s="7">
        <f>ROUND(-0.339,10)</f>
        <v>-0.33900000000000002</v>
      </c>
      <c r="FN49" s="7">
        <f>ROUND(-0.338,10)</f>
        <v>-0.33800000000000002</v>
      </c>
      <c r="FO49" s="7">
        <f>ROUND(-0.337,10)</f>
        <v>-0.33700000000000002</v>
      </c>
      <c r="FP49" s="7">
        <f>ROUND(-0.339,10)</f>
        <v>-0.33900000000000002</v>
      </c>
      <c r="FQ49" s="7">
        <f>ROUND(-0.339,10)</f>
        <v>-0.33900000000000002</v>
      </c>
      <c r="FR49" s="7">
        <f>ROUND(-0.338,10)</f>
        <v>-0.33800000000000002</v>
      </c>
      <c r="FS49" s="7">
        <f>ROUND(-0.338,10)</f>
        <v>-0.33800000000000002</v>
      </c>
      <c r="FT49" s="7">
        <f>ROUND(-0.338,10)</f>
        <v>-0.33800000000000002</v>
      </c>
      <c r="FU49" s="7">
        <f>ROUND(-0.339,10)</f>
        <v>-0.33900000000000002</v>
      </c>
      <c r="FV49" s="7">
        <f>ROUND(-0.338,10)</f>
        <v>-0.33800000000000002</v>
      </c>
      <c r="FW49" s="7">
        <f t="shared" ref="FW49:GD49" si="132">ROUND(-0.339,10)</f>
        <v>-0.33900000000000002</v>
      </c>
      <c r="FX49" s="7">
        <f t="shared" si="132"/>
        <v>-0.33900000000000002</v>
      </c>
      <c r="FY49" s="7">
        <f t="shared" si="132"/>
        <v>-0.33900000000000002</v>
      </c>
      <c r="FZ49" s="7">
        <f t="shared" si="132"/>
        <v>-0.33900000000000002</v>
      </c>
      <c r="GA49" s="7">
        <f t="shared" si="132"/>
        <v>-0.33900000000000002</v>
      </c>
      <c r="GB49" s="7">
        <f t="shared" si="132"/>
        <v>-0.33900000000000002</v>
      </c>
      <c r="GC49" s="7">
        <f t="shared" si="132"/>
        <v>-0.33900000000000002</v>
      </c>
      <c r="GD49" s="7">
        <f t="shared" si="132"/>
        <v>-0.33900000000000002</v>
      </c>
      <c r="GE49" s="7">
        <f>ROUND(-0.338,10)</f>
        <v>-0.33800000000000002</v>
      </c>
      <c r="GF49" s="7">
        <f>ROUND(-0.338,10)</f>
        <v>-0.33800000000000002</v>
      </c>
      <c r="GG49" s="7">
        <f>ROUND(-0.338,10)</f>
        <v>-0.33800000000000002</v>
      </c>
      <c r="GH49" s="7">
        <f>ROUND(-0.337,10)</f>
        <v>-0.33700000000000002</v>
      </c>
      <c r="GI49" s="7">
        <f>ROUND(-0.338,10)</f>
        <v>-0.33800000000000002</v>
      </c>
      <c r="GJ49" s="7">
        <f>ROUND(-0.338,10)</f>
        <v>-0.33800000000000002</v>
      </c>
      <c r="GK49" s="7">
        <f>ROUND(-0.338,10)</f>
        <v>-0.33800000000000002</v>
      </c>
      <c r="GL49" s="7">
        <f>ROUND(-0.339,10)</f>
        <v>-0.33900000000000002</v>
      </c>
      <c r="GM49" s="7">
        <f>ROUND(-0.338,10)</f>
        <v>-0.33800000000000002</v>
      </c>
      <c r="GN49" s="7">
        <f t="shared" ref="GN49:GT49" si="133">ROUND(-0.337,10)</f>
        <v>-0.33700000000000002</v>
      </c>
      <c r="GO49" s="7">
        <f t="shared" si="133"/>
        <v>-0.33700000000000002</v>
      </c>
      <c r="GP49" s="7">
        <f t="shared" si="133"/>
        <v>-0.33700000000000002</v>
      </c>
      <c r="GQ49" s="7">
        <f t="shared" si="133"/>
        <v>-0.33700000000000002</v>
      </c>
      <c r="GR49" s="7">
        <f t="shared" si="133"/>
        <v>-0.33700000000000002</v>
      </c>
      <c r="GS49" s="7">
        <f t="shared" si="133"/>
        <v>-0.33700000000000002</v>
      </c>
      <c r="GT49" s="7">
        <f t="shared" si="133"/>
        <v>-0.33700000000000002</v>
      </c>
      <c r="GU49" s="7">
        <f>ROUND(-0.338,10)</f>
        <v>-0.33800000000000002</v>
      </c>
      <c r="GV49" s="7">
        <f>ROUND(-0.337,10)</f>
        <v>-0.33700000000000002</v>
      </c>
      <c r="GW49" s="7">
        <f>ROUND(-0.337,10)</f>
        <v>-0.33700000000000002</v>
      </c>
      <c r="GX49" s="7">
        <f>ROUND(-0.338,10)</f>
        <v>-0.33800000000000002</v>
      </c>
      <c r="GY49" s="7">
        <f>ROUND(-0.337,10)</f>
        <v>-0.33700000000000002</v>
      </c>
      <c r="GZ49" s="7">
        <f>ROUND(-0.339,10)</f>
        <v>-0.33900000000000002</v>
      </c>
      <c r="HA49" s="7">
        <f>ROUND(-0.338,10)</f>
        <v>-0.33800000000000002</v>
      </c>
      <c r="HB49" s="7">
        <f>ROUND(-0.338,10)</f>
        <v>-0.33800000000000002</v>
      </c>
      <c r="HC49" s="7">
        <f>ROUND(-0.338,10)</f>
        <v>-0.33800000000000002</v>
      </c>
      <c r="HD49" s="7">
        <f>ROUND(-0.338,10)</f>
        <v>-0.33800000000000002</v>
      </c>
      <c r="HE49" s="7">
        <f>ROUND(-0.338,10)</f>
        <v>-0.33800000000000002</v>
      </c>
      <c r="HF49" s="7">
        <f t="shared" ref="HF49:HO49" si="134">ROUND(-0.336,10)</f>
        <v>-0.33600000000000002</v>
      </c>
      <c r="HG49" s="7">
        <f t="shared" si="134"/>
        <v>-0.33600000000000002</v>
      </c>
      <c r="HH49" s="7">
        <f t="shared" si="134"/>
        <v>-0.33600000000000002</v>
      </c>
      <c r="HI49" s="7">
        <f t="shared" si="134"/>
        <v>-0.33600000000000002</v>
      </c>
      <c r="HJ49" s="7">
        <f t="shared" si="134"/>
        <v>-0.33600000000000002</v>
      </c>
      <c r="HK49" s="7">
        <f t="shared" si="134"/>
        <v>-0.33600000000000002</v>
      </c>
      <c r="HL49" s="7">
        <f t="shared" si="134"/>
        <v>-0.33600000000000002</v>
      </c>
      <c r="HM49" s="7">
        <f t="shared" si="134"/>
        <v>-0.33600000000000002</v>
      </c>
      <c r="HN49" s="7">
        <f t="shared" si="134"/>
        <v>-0.33600000000000002</v>
      </c>
      <c r="HO49" s="7">
        <f t="shared" si="134"/>
        <v>-0.33600000000000002</v>
      </c>
      <c r="HP49" s="7">
        <f>ROUND(-0.339,10)</f>
        <v>-0.33900000000000002</v>
      </c>
      <c r="HQ49" s="7">
        <f>ROUND(-0.338,10)</f>
        <v>-0.33800000000000002</v>
      </c>
      <c r="HR49" s="7">
        <f>ROUND(-0.339,10)</f>
        <v>-0.33900000000000002</v>
      </c>
      <c r="HS49" s="7">
        <f>ROUND(-0.338,10)</f>
        <v>-0.33800000000000002</v>
      </c>
      <c r="HT49" s="7">
        <f>ROUND(-0.337,10)</f>
        <v>-0.33700000000000002</v>
      </c>
      <c r="HU49" s="7">
        <f>ROUND(-0.336,10)</f>
        <v>-0.33600000000000002</v>
      </c>
      <c r="HV49" s="7">
        <f>ROUND(-0.337,10)</f>
        <v>-0.33700000000000002</v>
      </c>
      <c r="HW49" s="7">
        <f t="shared" ref="HW49:IC49" si="135">ROUND(-0.336,10)</f>
        <v>-0.33600000000000002</v>
      </c>
      <c r="HX49" s="7">
        <f t="shared" si="135"/>
        <v>-0.33600000000000002</v>
      </c>
      <c r="HY49" s="7">
        <f t="shared" si="135"/>
        <v>-0.33600000000000002</v>
      </c>
      <c r="HZ49" s="7">
        <f t="shared" si="135"/>
        <v>-0.33600000000000002</v>
      </c>
      <c r="IA49" s="7">
        <f t="shared" si="135"/>
        <v>-0.33600000000000002</v>
      </c>
      <c r="IB49" s="7">
        <f t="shared" si="135"/>
        <v>-0.33600000000000002</v>
      </c>
      <c r="IC49" s="7">
        <f t="shared" si="135"/>
        <v>-0.33600000000000002</v>
      </c>
      <c r="ID49" s="6"/>
      <c r="IE49" s="6"/>
      <c r="IF49" s="6"/>
      <c r="IG49" s="6"/>
      <c r="IH49" s="6"/>
      <c r="II49" s="6"/>
      <c r="IJ49" s="6"/>
      <c r="IK49" s="6"/>
      <c r="IL49" s="6"/>
      <c r="IM49" s="6"/>
      <c r="IN49" s="6"/>
      <c r="IO49" s="6"/>
      <c r="IP49" s="6"/>
      <c r="IQ49" s="6"/>
      <c r="IR49" s="6"/>
      <c r="IS49" s="6"/>
      <c r="IT49" s="6"/>
      <c r="IU49" s="6"/>
      <c r="IV49" s="6"/>
    </row>
    <row r="50" spans="1:256">
      <c r="A50" s="6" t="s">
        <v>39</v>
      </c>
      <c r="B50" s="7">
        <f t="shared" ref="B50:L50" si="136">ROUND(-0.329,10)</f>
        <v>-0.32900000000000001</v>
      </c>
      <c r="C50" s="7">
        <f t="shared" si="136"/>
        <v>-0.32900000000000001</v>
      </c>
      <c r="D50" s="7">
        <f t="shared" si="136"/>
        <v>-0.32900000000000001</v>
      </c>
      <c r="E50" s="7">
        <f t="shared" si="136"/>
        <v>-0.32900000000000001</v>
      </c>
      <c r="F50" s="7">
        <f t="shared" si="136"/>
        <v>-0.32900000000000001</v>
      </c>
      <c r="G50" s="7">
        <f t="shared" si="136"/>
        <v>-0.32900000000000001</v>
      </c>
      <c r="H50" s="7">
        <f t="shared" si="136"/>
        <v>-0.32900000000000001</v>
      </c>
      <c r="I50" s="7">
        <f t="shared" si="136"/>
        <v>-0.32900000000000001</v>
      </c>
      <c r="J50" s="7">
        <f t="shared" si="136"/>
        <v>-0.32900000000000001</v>
      </c>
      <c r="K50" s="7">
        <f t="shared" si="136"/>
        <v>-0.32900000000000001</v>
      </c>
      <c r="L50" s="7">
        <f t="shared" si="136"/>
        <v>-0.32900000000000001</v>
      </c>
      <c r="M50" s="7">
        <f t="shared" ref="M50:R50" si="137">ROUND(-0.328,10)</f>
        <v>-0.32800000000000001</v>
      </c>
      <c r="N50" s="7">
        <f t="shared" si="137"/>
        <v>-0.32800000000000001</v>
      </c>
      <c r="O50" s="7">
        <f t="shared" si="137"/>
        <v>-0.32800000000000001</v>
      </c>
      <c r="P50" s="7">
        <f t="shared" si="137"/>
        <v>-0.32800000000000001</v>
      </c>
      <c r="Q50" s="7">
        <f t="shared" si="137"/>
        <v>-0.32800000000000001</v>
      </c>
      <c r="R50" s="7">
        <f t="shared" si="137"/>
        <v>-0.32800000000000001</v>
      </c>
      <c r="S50" s="7">
        <f>ROUND(-0.327,10)</f>
        <v>-0.32700000000000001</v>
      </c>
      <c r="T50" s="7">
        <f>ROUND(-0.328,10)</f>
        <v>-0.32800000000000001</v>
      </c>
      <c r="U50" s="7">
        <f>ROUND(-0.328,10)</f>
        <v>-0.32800000000000001</v>
      </c>
      <c r="V50" s="7">
        <f>ROUND(-0.328,10)</f>
        <v>-0.32800000000000001</v>
      </c>
      <c r="W50" s="7">
        <f>ROUND(-0.328,10)</f>
        <v>-0.32800000000000001</v>
      </c>
      <c r="X50" s="7">
        <f>ROUND(-0.328,10)</f>
        <v>-0.32800000000000001</v>
      </c>
      <c r="Y50" s="7">
        <f t="shared" ref="Y50:AF50" si="138">ROUND(-0.329,10)</f>
        <v>-0.32900000000000001</v>
      </c>
      <c r="Z50" s="7">
        <f t="shared" si="138"/>
        <v>-0.32900000000000001</v>
      </c>
      <c r="AA50" s="7">
        <f t="shared" si="138"/>
        <v>-0.32900000000000001</v>
      </c>
      <c r="AB50" s="7">
        <f t="shared" si="138"/>
        <v>-0.32900000000000001</v>
      </c>
      <c r="AC50" s="7">
        <f t="shared" si="138"/>
        <v>-0.32900000000000001</v>
      </c>
      <c r="AD50" s="7">
        <f t="shared" si="138"/>
        <v>-0.32900000000000001</v>
      </c>
      <c r="AE50" s="7">
        <f t="shared" si="138"/>
        <v>-0.32900000000000001</v>
      </c>
      <c r="AF50" s="7">
        <f t="shared" si="138"/>
        <v>-0.32900000000000001</v>
      </c>
      <c r="AG50" s="7">
        <f>ROUND(-0.328,10)</f>
        <v>-0.32800000000000001</v>
      </c>
      <c r="AH50" s="7">
        <f>ROUND(-0.328,10)</f>
        <v>-0.32800000000000001</v>
      </c>
      <c r="AI50" s="7">
        <f>ROUND(-0.328,10)</f>
        <v>-0.32800000000000001</v>
      </c>
      <c r="AJ50" s="7">
        <f>ROUND(-0.329,10)</f>
        <v>-0.32900000000000001</v>
      </c>
      <c r="AK50" s="7">
        <f>ROUND(-0.329,10)</f>
        <v>-0.32900000000000001</v>
      </c>
      <c r="AL50" s="7">
        <f>ROUND(-0.329,10)</f>
        <v>-0.32900000000000001</v>
      </c>
      <c r="AM50" s="7">
        <f>ROUND(-0.328,10)</f>
        <v>-0.32800000000000001</v>
      </c>
      <c r="AN50" s="7">
        <f>ROUND(-0.328,10)</f>
        <v>-0.32800000000000001</v>
      </c>
      <c r="AO50" s="7">
        <f>ROUND(-0.328,10)</f>
        <v>-0.32800000000000001</v>
      </c>
      <c r="AP50" s="7">
        <f>ROUND(-0.328,10)</f>
        <v>-0.32800000000000001</v>
      </c>
      <c r="AQ50" s="7">
        <f t="shared" ref="AQ50:BA50" si="139">ROUND(-0.327,10)</f>
        <v>-0.32700000000000001</v>
      </c>
      <c r="AR50" s="7">
        <f t="shared" si="139"/>
        <v>-0.32700000000000001</v>
      </c>
      <c r="AS50" s="7">
        <f t="shared" si="139"/>
        <v>-0.32700000000000001</v>
      </c>
      <c r="AT50" s="7">
        <f t="shared" si="139"/>
        <v>-0.32700000000000001</v>
      </c>
      <c r="AU50" s="7">
        <f t="shared" si="139"/>
        <v>-0.32700000000000001</v>
      </c>
      <c r="AV50" s="7">
        <f t="shared" si="139"/>
        <v>-0.32700000000000001</v>
      </c>
      <c r="AW50" s="7">
        <f t="shared" si="139"/>
        <v>-0.32700000000000001</v>
      </c>
      <c r="AX50" s="7">
        <f t="shared" si="139"/>
        <v>-0.32700000000000001</v>
      </c>
      <c r="AY50" s="7">
        <f t="shared" si="139"/>
        <v>-0.32700000000000001</v>
      </c>
      <c r="AZ50" s="7">
        <f t="shared" si="139"/>
        <v>-0.32700000000000001</v>
      </c>
      <c r="BA50" s="7">
        <f t="shared" si="139"/>
        <v>-0.32700000000000001</v>
      </c>
      <c r="BB50" s="7">
        <f>ROUND(-0.328,10)</f>
        <v>-0.32800000000000001</v>
      </c>
      <c r="BC50" s="7">
        <f>ROUND(-0.328,10)</f>
        <v>-0.32800000000000001</v>
      </c>
      <c r="BD50" s="7">
        <f t="shared" ref="BD50:BK50" si="140">ROUND(-0.329,10)</f>
        <v>-0.32900000000000001</v>
      </c>
      <c r="BE50" s="7">
        <f t="shared" si="140"/>
        <v>-0.32900000000000001</v>
      </c>
      <c r="BF50" s="7">
        <f t="shared" si="140"/>
        <v>-0.32900000000000001</v>
      </c>
      <c r="BG50" s="7">
        <f t="shared" si="140"/>
        <v>-0.32900000000000001</v>
      </c>
      <c r="BH50" s="7">
        <f t="shared" si="140"/>
        <v>-0.32900000000000001</v>
      </c>
      <c r="BI50" s="7">
        <f t="shared" si="140"/>
        <v>-0.32900000000000001</v>
      </c>
      <c r="BJ50" s="7">
        <f t="shared" si="140"/>
        <v>-0.32900000000000001</v>
      </c>
      <c r="BK50" s="7">
        <f t="shared" si="140"/>
        <v>-0.32900000000000001</v>
      </c>
      <c r="BL50" s="7">
        <f>ROUND(-0.328,10)</f>
        <v>-0.32800000000000001</v>
      </c>
      <c r="BM50" s="7">
        <f>ROUND(-0.328,10)</f>
        <v>-0.32800000000000001</v>
      </c>
      <c r="BN50" s="7">
        <f>ROUND(-0.328,10)</f>
        <v>-0.32800000000000001</v>
      </c>
      <c r="BO50" s="7">
        <f>ROUND(-0.328,10)</f>
        <v>-0.32800000000000001</v>
      </c>
      <c r="BP50" s="7">
        <f t="shared" ref="BP50:BV50" si="141">ROUND(-0.329,10)</f>
        <v>-0.32900000000000001</v>
      </c>
      <c r="BQ50" s="7">
        <f t="shared" si="141"/>
        <v>-0.32900000000000001</v>
      </c>
      <c r="BR50" s="7">
        <f t="shared" si="141"/>
        <v>-0.32900000000000001</v>
      </c>
      <c r="BS50" s="7">
        <f t="shared" si="141"/>
        <v>-0.32900000000000001</v>
      </c>
      <c r="BT50" s="7">
        <f t="shared" si="141"/>
        <v>-0.32900000000000001</v>
      </c>
      <c r="BU50" s="7">
        <f t="shared" si="141"/>
        <v>-0.32900000000000001</v>
      </c>
      <c r="BV50" s="7">
        <f t="shared" si="141"/>
        <v>-0.32900000000000001</v>
      </c>
      <c r="BW50" s="7">
        <f t="shared" ref="BW50:CD50" si="142">ROUND(-0.328,10)</f>
        <v>-0.32800000000000001</v>
      </c>
      <c r="BX50" s="7">
        <f t="shared" si="142"/>
        <v>-0.32800000000000001</v>
      </c>
      <c r="BY50" s="7">
        <f t="shared" si="142"/>
        <v>-0.32800000000000001</v>
      </c>
      <c r="BZ50" s="7">
        <f t="shared" si="142"/>
        <v>-0.32800000000000001</v>
      </c>
      <c r="CA50" s="7">
        <f t="shared" si="142"/>
        <v>-0.32800000000000001</v>
      </c>
      <c r="CB50" s="7">
        <f t="shared" si="142"/>
        <v>-0.32800000000000001</v>
      </c>
      <c r="CC50" s="7">
        <f t="shared" si="142"/>
        <v>-0.32800000000000001</v>
      </c>
      <c r="CD50" s="7">
        <f t="shared" si="142"/>
        <v>-0.32800000000000001</v>
      </c>
      <c r="CE50" s="7">
        <f>ROUND(-0.329,10)</f>
        <v>-0.32900000000000001</v>
      </c>
      <c r="CF50" s="7">
        <f>ROUND(-0.329,10)</f>
        <v>-0.32900000000000001</v>
      </c>
      <c r="CG50" s="7">
        <f>ROUND(-0.329,10)</f>
        <v>-0.32900000000000001</v>
      </c>
      <c r="CH50" s="7">
        <f>ROUND(-0.328,10)</f>
        <v>-0.32800000000000001</v>
      </c>
      <c r="CI50" s="7">
        <f>ROUND(-0.328,10)</f>
        <v>-0.32800000000000001</v>
      </c>
      <c r="CJ50" s="7">
        <f>ROUND(-0.328,10)</f>
        <v>-0.32800000000000001</v>
      </c>
      <c r="CK50" s="7">
        <f>ROUND(-0.328,10)</f>
        <v>-0.32800000000000001</v>
      </c>
      <c r="CL50" s="7">
        <f>ROUND(-0.327,10)</f>
        <v>-0.32700000000000001</v>
      </c>
      <c r="CM50" s="7">
        <f>ROUND(-0.326,10)</f>
        <v>-0.32600000000000001</v>
      </c>
      <c r="CN50" s="7">
        <f>ROUND(-0.327,10)</f>
        <v>-0.32700000000000001</v>
      </c>
      <c r="CO50" s="7">
        <f>ROUND(-0.326,10)</f>
        <v>-0.32600000000000001</v>
      </c>
      <c r="CP50" s="7">
        <f>ROUND(-0.326,10)</f>
        <v>-0.32600000000000001</v>
      </c>
      <c r="CQ50" s="7">
        <f>ROUND(-0.326,10)</f>
        <v>-0.32600000000000001</v>
      </c>
      <c r="CR50" s="7">
        <f>ROUND(-0.326,10)</f>
        <v>-0.32600000000000001</v>
      </c>
      <c r="CS50" s="7">
        <f>ROUND(-0.326,10)</f>
        <v>-0.32600000000000001</v>
      </c>
      <c r="CT50" s="7">
        <f>ROUND(-0.325,10)</f>
        <v>-0.32500000000000001</v>
      </c>
      <c r="CU50" s="7">
        <f>ROUND(-0.324,10)</f>
        <v>-0.32400000000000001</v>
      </c>
      <c r="CV50" s="7">
        <f>ROUND(-0.323,10)</f>
        <v>-0.32300000000000001</v>
      </c>
      <c r="CW50" s="7">
        <f>ROUND(-0.324,10)</f>
        <v>-0.32400000000000001</v>
      </c>
      <c r="CX50" s="7">
        <f>ROUND(-0.323,10)</f>
        <v>-0.32300000000000001</v>
      </c>
      <c r="CY50" s="7">
        <f>ROUND(-0.322,10)</f>
        <v>-0.32200000000000001</v>
      </c>
      <c r="CZ50" s="7">
        <f>ROUND(-0.321,10)</f>
        <v>-0.32100000000000001</v>
      </c>
      <c r="DA50" s="7">
        <f>ROUND(-0.321,10)</f>
        <v>-0.32100000000000001</v>
      </c>
      <c r="DB50" s="7">
        <f>ROUND(-0.321,10)</f>
        <v>-0.32100000000000001</v>
      </c>
      <c r="DC50" s="7">
        <f>ROUND(-0.321,10)</f>
        <v>-0.32100000000000001</v>
      </c>
      <c r="DD50" s="7">
        <f>ROUND(-0.321,10)</f>
        <v>-0.32100000000000001</v>
      </c>
      <c r="DE50" s="7">
        <f>ROUND(-0.322,10)</f>
        <v>-0.32200000000000001</v>
      </c>
      <c r="DF50" s="7">
        <f t="shared" ref="DF50:DM50" si="143">ROUND(-0.321,10)</f>
        <v>-0.32100000000000001</v>
      </c>
      <c r="DG50" s="7">
        <f t="shared" si="143"/>
        <v>-0.32100000000000001</v>
      </c>
      <c r="DH50" s="7">
        <f t="shared" si="143"/>
        <v>-0.32100000000000001</v>
      </c>
      <c r="DI50" s="7">
        <f t="shared" si="143"/>
        <v>-0.32100000000000001</v>
      </c>
      <c r="DJ50" s="7">
        <f t="shared" si="143"/>
        <v>-0.32100000000000001</v>
      </c>
      <c r="DK50" s="7">
        <f t="shared" si="143"/>
        <v>-0.32100000000000001</v>
      </c>
      <c r="DL50" s="7">
        <f t="shared" si="143"/>
        <v>-0.32100000000000001</v>
      </c>
      <c r="DM50" s="7">
        <f t="shared" si="143"/>
        <v>-0.32100000000000001</v>
      </c>
      <c r="DN50" s="7">
        <f>ROUND(-0.323,10)</f>
        <v>-0.32300000000000001</v>
      </c>
      <c r="DO50" s="7">
        <f>ROUND(-0.323,10)</f>
        <v>-0.32300000000000001</v>
      </c>
      <c r="DP50" s="7">
        <f>ROUND(-0.323,10)</f>
        <v>-0.32300000000000001</v>
      </c>
      <c r="DQ50" s="7">
        <f>ROUND(-0.323,10)</f>
        <v>-0.32300000000000001</v>
      </c>
      <c r="DR50" s="7">
        <f>ROUND(-0.323,10)</f>
        <v>-0.32300000000000001</v>
      </c>
      <c r="DS50" s="7">
        <f>ROUND(-0.324,10)</f>
        <v>-0.32400000000000001</v>
      </c>
      <c r="DT50" s="7">
        <f>ROUND(-0.323,10)</f>
        <v>-0.32300000000000001</v>
      </c>
      <c r="DU50" s="7">
        <f>ROUND(-0.324,10)</f>
        <v>-0.32400000000000001</v>
      </c>
      <c r="DV50" s="7">
        <f>ROUND(-0.324,10)</f>
        <v>-0.32400000000000001</v>
      </c>
      <c r="DW50" s="7">
        <f t="shared" ref="DW50:EO50" si="144">ROUND(-0.321,10)</f>
        <v>-0.32100000000000001</v>
      </c>
      <c r="DX50" s="7">
        <f t="shared" si="144"/>
        <v>-0.32100000000000001</v>
      </c>
      <c r="DY50" s="7">
        <f t="shared" si="144"/>
        <v>-0.32100000000000001</v>
      </c>
      <c r="DZ50" s="7">
        <f t="shared" si="144"/>
        <v>-0.32100000000000001</v>
      </c>
      <c r="EA50" s="7">
        <f t="shared" si="144"/>
        <v>-0.32100000000000001</v>
      </c>
      <c r="EB50" s="7">
        <f t="shared" si="144"/>
        <v>-0.32100000000000001</v>
      </c>
      <c r="EC50" s="7">
        <f t="shared" si="144"/>
        <v>-0.32100000000000001</v>
      </c>
      <c r="ED50" s="7">
        <f t="shared" si="144"/>
        <v>-0.32100000000000001</v>
      </c>
      <c r="EE50" s="7">
        <f t="shared" si="144"/>
        <v>-0.32100000000000001</v>
      </c>
      <c r="EF50" s="7">
        <f t="shared" si="144"/>
        <v>-0.32100000000000001</v>
      </c>
      <c r="EG50" s="7">
        <f t="shared" si="144"/>
        <v>-0.32100000000000001</v>
      </c>
      <c r="EH50" s="7">
        <f t="shared" si="144"/>
        <v>-0.32100000000000001</v>
      </c>
      <c r="EI50" s="7">
        <f t="shared" si="144"/>
        <v>-0.32100000000000001</v>
      </c>
      <c r="EJ50" s="7">
        <f t="shared" si="144"/>
        <v>-0.32100000000000001</v>
      </c>
      <c r="EK50" s="7">
        <f t="shared" si="144"/>
        <v>-0.32100000000000001</v>
      </c>
      <c r="EL50" s="7">
        <f t="shared" si="144"/>
        <v>-0.32100000000000001</v>
      </c>
      <c r="EM50" s="7">
        <f t="shared" si="144"/>
        <v>-0.32100000000000001</v>
      </c>
      <c r="EN50" s="7">
        <f t="shared" si="144"/>
        <v>-0.32100000000000001</v>
      </c>
      <c r="EO50" s="7">
        <f t="shared" si="144"/>
        <v>-0.32100000000000001</v>
      </c>
      <c r="EP50" s="7">
        <f>ROUND(-0.32,10)</f>
        <v>-0.32</v>
      </c>
      <c r="EQ50" s="7">
        <f>ROUND(-0.32,10)</f>
        <v>-0.32</v>
      </c>
      <c r="ER50" s="7">
        <f t="shared" ref="ER50:GB50" si="145">ROUND(-0.319,10)</f>
        <v>-0.31900000000000001</v>
      </c>
      <c r="ES50" s="7">
        <f t="shared" si="145"/>
        <v>-0.31900000000000001</v>
      </c>
      <c r="ET50" s="7">
        <f t="shared" si="145"/>
        <v>-0.31900000000000001</v>
      </c>
      <c r="EU50" s="7">
        <f t="shared" si="145"/>
        <v>-0.31900000000000001</v>
      </c>
      <c r="EV50" s="7">
        <f t="shared" si="145"/>
        <v>-0.31900000000000001</v>
      </c>
      <c r="EW50" s="7">
        <f t="shared" si="145"/>
        <v>-0.31900000000000001</v>
      </c>
      <c r="EX50" s="7">
        <f t="shared" si="145"/>
        <v>-0.31900000000000001</v>
      </c>
      <c r="EY50" s="7">
        <f t="shared" si="145"/>
        <v>-0.31900000000000001</v>
      </c>
      <c r="EZ50" s="7">
        <f t="shared" si="145"/>
        <v>-0.31900000000000001</v>
      </c>
      <c r="FA50" s="7">
        <f t="shared" si="145"/>
        <v>-0.31900000000000001</v>
      </c>
      <c r="FB50" s="7">
        <f t="shared" si="145"/>
        <v>-0.31900000000000001</v>
      </c>
      <c r="FC50" s="7">
        <f t="shared" si="145"/>
        <v>-0.31900000000000001</v>
      </c>
      <c r="FD50" s="7">
        <f t="shared" si="145"/>
        <v>-0.31900000000000001</v>
      </c>
      <c r="FE50" s="7">
        <f t="shared" si="145"/>
        <v>-0.31900000000000001</v>
      </c>
      <c r="FF50" s="7">
        <f t="shared" si="145"/>
        <v>-0.31900000000000001</v>
      </c>
      <c r="FG50" s="7">
        <f t="shared" si="145"/>
        <v>-0.31900000000000001</v>
      </c>
      <c r="FH50" s="7">
        <f t="shared" si="145"/>
        <v>-0.31900000000000001</v>
      </c>
      <c r="FI50" s="7">
        <f t="shared" si="145"/>
        <v>-0.31900000000000001</v>
      </c>
      <c r="FJ50" s="7">
        <f t="shared" si="145"/>
        <v>-0.31900000000000001</v>
      </c>
      <c r="FK50" s="7">
        <f t="shared" si="145"/>
        <v>-0.31900000000000001</v>
      </c>
      <c r="FL50" s="7">
        <f t="shared" si="145"/>
        <v>-0.31900000000000001</v>
      </c>
      <c r="FM50" s="7">
        <f t="shared" si="145"/>
        <v>-0.31900000000000001</v>
      </c>
      <c r="FN50" s="7">
        <f t="shared" si="145"/>
        <v>-0.31900000000000001</v>
      </c>
      <c r="FO50" s="7">
        <f t="shared" si="145"/>
        <v>-0.31900000000000001</v>
      </c>
      <c r="FP50" s="7">
        <f t="shared" si="145"/>
        <v>-0.31900000000000001</v>
      </c>
      <c r="FQ50" s="7">
        <f t="shared" si="145"/>
        <v>-0.31900000000000001</v>
      </c>
      <c r="FR50" s="7">
        <f t="shared" si="145"/>
        <v>-0.31900000000000001</v>
      </c>
      <c r="FS50" s="7">
        <f t="shared" si="145"/>
        <v>-0.31900000000000001</v>
      </c>
      <c r="FT50" s="7">
        <f t="shared" si="145"/>
        <v>-0.31900000000000001</v>
      </c>
      <c r="FU50" s="7">
        <f t="shared" si="145"/>
        <v>-0.31900000000000001</v>
      </c>
      <c r="FV50" s="7">
        <f t="shared" si="145"/>
        <v>-0.31900000000000001</v>
      </c>
      <c r="FW50" s="7">
        <f t="shared" si="145"/>
        <v>-0.31900000000000001</v>
      </c>
      <c r="FX50" s="7">
        <f t="shared" si="145"/>
        <v>-0.31900000000000001</v>
      </c>
      <c r="FY50" s="7">
        <f t="shared" si="145"/>
        <v>-0.31900000000000001</v>
      </c>
      <c r="FZ50" s="7">
        <f t="shared" si="145"/>
        <v>-0.31900000000000001</v>
      </c>
      <c r="GA50" s="7">
        <f t="shared" si="145"/>
        <v>-0.31900000000000001</v>
      </c>
      <c r="GB50" s="7">
        <f t="shared" si="145"/>
        <v>-0.31900000000000001</v>
      </c>
      <c r="GC50" s="7">
        <f>ROUND(-0.318,10)</f>
        <v>-0.318</v>
      </c>
      <c r="GD50" s="7">
        <f>ROUND(-0.319,10)</f>
        <v>-0.31900000000000001</v>
      </c>
      <c r="GE50" s="7">
        <f>ROUND(-0.319,10)</f>
        <v>-0.31900000000000001</v>
      </c>
      <c r="GF50" s="7">
        <f>ROUND(-0.319,10)</f>
        <v>-0.31900000000000001</v>
      </c>
      <c r="GG50" s="7">
        <f>ROUND(-0.319,10)</f>
        <v>-0.31900000000000001</v>
      </c>
      <c r="GH50" s="7">
        <f>ROUND(-0.319,10)</f>
        <v>-0.31900000000000001</v>
      </c>
      <c r="GI50" s="7">
        <f>ROUND(-0.318,10)</f>
        <v>-0.318</v>
      </c>
      <c r="GJ50" s="7">
        <f>ROUND(-0.318,10)</f>
        <v>-0.318</v>
      </c>
      <c r="GK50" s="7">
        <f>ROUND(-0.317,10)</f>
        <v>-0.317</v>
      </c>
      <c r="GL50" s="7">
        <f t="shared" ref="GL50:GW50" si="146">ROUND(-0.318,10)</f>
        <v>-0.318</v>
      </c>
      <c r="GM50" s="7">
        <f t="shared" si="146"/>
        <v>-0.318</v>
      </c>
      <c r="GN50" s="7">
        <f t="shared" si="146"/>
        <v>-0.318</v>
      </c>
      <c r="GO50" s="7">
        <f t="shared" si="146"/>
        <v>-0.318</v>
      </c>
      <c r="GP50" s="7">
        <f t="shared" si="146"/>
        <v>-0.318</v>
      </c>
      <c r="GQ50" s="7">
        <f t="shared" si="146"/>
        <v>-0.318</v>
      </c>
      <c r="GR50" s="7">
        <f t="shared" si="146"/>
        <v>-0.318</v>
      </c>
      <c r="GS50" s="7">
        <f t="shared" si="146"/>
        <v>-0.318</v>
      </c>
      <c r="GT50" s="7">
        <f t="shared" si="146"/>
        <v>-0.318</v>
      </c>
      <c r="GU50" s="7">
        <f t="shared" si="146"/>
        <v>-0.318</v>
      </c>
      <c r="GV50" s="7">
        <f t="shared" si="146"/>
        <v>-0.318</v>
      </c>
      <c r="GW50" s="7">
        <f t="shared" si="146"/>
        <v>-0.318</v>
      </c>
      <c r="GX50" s="7">
        <f t="shared" ref="GX50:HC50" si="147">ROUND(-0.317,10)</f>
        <v>-0.317</v>
      </c>
      <c r="GY50" s="7">
        <f t="shared" si="147"/>
        <v>-0.317</v>
      </c>
      <c r="GZ50" s="7">
        <f t="shared" si="147"/>
        <v>-0.317</v>
      </c>
      <c r="HA50" s="7">
        <f t="shared" si="147"/>
        <v>-0.317</v>
      </c>
      <c r="HB50" s="7">
        <f t="shared" si="147"/>
        <v>-0.317</v>
      </c>
      <c r="HC50" s="7">
        <f t="shared" si="147"/>
        <v>-0.317</v>
      </c>
      <c r="HD50" s="7">
        <f t="shared" ref="HD50:HJ50" si="148">ROUND(-0.318,10)</f>
        <v>-0.318</v>
      </c>
      <c r="HE50" s="7">
        <f t="shared" si="148"/>
        <v>-0.318</v>
      </c>
      <c r="HF50" s="7">
        <f t="shared" si="148"/>
        <v>-0.318</v>
      </c>
      <c r="HG50" s="7">
        <f t="shared" si="148"/>
        <v>-0.318</v>
      </c>
      <c r="HH50" s="7">
        <f t="shared" si="148"/>
        <v>-0.318</v>
      </c>
      <c r="HI50" s="7">
        <f t="shared" si="148"/>
        <v>-0.318</v>
      </c>
      <c r="HJ50" s="7">
        <f t="shared" si="148"/>
        <v>-0.318</v>
      </c>
      <c r="HK50" s="7">
        <f>ROUND(-0.317,10)</f>
        <v>-0.317</v>
      </c>
      <c r="HL50" s="7">
        <f>ROUND(-0.317,10)</f>
        <v>-0.317</v>
      </c>
      <c r="HM50" s="7">
        <f t="shared" ref="HM50:IF50" si="149">ROUND(-0.316,10)</f>
        <v>-0.316</v>
      </c>
      <c r="HN50" s="7">
        <f t="shared" si="149"/>
        <v>-0.316</v>
      </c>
      <c r="HO50" s="7">
        <f t="shared" si="149"/>
        <v>-0.316</v>
      </c>
      <c r="HP50" s="7">
        <f t="shared" si="149"/>
        <v>-0.316</v>
      </c>
      <c r="HQ50" s="7">
        <f t="shared" si="149"/>
        <v>-0.316</v>
      </c>
      <c r="HR50" s="7">
        <f t="shared" si="149"/>
        <v>-0.316</v>
      </c>
      <c r="HS50" s="7">
        <f t="shared" si="149"/>
        <v>-0.316</v>
      </c>
      <c r="HT50" s="7">
        <f t="shared" si="149"/>
        <v>-0.316</v>
      </c>
      <c r="HU50" s="7">
        <f t="shared" si="149"/>
        <v>-0.316</v>
      </c>
      <c r="HV50" s="7">
        <f t="shared" si="149"/>
        <v>-0.316</v>
      </c>
      <c r="HW50" s="7">
        <f t="shared" si="149"/>
        <v>-0.316</v>
      </c>
      <c r="HX50" s="7">
        <f t="shared" si="149"/>
        <v>-0.316</v>
      </c>
      <c r="HY50" s="7">
        <f t="shared" si="149"/>
        <v>-0.316</v>
      </c>
      <c r="HZ50" s="7">
        <f t="shared" si="149"/>
        <v>-0.316</v>
      </c>
      <c r="IA50" s="7">
        <f t="shared" si="149"/>
        <v>-0.316</v>
      </c>
      <c r="IB50" s="7">
        <f t="shared" si="149"/>
        <v>-0.316</v>
      </c>
      <c r="IC50" s="7">
        <f t="shared" si="149"/>
        <v>-0.316</v>
      </c>
      <c r="ID50" s="7">
        <f t="shared" si="149"/>
        <v>-0.316</v>
      </c>
      <c r="IE50" s="7">
        <f t="shared" si="149"/>
        <v>-0.316</v>
      </c>
      <c r="IF50" s="7">
        <f t="shared" si="149"/>
        <v>-0.316</v>
      </c>
      <c r="IG50" s="7">
        <f>ROUND(-0.315,10)</f>
        <v>-0.315</v>
      </c>
      <c r="IH50" s="7">
        <f>ROUND(-0.315,10)</f>
        <v>-0.315</v>
      </c>
      <c r="II50" s="7">
        <f>ROUND(-0.314,10)</f>
        <v>-0.314</v>
      </c>
      <c r="IJ50" s="7">
        <f>ROUND(-0.312,10)</f>
        <v>-0.312</v>
      </c>
      <c r="IK50" s="7">
        <f>ROUND(-0.312,10)</f>
        <v>-0.312</v>
      </c>
      <c r="IL50" s="7">
        <f>ROUND(-0.311,10)</f>
        <v>-0.311</v>
      </c>
      <c r="IM50" s="7">
        <f>ROUND(-0.311,10)</f>
        <v>-0.311</v>
      </c>
      <c r="IN50" s="7">
        <f>ROUND(-0.311,10)</f>
        <v>-0.311</v>
      </c>
      <c r="IO50" s="7">
        <f>ROUND(-0.311,10)</f>
        <v>-0.311</v>
      </c>
      <c r="IP50" s="7">
        <f>ROUND(-0.309,10)</f>
        <v>-0.309</v>
      </c>
      <c r="IQ50" s="7">
        <f>ROUND(-0.31,10)</f>
        <v>-0.31</v>
      </c>
      <c r="IR50" s="7">
        <f>ROUND(-0.31,10)</f>
        <v>-0.31</v>
      </c>
      <c r="IS50" s="7">
        <f>ROUND(-0.309,10)</f>
        <v>-0.309</v>
      </c>
      <c r="IT50" s="7">
        <f>ROUND(-0.309,10)</f>
        <v>-0.309</v>
      </c>
      <c r="IU50" s="7">
        <f>ROUND(-0.31,10)</f>
        <v>-0.31</v>
      </c>
      <c r="IV50" s="7">
        <f>ROUND(-0.309,10)</f>
        <v>-0.309</v>
      </c>
    </row>
    <row r="51" spans="1:256" s="16" customFormat="1">
      <c r="A51" s="14" t="s">
        <v>40</v>
      </c>
      <c r="B51" s="15">
        <f t="shared" ref="B51:J51" si="150">ROUND(-0.271,10)</f>
        <v>-0.27100000000000002</v>
      </c>
      <c r="C51" s="15">
        <f t="shared" si="150"/>
        <v>-0.27100000000000002</v>
      </c>
      <c r="D51" s="17">
        <f t="shared" si="150"/>
        <v>-0.27100000000000002</v>
      </c>
      <c r="E51" s="15">
        <f t="shared" si="150"/>
        <v>-0.27100000000000002</v>
      </c>
      <c r="F51" s="15">
        <f t="shared" si="150"/>
        <v>-0.27100000000000002</v>
      </c>
      <c r="G51" s="15">
        <f t="shared" si="150"/>
        <v>-0.27100000000000002</v>
      </c>
      <c r="H51" s="15">
        <f t="shared" si="150"/>
        <v>-0.27100000000000002</v>
      </c>
      <c r="I51" s="15">
        <f t="shared" si="150"/>
        <v>-0.27100000000000002</v>
      </c>
      <c r="J51" s="15">
        <f t="shared" si="150"/>
        <v>-0.27100000000000002</v>
      </c>
      <c r="K51" s="15">
        <f>ROUND(-0.274,10)</f>
        <v>-0.27400000000000002</v>
      </c>
      <c r="L51" s="15">
        <f>ROUND(-0.272,10)</f>
        <v>-0.27200000000000002</v>
      </c>
      <c r="M51" s="15">
        <f>ROUND(-0.274,10)</f>
        <v>-0.27400000000000002</v>
      </c>
      <c r="N51" s="15">
        <f>ROUND(-0.275,10)</f>
        <v>-0.27500000000000002</v>
      </c>
      <c r="O51" s="15">
        <f>ROUND(-0.276,10)</f>
        <v>-0.27600000000000002</v>
      </c>
      <c r="P51" s="15">
        <f>ROUND(-0.277,10)</f>
        <v>-0.27700000000000002</v>
      </c>
      <c r="Q51" s="15">
        <f>ROUND(-0.276,10)</f>
        <v>-0.27600000000000002</v>
      </c>
      <c r="R51" s="15">
        <f>ROUND(-0.278,10)</f>
        <v>-0.27800000000000002</v>
      </c>
      <c r="S51" s="15">
        <f>ROUND(-0.278,10)</f>
        <v>-0.27800000000000002</v>
      </c>
      <c r="T51" s="15">
        <f>ROUND(-0.278,10)</f>
        <v>-0.27800000000000002</v>
      </c>
      <c r="U51" s="15">
        <f>ROUND(-0.278,10)</f>
        <v>-0.27800000000000002</v>
      </c>
      <c r="V51" s="15">
        <f>ROUND(-0.278,10)</f>
        <v>-0.27800000000000002</v>
      </c>
      <c r="W51" s="15">
        <f>ROUND(-0.279,10)</f>
        <v>-0.27900000000000003</v>
      </c>
      <c r="X51" s="15">
        <f>ROUND(-0.278,10)</f>
        <v>-0.27800000000000002</v>
      </c>
      <c r="Y51" s="15">
        <f>ROUND(-0.278,10)</f>
        <v>-0.27800000000000002</v>
      </c>
      <c r="Z51" s="15">
        <f>ROUND(-0.278,10)</f>
        <v>-0.27800000000000002</v>
      </c>
      <c r="AA51" s="15">
        <f>ROUND(-0.279,10)</f>
        <v>-0.27900000000000003</v>
      </c>
      <c r="AB51" s="15">
        <f>ROUND(-0.278,10)</f>
        <v>-0.27800000000000002</v>
      </c>
      <c r="AC51" s="15">
        <f>ROUND(-0.278,10)</f>
        <v>-0.27800000000000002</v>
      </c>
      <c r="AD51" s="15">
        <f>ROUND(-0.278,10)</f>
        <v>-0.27800000000000002</v>
      </c>
      <c r="AE51" s="15">
        <f>ROUND(-0.278,10)</f>
        <v>-0.27800000000000002</v>
      </c>
      <c r="AF51" s="15">
        <f>ROUND(-0.276,10)</f>
        <v>-0.27600000000000002</v>
      </c>
      <c r="AG51" s="15">
        <f>ROUND(-0.276,10)</f>
        <v>-0.27600000000000002</v>
      </c>
      <c r="AH51" s="15">
        <f>ROUND(-0.276,10)</f>
        <v>-0.27600000000000002</v>
      </c>
      <c r="AI51" s="15">
        <f>ROUND(-0.274,10)</f>
        <v>-0.27400000000000002</v>
      </c>
      <c r="AJ51" s="15">
        <f>ROUND(-0.274,10)</f>
        <v>-0.27400000000000002</v>
      </c>
      <c r="AK51" s="15">
        <f>ROUND(-0.273,10)</f>
        <v>-0.27300000000000002</v>
      </c>
      <c r="AL51" s="15">
        <f>ROUND(-0.271,10)</f>
        <v>-0.27100000000000002</v>
      </c>
      <c r="AM51" s="15">
        <f>ROUND(-0.27,10)</f>
        <v>-0.27</v>
      </c>
      <c r="AN51" s="15">
        <f>ROUND(-0.271,10)</f>
        <v>-0.27100000000000002</v>
      </c>
      <c r="AO51" s="15">
        <f>ROUND(-0.271,10)</f>
        <v>-0.27100000000000002</v>
      </c>
      <c r="AP51" s="15">
        <f>ROUND(-0.271,10)</f>
        <v>-0.27100000000000002</v>
      </c>
      <c r="AQ51" s="15">
        <f>ROUND(-0.27,10)</f>
        <v>-0.27</v>
      </c>
      <c r="AR51" s="15">
        <f>ROUND(-0.271,10)</f>
        <v>-0.27100000000000002</v>
      </c>
      <c r="AS51" s="15">
        <f>ROUND(-0.271,10)</f>
        <v>-0.27100000000000002</v>
      </c>
      <c r="AT51" s="15">
        <f>ROUND(-0.272,10)</f>
        <v>-0.27200000000000002</v>
      </c>
      <c r="AU51" s="15">
        <f>ROUND(-0.271,10)</f>
        <v>-0.27100000000000002</v>
      </c>
      <c r="AV51" s="15">
        <f>ROUND(-0.272,10)</f>
        <v>-0.27200000000000002</v>
      </c>
      <c r="AW51" s="15">
        <f>ROUND(-0.272,10)</f>
        <v>-0.27200000000000002</v>
      </c>
      <c r="AX51" s="15">
        <f>ROUND(-0.271,10)</f>
        <v>-0.27100000000000002</v>
      </c>
      <c r="AY51" s="15">
        <f>ROUND(-0.271,10)</f>
        <v>-0.27100000000000002</v>
      </c>
      <c r="AZ51" s="15">
        <f>ROUND(-0.271,10)</f>
        <v>-0.27100000000000002</v>
      </c>
      <c r="BA51" s="15">
        <f>ROUND(-0.271,10)</f>
        <v>-0.27100000000000002</v>
      </c>
      <c r="BB51" s="15">
        <f>ROUND(-0.271,10)</f>
        <v>-0.27100000000000002</v>
      </c>
      <c r="BC51" s="15">
        <f>ROUND(-0.272,10)</f>
        <v>-0.27200000000000002</v>
      </c>
      <c r="BD51" s="15">
        <f>ROUND(-0.272,10)</f>
        <v>-0.27200000000000002</v>
      </c>
      <c r="BE51" s="15">
        <f>ROUND(-0.273,10)</f>
        <v>-0.27300000000000002</v>
      </c>
      <c r="BF51" s="15">
        <f>ROUND(-0.272,10)</f>
        <v>-0.27200000000000002</v>
      </c>
      <c r="BG51" s="15">
        <f>ROUND(-0.271,10)</f>
        <v>-0.27100000000000002</v>
      </c>
      <c r="BH51" s="15">
        <f>ROUND(-0.27,10)</f>
        <v>-0.27</v>
      </c>
      <c r="BI51" s="15">
        <f>ROUND(-0.271,10)</f>
        <v>-0.27100000000000002</v>
      </c>
      <c r="BJ51" s="15">
        <f>ROUND(-0.271,10)</f>
        <v>-0.27100000000000002</v>
      </c>
      <c r="BK51" s="15">
        <f>ROUND(-0.271,10)</f>
        <v>-0.27100000000000002</v>
      </c>
      <c r="BL51" s="15">
        <f>ROUND(-0.271,10)</f>
        <v>-0.27100000000000002</v>
      </c>
      <c r="BM51" s="15">
        <f>ROUND(-0.27,10)</f>
        <v>-0.27</v>
      </c>
      <c r="BN51" s="15">
        <f>ROUND(-0.271,10)</f>
        <v>-0.27100000000000002</v>
      </c>
      <c r="BO51" s="15">
        <f>ROUND(-0.271,10)</f>
        <v>-0.27100000000000002</v>
      </c>
      <c r="BP51" s="15">
        <f>ROUND(-0.27,10)</f>
        <v>-0.27</v>
      </c>
      <c r="BQ51" s="15">
        <f>ROUND(-0.27,10)</f>
        <v>-0.27</v>
      </c>
      <c r="BR51" s="15">
        <f>ROUND(-0.271,10)</f>
        <v>-0.27100000000000002</v>
      </c>
      <c r="BS51" s="15">
        <f>ROUND(-0.27,10)</f>
        <v>-0.27</v>
      </c>
      <c r="BT51" s="15">
        <f>ROUND(-0.271,10)</f>
        <v>-0.27100000000000002</v>
      </c>
      <c r="BU51" s="15">
        <f>ROUND(-0.271,10)</f>
        <v>-0.27100000000000002</v>
      </c>
      <c r="BV51" s="15">
        <f>ROUND(-0.27,10)</f>
        <v>-0.27</v>
      </c>
      <c r="BW51" s="15">
        <f>ROUND(-0.27,10)</f>
        <v>-0.27</v>
      </c>
      <c r="BX51" s="15">
        <f>ROUND(-0.271,10)</f>
        <v>-0.27100000000000002</v>
      </c>
      <c r="BY51" s="15">
        <f>ROUND(-0.27,10)</f>
        <v>-0.27</v>
      </c>
      <c r="BZ51" s="15">
        <f>ROUND(-0.271,10)</f>
        <v>-0.27100000000000002</v>
      </c>
      <c r="CA51" s="15">
        <f>ROUND(-0.27,10)</f>
        <v>-0.27</v>
      </c>
      <c r="CB51" s="15">
        <f>ROUND(-0.27,10)</f>
        <v>-0.27</v>
      </c>
      <c r="CC51" s="15">
        <f>ROUND(-0.27,10)</f>
        <v>-0.27</v>
      </c>
      <c r="CD51" s="15">
        <f t="shared" ref="CD51:CL51" si="151">ROUND(-0.269,10)</f>
        <v>-0.26900000000000002</v>
      </c>
      <c r="CE51" s="15">
        <f t="shared" si="151"/>
        <v>-0.26900000000000002</v>
      </c>
      <c r="CF51" s="15">
        <f t="shared" si="151"/>
        <v>-0.26900000000000002</v>
      </c>
      <c r="CG51" s="15">
        <f t="shared" si="151"/>
        <v>-0.26900000000000002</v>
      </c>
      <c r="CH51" s="15">
        <f t="shared" si="151"/>
        <v>-0.26900000000000002</v>
      </c>
      <c r="CI51" s="15">
        <f t="shared" si="151"/>
        <v>-0.26900000000000002</v>
      </c>
      <c r="CJ51" s="15">
        <f t="shared" si="151"/>
        <v>-0.26900000000000002</v>
      </c>
      <c r="CK51" s="15">
        <f t="shared" si="151"/>
        <v>-0.26900000000000002</v>
      </c>
      <c r="CL51" s="15">
        <f t="shared" si="151"/>
        <v>-0.26900000000000002</v>
      </c>
      <c r="CM51" s="15">
        <f>ROUND(-0.271,10)</f>
        <v>-0.27100000000000002</v>
      </c>
      <c r="CN51" s="15">
        <f>ROUND(-0.271,10)</f>
        <v>-0.27100000000000002</v>
      </c>
      <c r="CO51" s="15">
        <f>ROUND(-0.271,10)</f>
        <v>-0.27100000000000002</v>
      </c>
      <c r="CP51" s="15">
        <f>ROUND(-0.271,10)</f>
        <v>-0.27100000000000002</v>
      </c>
      <c r="CQ51" s="15">
        <f>ROUND(-0.272,10)</f>
        <v>-0.27200000000000002</v>
      </c>
      <c r="CR51" s="15">
        <f>ROUND(-0.27,10)</f>
        <v>-0.27</v>
      </c>
      <c r="CS51" s="15">
        <f>ROUND(-0.271,10)</f>
        <v>-0.27100000000000002</v>
      </c>
      <c r="CT51" s="15">
        <f>ROUND(-0.27,10)</f>
        <v>-0.27</v>
      </c>
      <c r="CU51" s="15">
        <f>ROUND(-0.271,10)</f>
        <v>-0.27100000000000002</v>
      </c>
      <c r="CV51" s="15">
        <f>ROUND(-0.27,10)</f>
        <v>-0.27</v>
      </c>
      <c r="CW51" s="15">
        <f>ROUND(-0.271,10)</f>
        <v>-0.27100000000000002</v>
      </c>
      <c r="CX51" s="15">
        <f>ROUND(-0.271,10)</f>
        <v>-0.27100000000000002</v>
      </c>
      <c r="CY51" s="15">
        <f t="shared" ref="CY51:DG51" si="152">ROUND(-0.269,10)</f>
        <v>-0.26900000000000002</v>
      </c>
      <c r="CZ51" s="15">
        <f t="shared" si="152"/>
        <v>-0.26900000000000002</v>
      </c>
      <c r="DA51" s="15">
        <f t="shared" si="152"/>
        <v>-0.26900000000000002</v>
      </c>
      <c r="DB51" s="15">
        <f t="shared" si="152"/>
        <v>-0.26900000000000002</v>
      </c>
      <c r="DC51" s="15">
        <f t="shared" si="152"/>
        <v>-0.26900000000000002</v>
      </c>
      <c r="DD51" s="15">
        <f t="shared" si="152"/>
        <v>-0.26900000000000002</v>
      </c>
      <c r="DE51" s="15">
        <f t="shared" si="152"/>
        <v>-0.26900000000000002</v>
      </c>
      <c r="DF51" s="15">
        <f t="shared" si="152"/>
        <v>-0.26900000000000002</v>
      </c>
      <c r="DG51" s="15">
        <f t="shared" si="152"/>
        <v>-0.26900000000000002</v>
      </c>
      <c r="DH51" s="15">
        <f>ROUND(-0.267,10)</f>
        <v>-0.26700000000000002</v>
      </c>
      <c r="DI51" s="15">
        <f>ROUND(-0.267,10)</f>
        <v>-0.26700000000000002</v>
      </c>
      <c r="DJ51" s="15">
        <f>ROUND(-0.267,10)</f>
        <v>-0.26700000000000002</v>
      </c>
      <c r="DK51" s="15">
        <f t="shared" ref="DK51:DR51" si="153">ROUND(-0.268,10)</f>
        <v>-0.26800000000000002</v>
      </c>
      <c r="DL51" s="15">
        <f t="shared" si="153"/>
        <v>-0.26800000000000002</v>
      </c>
      <c r="DM51" s="15">
        <f t="shared" si="153"/>
        <v>-0.26800000000000002</v>
      </c>
      <c r="DN51" s="15">
        <f t="shared" si="153"/>
        <v>-0.26800000000000002</v>
      </c>
      <c r="DO51" s="15">
        <f t="shared" si="153"/>
        <v>-0.26800000000000002</v>
      </c>
      <c r="DP51" s="15">
        <f t="shared" si="153"/>
        <v>-0.26800000000000002</v>
      </c>
      <c r="DQ51" s="15">
        <f t="shared" si="153"/>
        <v>-0.26800000000000002</v>
      </c>
      <c r="DR51" s="15">
        <f t="shared" si="153"/>
        <v>-0.26800000000000002</v>
      </c>
      <c r="DS51" s="15">
        <f>ROUND(-0.269,10)</f>
        <v>-0.26900000000000002</v>
      </c>
      <c r="DT51" s="15">
        <f>ROUND(-0.27,10)</f>
        <v>-0.27</v>
      </c>
      <c r="DU51" s="15">
        <f>ROUND(-0.27,10)</f>
        <v>-0.27</v>
      </c>
      <c r="DV51" s="15">
        <f>ROUND(-0.27,10)</f>
        <v>-0.27</v>
      </c>
      <c r="DW51" s="15">
        <f>ROUND(-0.27,10)</f>
        <v>-0.27</v>
      </c>
      <c r="DX51" s="15">
        <f>ROUND(-0.269,10)</f>
        <v>-0.26900000000000002</v>
      </c>
      <c r="DY51" s="15">
        <f>ROUND(-0.27,10)</f>
        <v>-0.27</v>
      </c>
      <c r="DZ51" s="15">
        <f>ROUND(-0.269,10)</f>
        <v>-0.26900000000000002</v>
      </c>
      <c r="EA51" s="15">
        <f>ROUND(-0.269,10)</f>
        <v>-0.26900000000000002</v>
      </c>
      <c r="EB51" s="15">
        <f>ROUND(-0.27,10)</f>
        <v>-0.27</v>
      </c>
      <c r="EC51" s="15">
        <f>ROUND(-0.27,10)</f>
        <v>-0.27</v>
      </c>
      <c r="ED51" s="15">
        <f>ROUND(-0.269,10)</f>
        <v>-0.26900000000000002</v>
      </c>
      <c r="EE51" s="15">
        <f>ROUND(-0.271,10)</f>
        <v>-0.27100000000000002</v>
      </c>
      <c r="EF51" s="15">
        <f>ROUND(-0.271,10)</f>
        <v>-0.27100000000000002</v>
      </c>
      <c r="EG51" s="15">
        <f>ROUND(-0.268,10)</f>
        <v>-0.26800000000000002</v>
      </c>
      <c r="EH51" s="15">
        <f t="shared" ref="EH51:EQ51" si="154">ROUND(-0.269,10)</f>
        <v>-0.26900000000000002</v>
      </c>
      <c r="EI51" s="15">
        <f t="shared" si="154"/>
        <v>-0.26900000000000002</v>
      </c>
      <c r="EJ51" s="15">
        <f t="shared" si="154"/>
        <v>-0.26900000000000002</v>
      </c>
      <c r="EK51" s="15">
        <f t="shared" si="154"/>
        <v>-0.26900000000000002</v>
      </c>
      <c r="EL51" s="15">
        <f t="shared" si="154"/>
        <v>-0.26900000000000002</v>
      </c>
      <c r="EM51" s="15">
        <f t="shared" si="154"/>
        <v>-0.26900000000000002</v>
      </c>
      <c r="EN51" s="15">
        <f t="shared" si="154"/>
        <v>-0.26900000000000002</v>
      </c>
      <c r="EO51" s="15">
        <f t="shared" si="154"/>
        <v>-0.26900000000000002</v>
      </c>
      <c r="EP51" s="15">
        <f t="shared" si="154"/>
        <v>-0.26900000000000002</v>
      </c>
      <c r="EQ51" s="15">
        <f t="shared" si="154"/>
        <v>-0.26900000000000002</v>
      </c>
      <c r="ER51" s="15">
        <f>ROUND(-0.268,10)</f>
        <v>-0.26800000000000002</v>
      </c>
      <c r="ES51" s="15">
        <f>ROUND(-0.268,10)</f>
        <v>-0.26800000000000002</v>
      </c>
      <c r="ET51" s="15">
        <f>ROUND(-0.269,10)</f>
        <v>-0.26900000000000002</v>
      </c>
      <c r="EU51" s="15">
        <f>ROUND(-0.269,10)</f>
        <v>-0.26900000000000002</v>
      </c>
      <c r="EV51" s="15">
        <f>ROUND(-0.268,10)</f>
        <v>-0.26800000000000002</v>
      </c>
      <c r="EW51" s="15">
        <f>ROUND(-0.268,10)</f>
        <v>-0.26800000000000002</v>
      </c>
      <c r="EX51" s="15">
        <f>ROUND(-0.268,10)</f>
        <v>-0.26800000000000002</v>
      </c>
      <c r="EY51" s="15">
        <f>ROUND(-0.268,10)</f>
        <v>-0.26800000000000002</v>
      </c>
      <c r="EZ51" s="15">
        <f>ROUND(-0.266,10)</f>
        <v>-0.26600000000000001</v>
      </c>
      <c r="FA51" s="15">
        <f>ROUND(-0.267,10)</f>
        <v>-0.26700000000000002</v>
      </c>
      <c r="FB51" s="15">
        <f t="shared" ref="FB51:FK51" si="155">ROUND(-0.266,10)</f>
        <v>-0.26600000000000001</v>
      </c>
      <c r="FC51" s="15">
        <f t="shared" si="155"/>
        <v>-0.26600000000000001</v>
      </c>
      <c r="FD51" s="15">
        <f t="shared" si="155"/>
        <v>-0.26600000000000001</v>
      </c>
      <c r="FE51" s="15">
        <f t="shared" si="155"/>
        <v>-0.26600000000000001</v>
      </c>
      <c r="FF51" s="15">
        <f t="shared" si="155"/>
        <v>-0.26600000000000001</v>
      </c>
      <c r="FG51" s="15">
        <f t="shared" si="155"/>
        <v>-0.26600000000000001</v>
      </c>
      <c r="FH51" s="15">
        <f t="shared" si="155"/>
        <v>-0.26600000000000001</v>
      </c>
      <c r="FI51" s="15">
        <f t="shared" si="155"/>
        <v>-0.26600000000000001</v>
      </c>
      <c r="FJ51" s="15">
        <f t="shared" si="155"/>
        <v>-0.26600000000000001</v>
      </c>
      <c r="FK51" s="15">
        <f t="shared" si="155"/>
        <v>-0.26600000000000001</v>
      </c>
      <c r="FL51" s="15">
        <f>ROUND(-0.265,10)</f>
        <v>-0.26500000000000001</v>
      </c>
      <c r="FM51" s="15">
        <f>ROUND(-0.266,10)</f>
        <v>-0.26600000000000001</v>
      </c>
      <c r="FN51" s="15">
        <f>ROUND(-0.266,10)</f>
        <v>-0.26600000000000001</v>
      </c>
      <c r="FO51" s="15">
        <f>ROUND(-0.268,10)</f>
        <v>-0.26800000000000002</v>
      </c>
      <c r="FP51" s="15">
        <f>ROUND(-0.268,10)</f>
        <v>-0.26800000000000002</v>
      </c>
      <c r="FQ51" s="15">
        <f>ROUND(-0.268,10)</f>
        <v>-0.26800000000000002</v>
      </c>
      <c r="FR51" s="15">
        <f t="shared" ref="FR51:FZ51" si="156">ROUND(-0.269,10)</f>
        <v>-0.26900000000000002</v>
      </c>
      <c r="FS51" s="15">
        <f t="shared" si="156"/>
        <v>-0.26900000000000002</v>
      </c>
      <c r="FT51" s="15">
        <f t="shared" si="156"/>
        <v>-0.26900000000000002</v>
      </c>
      <c r="FU51" s="15">
        <f t="shared" si="156"/>
        <v>-0.26900000000000002</v>
      </c>
      <c r="FV51" s="15">
        <f t="shared" si="156"/>
        <v>-0.26900000000000002</v>
      </c>
      <c r="FW51" s="15">
        <f t="shared" si="156"/>
        <v>-0.26900000000000002</v>
      </c>
      <c r="FX51" s="15">
        <f t="shared" si="156"/>
        <v>-0.26900000000000002</v>
      </c>
      <c r="FY51" s="15">
        <f t="shared" si="156"/>
        <v>-0.26900000000000002</v>
      </c>
      <c r="FZ51" s="15">
        <f t="shared" si="156"/>
        <v>-0.26900000000000002</v>
      </c>
      <c r="GA51" s="15">
        <f>ROUND(-0.268,10)</f>
        <v>-0.26800000000000002</v>
      </c>
      <c r="GB51" s="15">
        <f>ROUND(-0.268,10)</f>
        <v>-0.26800000000000002</v>
      </c>
      <c r="GC51" s="15">
        <f>ROUND(-0.267,10)</f>
        <v>-0.26700000000000002</v>
      </c>
      <c r="GD51" s="15">
        <f>ROUND(-0.268,10)</f>
        <v>-0.26800000000000002</v>
      </c>
      <c r="GE51" s="15">
        <f>ROUND(-0.268,10)</f>
        <v>-0.26800000000000002</v>
      </c>
      <c r="GF51" s="15">
        <f>ROUND(-0.267,10)</f>
        <v>-0.26700000000000002</v>
      </c>
      <c r="GG51" s="15">
        <f>ROUND(-0.267,10)</f>
        <v>-0.26700000000000002</v>
      </c>
      <c r="GH51" s="15">
        <f>ROUND(-0.267,10)</f>
        <v>-0.26700000000000002</v>
      </c>
      <c r="GI51" s="15">
        <f>ROUND(-0.268,10)</f>
        <v>-0.26800000000000002</v>
      </c>
      <c r="GJ51" s="15">
        <f>ROUND(-0.268,10)</f>
        <v>-0.26800000000000002</v>
      </c>
      <c r="GK51" s="15">
        <f>ROUND(-0.268,10)</f>
        <v>-0.26800000000000002</v>
      </c>
      <c r="GL51" s="15">
        <f>ROUND(-0.268,10)</f>
        <v>-0.26800000000000002</v>
      </c>
      <c r="GM51" s="15">
        <f>ROUND(-0.267,10)</f>
        <v>-0.26700000000000002</v>
      </c>
      <c r="GN51" s="15">
        <f>ROUND(-0.268,10)</f>
        <v>-0.26800000000000002</v>
      </c>
      <c r="GO51" s="15">
        <f>ROUND(-0.267,10)</f>
        <v>-0.26700000000000002</v>
      </c>
      <c r="GP51" s="15">
        <f>ROUND(-0.267,10)</f>
        <v>-0.26700000000000002</v>
      </c>
      <c r="GQ51" s="15">
        <f>ROUND(-0.268,10)</f>
        <v>-0.26800000000000002</v>
      </c>
      <c r="GR51" s="15">
        <f>ROUND(-0.268,10)</f>
        <v>-0.26800000000000002</v>
      </c>
      <c r="GS51" s="15">
        <f>ROUND(-0.267,10)</f>
        <v>-0.26700000000000002</v>
      </c>
      <c r="GT51" s="15">
        <f>ROUND(-0.267,10)</f>
        <v>-0.26700000000000002</v>
      </c>
      <c r="GU51" s="15">
        <f>ROUND(-0.266,10)</f>
        <v>-0.26600000000000001</v>
      </c>
      <c r="GV51" s="15">
        <f>ROUND(-0.265,10)</f>
        <v>-0.26500000000000001</v>
      </c>
      <c r="GW51" s="15">
        <f>ROUND(-0.266,10)</f>
        <v>-0.26600000000000001</v>
      </c>
      <c r="GX51" s="15">
        <f>ROUND(-0.265,10)</f>
        <v>-0.26500000000000001</v>
      </c>
      <c r="GY51" s="15">
        <f>ROUND(-0.262,10)</f>
        <v>-0.26200000000000001</v>
      </c>
      <c r="GZ51" s="15">
        <f>ROUND(-0.261,10)</f>
        <v>-0.26100000000000001</v>
      </c>
      <c r="HA51" s="15">
        <f t="shared" ref="HA51:HG51" si="157">ROUND(-0.259,10)</f>
        <v>-0.25900000000000001</v>
      </c>
      <c r="HB51" s="15">
        <f t="shared" si="157"/>
        <v>-0.25900000000000001</v>
      </c>
      <c r="HC51" s="15">
        <f t="shared" si="157"/>
        <v>-0.25900000000000001</v>
      </c>
      <c r="HD51" s="15">
        <f t="shared" si="157"/>
        <v>-0.25900000000000001</v>
      </c>
      <c r="HE51" s="15">
        <f t="shared" si="157"/>
        <v>-0.25900000000000001</v>
      </c>
      <c r="HF51" s="15">
        <f t="shared" si="157"/>
        <v>-0.25900000000000001</v>
      </c>
      <c r="HG51" s="15">
        <f t="shared" si="157"/>
        <v>-0.25900000000000001</v>
      </c>
      <c r="HH51" s="15">
        <f>ROUND(-0.258,10)</f>
        <v>-0.25800000000000001</v>
      </c>
      <c r="HI51" s="15">
        <f>ROUND(-0.258,10)</f>
        <v>-0.25800000000000001</v>
      </c>
      <c r="HJ51" s="15">
        <f>ROUND(-0.257,10)</f>
        <v>-0.25700000000000001</v>
      </c>
      <c r="HK51" s="15">
        <f>ROUND(-0.258,10)</f>
        <v>-0.25800000000000001</v>
      </c>
      <c r="HL51" s="15">
        <f>ROUND(-0.258,10)</f>
        <v>-0.25800000000000001</v>
      </c>
      <c r="HM51" s="15">
        <f t="shared" ref="HM51:HX51" si="158">ROUND(-0.257,10)</f>
        <v>-0.25700000000000001</v>
      </c>
      <c r="HN51" s="15">
        <f t="shared" si="158"/>
        <v>-0.25700000000000001</v>
      </c>
      <c r="HO51" s="15">
        <f t="shared" si="158"/>
        <v>-0.25700000000000001</v>
      </c>
      <c r="HP51" s="15">
        <f t="shared" si="158"/>
        <v>-0.25700000000000001</v>
      </c>
      <c r="HQ51" s="15">
        <f t="shared" si="158"/>
        <v>-0.25700000000000001</v>
      </c>
      <c r="HR51" s="15">
        <f t="shared" si="158"/>
        <v>-0.25700000000000001</v>
      </c>
      <c r="HS51" s="15">
        <f t="shared" si="158"/>
        <v>-0.25700000000000001</v>
      </c>
      <c r="HT51" s="15">
        <f t="shared" si="158"/>
        <v>-0.25700000000000001</v>
      </c>
      <c r="HU51" s="15">
        <f t="shared" si="158"/>
        <v>-0.25700000000000001</v>
      </c>
      <c r="HV51" s="15">
        <f t="shared" si="158"/>
        <v>-0.25700000000000001</v>
      </c>
      <c r="HW51" s="15">
        <f t="shared" si="158"/>
        <v>-0.25700000000000001</v>
      </c>
      <c r="HX51" s="15">
        <f t="shared" si="158"/>
        <v>-0.25700000000000001</v>
      </c>
      <c r="HY51" s="15">
        <f>ROUND(-0.256,10)</f>
        <v>-0.25600000000000001</v>
      </c>
      <c r="HZ51" s="15">
        <f>ROUND(-0.256,10)</f>
        <v>-0.25600000000000001</v>
      </c>
      <c r="IA51" s="15">
        <f>ROUND(-0.256,10)</f>
        <v>-0.25600000000000001</v>
      </c>
      <c r="IB51" s="15">
        <f>ROUND(-0.253,10)</f>
        <v>-0.253</v>
      </c>
      <c r="IC51" s="15">
        <f>ROUND(-0.251,10)</f>
        <v>-0.251</v>
      </c>
      <c r="ID51" s="15">
        <f>ROUND(-0.248,10)</f>
        <v>-0.248</v>
      </c>
      <c r="IE51" s="15">
        <f>ROUND(-0.247,10)</f>
        <v>-0.247</v>
      </c>
      <c r="IF51" s="15">
        <f>ROUND(-0.246,10)</f>
        <v>-0.246</v>
      </c>
      <c r="IG51" s="15">
        <f>ROUND(-0.246,10)</f>
        <v>-0.246</v>
      </c>
      <c r="IH51" s="15">
        <f>ROUND(-0.246,10)</f>
        <v>-0.246</v>
      </c>
      <c r="II51" s="15">
        <f>ROUND(-0.245,10)</f>
        <v>-0.245</v>
      </c>
      <c r="IJ51" s="15">
        <f>ROUND(-0.244,10)</f>
        <v>-0.24399999999999999</v>
      </c>
      <c r="IK51" s="15">
        <f>ROUND(-0.241,10)</f>
        <v>-0.24099999999999999</v>
      </c>
      <c r="IL51" s="15">
        <f>ROUND(-0.239,10)</f>
        <v>-0.23899999999999999</v>
      </c>
      <c r="IM51" s="15">
        <f>ROUND(-0.238,10)</f>
        <v>-0.23799999999999999</v>
      </c>
      <c r="IN51" s="15">
        <f>ROUND(-0.237,10)</f>
        <v>-0.23699999999999999</v>
      </c>
      <c r="IO51" s="15">
        <f>ROUND(-0.238,10)</f>
        <v>-0.23799999999999999</v>
      </c>
      <c r="IP51" s="15">
        <f>ROUND(-0.238,10)</f>
        <v>-0.23799999999999999</v>
      </c>
      <c r="IQ51" s="15">
        <f>ROUND(-0.238,10)</f>
        <v>-0.23799999999999999</v>
      </c>
      <c r="IR51" s="15">
        <f>ROUND(-0.238,10)</f>
        <v>-0.23799999999999999</v>
      </c>
      <c r="IS51" s="15">
        <f>ROUND(-0.237,10)</f>
        <v>-0.23699999999999999</v>
      </c>
      <c r="IT51" s="15">
        <f>ROUND(-0.237,10)</f>
        <v>-0.23699999999999999</v>
      </c>
      <c r="IU51" s="15">
        <f>ROUND(-0.236,10)</f>
        <v>-0.23599999999999999</v>
      </c>
      <c r="IV51" s="15">
        <f>ROUND(-0.237,10)</f>
        <v>-0.23699999999999999</v>
      </c>
    </row>
    <row r="52" spans="1:256">
      <c r="A52" s="6" t="s">
        <v>41</v>
      </c>
      <c r="B52" s="7">
        <f>ROUND(-0.217,10)</f>
        <v>-0.217</v>
      </c>
      <c r="C52" s="7">
        <f>ROUND(-0.219,10)</f>
        <v>-0.219</v>
      </c>
      <c r="D52" s="7">
        <f>ROUND(-0.22,10)</f>
        <v>-0.22</v>
      </c>
      <c r="E52" s="7">
        <f>ROUND(-0.219,10)</f>
        <v>-0.219</v>
      </c>
      <c r="F52" s="7">
        <f>ROUND(-0.22,10)</f>
        <v>-0.22</v>
      </c>
      <c r="G52" s="7">
        <f>ROUND(-0.219,10)</f>
        <v>-0.219</v>
      </c>
      <c r="H52" s="7">
        <f>ROUND(-0.22,10)</f>
        <v>-0.22</v>
      </c>
      <c r="I52" s="7">
        <f>ROUND(-0.217,10)</f>
        <v>-0.217</v>
      </c>
      <c r="J52" s="7">
        <f>ROUND(-0.216,10)</f>
        <v>-0.216</v>
      </c>
      <c r="K52" s="7">
        <f>ROUND(-0.221,10)</f>
        <v>-0.221</v>
      </c>
      <c r="L52" s="7">
        <f>ROUND(-0.222,10)</f>
        <v>-0.222</v>
      </c>
      <c r="M52" s="7">
        <f>ROUND(-0.223,10)</f>
        <v>-0.223</v>
      </c>
      <c r="N52" s="7">
        <f>ROUND(-0.223,10)</f>
        <v>-0.223</v>
      </c>
      <c r="O52" s="7">
        <f>ROUND(-0.223,10)</f>
        <v>-0.223</v>
      </c>
      <c r="P52" s="7">
        <f>ROUND(-0.222,10)</f>
        <v>-0.222</v>
      </c>
      <c r="Q52" s="7">
        <f>ROUND(-0.224,10)</f>
        <v>-0.224</v>
      </c>
      <c r="R52" s="7">
        <f>ROUND(-0.224,10)</f>
        <v>-0.224</v>
      </c>
      <c r="S52" s="7">
        <f>ROUND(-0.222,10)</f>
        <v>-0.222</v>
      </c>
      <c r="T52" s="7">
        <f>ROUND(-0.222,10)</f>
        <v>-0.222</v>
      </c>
      <c r="U52" s="7">
        <f>ROUND(-0.221,10)</f>
        <v>-0.221</v>
      </c>
      <c r="V52" s="7">
        <f t="shared" ref="V52:AB52" si="159">ROUND(-0.222,10)</f>
        <v>-0.222</v>
      </c>
      <c r="W52" s="7">
        <f t="shared" si="159"/>
        <v>-0.222</v>
      </c>
      <c r="X52" s="7">
        <f t="shared" si="159"/>
        <v>-0.222</v>
      </c>
      <c r="Y52" s="7">
        <f t="shared" si="159"/>
        <v>-0.222</v>
      </c>
      <c r="Z52" s="7">
        <f t="shared" si="159"/>
        <v>-0.222</v>
      </c>
      <c r="AA52" s="7">
        <f t="shared" si="159"/>
        <v>-0.222</v>
      </c>
      <c r="AB52" s="7">
        <f t="shared" si="159"/>
        <v>-0.222</v>
      </c>
      <c r="AC52" s="7">
        <f>ROUND(-0.221,10)</f>
        <v>-0.221</v>
      </c>
      <c r="AD52" s="7">
        <f>ROUND(-0.222,10)</f>
        <v>-0.222</v>
      </c>
      <c r="AE52" s="7">
        <f>ROUND(-0.222,10)</f>
        <v>-0.222</v>
      </c>
      <c r="AF52" s="7">
        <f>ROUND(-0.222,10)</f>
        <v>-0.222</v>
      </c>
      <c r="AG52" s="7">
        <f>ROUND(-0.222,10)</f>
        <v>-0.222</v>
      </c>
      <c r="AH52" s="7">
        <f>ROUND(-0.221,10)</f>
        <v>-0.221</v>
      </c>
      <c r="AI52" s="7">
        <f>ROUND(-0.221,10)</f>
        <v>-0.221</v>
      </c>
      <c r="AJ52" s="7">
        <f>ROUND(-0.219,10)</f>
        <v>-0.219</v>
      </c>
      <c r="AK52" s="7">
        <f>ROUND(-0.221,10)</f>
        <v>-0.221</v>
      </c>
      <c r="AL52" s="7">
        <f>ROUND(-0.221,10)</f>
        <v>-0.221</v>
      </c>
      <c r="AM52" s="7">
        <f>ROUND(-0.221,10)</f>
        <v>-0.221</v>
      </c>
      <c r="AN52" s="7">
        <f>ROUND(-0.221,10)</f>
        <v>-0.221</v>
      </c>
      <c r="AO52" s="7">
        <f>ROUND(-0.222,10)</f>
        <v>-0.222</v>
      </c>
      <c r="AP52" s="7">
        <f>ROUND(-0.222,10)</f>
        <v>-0.222</v>
      </c>
      <c r="AQ52" s="7">
        <f>ROUND(-0.222,10)</f>
        <v>-0.222</v>
      </c>
      <c r="AR52" s="7">
        <f>ROUND(-0.221,10)</f>
        <v>-0.221</v>
      </c>
      <c r="AS52" s="7">
        <f>ROUND(-0.222,10)</f>
        <v>-0.222</v>
      </c>
      <c r="AT52" s="7">
        <f>ROUND(-0.223,10)</f>
        <v>-0.223</v>
      </c>
      <c r="AU52" s="7">
        <f>ROUND(-0.222,10)</f>
        <v>-0.222</v>
      </c>
      <c r="AV52" s="7">
        <f>ROUND(-0.223,10)</f>
        <v>-0.223</v>
      </c>
      <c r="AW52" s="7">
        <f>ROUND(-0.223,10)</f>
        <v>-0.223</v>
      </c>
      <c r="AX52" s="7">
        <f>ROUND(-0.223,10)</f>
        <v>-0.223</v>
      </c>
      <c r="AY52" s="7">
        <f>ROUND(-0.222,10)</f>
        <v>-0.222</v>
      </c>
      <c r="AZ52" s="7">
        <f>ROUND(-0.223,10)</f>
        <v>-0.223</v>
      </c>
      <c r="BA52" s="7">
        <f>ROUND(-0.223,10)</f>
        <v>-0.223</v>
      </c>
      <c r="BB52" s="7">
        <f>ROUND(-0.221,10)</f>
        <v>-0.221</v>
      </c>
      <c r="BC52" s="7">
        <f>ROUND(-0.222,10)</f>
        <v>-0.222</v>
      </c>
      <c r="BD52" s="7">
        <f>ROUND(-0.223,10)</f>
        <v>-0.223</v>
      </c>
      <c r="BE52" s="7">
        <f>ROUND(-0.223,10)</f>
        <v>-0.223</v>
      </c>
      <c r="BF52" s="7">
        <f>ROUND(-0.221,10)</f>
        <v>-0.221</v>
      </c>
      <c r="BG52" s="7">
        <f>ROUND(-0.221,10)</f>
        <v>-0.221</v>
      </c>
      <c r="BH52" s="7">
        <f>ROUND(-0.221,10)</f>
        <v>-0.221</v>
      </c>
      <c r="BI52" s="7">
        <f>ROUND(-0.22,10)</f>
        <v>-0.22</v>
      </c>
      <c r="BJ52" s="7">
        <f>ROUND(-0.221,10)</f>
        <v>-0.221</v>
      </c>
      <c r="BK52" s="7">
        <f>ROUND(-0.221,10)</f>
        <v>-0.221</v>
      </c>
      <c r="BL52" s="7">
        <f>ROUND(-0.22,10)</f>
        <v>-0.22</v>
      </c>
      <c r="BM52" s="7">
        <f>ROUND(-0.22,10)</f>
        <v>-0.22</v>
      </c>
      <c r="BN52" s="7">
        <f>ROUND(-0.221,10)</f>
        <v>-0.221</v>
      </c>
      <c r="BO52" s="7">
        <f>ROUND(-0.221,10)</f>
        <v>-0.221</v>
      </c>
      <c r="BP52" s="7">
        <f>ROUND(-0.221,10)</f>
        <v>-0.221</v>
      </c>
      <c r="BQ52" s="7">
        <f>ROUND(-0.221,10)</f>
        <v>-0.221</v>
      </c>
      <c r="BR52" s="7">
        <f>ROUND(-0.22,10)</f>
        <v>-0.22</v>
      </c>
      <c r="BS52" s="7">
        <f t="shared" ref="BS52:BY52" si="160">ROUND(-0.219,10)</f>
        <v>-0.219</v>
      </c>
      <c r="BT52" s="7">
        <f t="shared" si="160"/>
        <v>-0.219</v>
      </c>
      <c r="BU52" s="7">
        <f t="shared" si="160"/>
        <v>-0.219</v>
      </c>
      <c r="BV52" s="7">
        <f t="shared" si="160"/>
        <v>-0.219</v>
      </c>
      <c r="BW52" s="7">
        <f t="shared" si="160"/>
        <v>-0.219</v>
      </c>
      <c r="BX52" s="7">
        <f t="shared" si="160"/>
        <v>-0.219</v>
      </c>
      <c r="BY52" s="7">
        <f t="shared" si="160"/>
        <v>-0.219</v>
      </c>
      <c r="BZ52" s="7">
        <f>ROUND(-0.22,10)</f>
        <v>-0.22</v>
      </c>
      <c r="CA52" s="7">
        <f>ROUND(-0.219,10)</f>
        <v>-0.219</v>
      </c>
      <c r="CB52" s="7">
        <f>ROUND(-0.219,10)</f>
        <v>-0.219</v>
      </c>
      <c r="CC52" s="7">
        <f>ROUND(-0.219,10)</f>
        <v>-0.219</v>
      </c>
      <c r="CD52" s="7">
        <f>ROUND(-0.22,10)</f>
        <v>-0.22</v>
      </c>
      <c r="CE52" s="7">
        <f>ROUND(-0.219,10)</f>
        <v>-0.219</v>
      </c>
      <c r="CF52" s="7">
        <f>ROUND(-0.22,10)</f>
        <v>-0.22</v>
      </c>
      <c r="CG52" s="7">
        <f t="shared" ref="CG52:CN52" si="161">ROUND(-0.219,10)</f>
        <v>-0.219</v>
      </c>
      <c r="CH52" s="7">
        <f t="shared" si="161"/>
        <v>-0.219</v>
      </c>
      <c r="CI52" s="7">
        <f t="shared" si="161"/>
        <v>-0.219</v>
      </c>
      <c r="CJ52" s="7">
        <f t="shared" si="161"/>
        <v>-0.219</v>
      </c>
      <c r="CK52" s="7">
        <f t="shared" si="161"/>
        <v>-0.219</v>
      </c>
      <c r="CL52" s="7">
        <f t="shared" si="161"/>
        <v>-0.219</v>
      </c>
      <c r="CM52" s="7">
        <f t="shared" si="161"/>
        <v>-0.219</v>
      </c>
      <c r="CN52" s="7">
        <f t="shared" si="161"/>
        <v>-0.219</v>
      </c>
      <c r="CO52" s="7">
        <f>ROUND(-0.22,10)</f>
        <v>-0.22</v>
      </c>
      <c r="CP52" s="7">
        <f>ROUND(-0.219,10)</f>
        <v>-0.219</v>
      </c>
      <c r="CQ52" s="7">
        <f>ROUND(-0.219,10)</f>
        <v>-0.219</v>
      </c>
      <c r="CR52" s="7">
        <f>ROUND(-0.217,10)</f>
        <v>-0.217</v>
      </c>
      <c r="CS52" s="7">
        <f>ROUND(-0.218,10)</f>
        <v>-0.218</v>
      </c>
      <c r="CT52" s="7">
        <f>ROUND(-0.217,10)</f>
        <v>-0.217</v>
      </c>
      <c r="CU52" s="7">
        <f>ROUND(-0.217,10)</f>
        <v>-0.217</v>
      </c>
      <c r="CV52" s="7">
        <f>ROUND(-0.218,10)</f>
        <v>-0.218</v>
      </c>
      <c r="CW52" s="7">
        <f>ROUND(-0.217,10)</f>
        <v>-0.217</v>
      </c>
      <c r="CX52" s="7">
        <f>ROUND(-0.217,10)</f>
        <v>-0.217</v>
      </c>
      <c r="CY52" s="7">
        <f>ROUND(-0.216,10)</f>
        <v>-0.216</v>
      </c>
      <c r="CZ52" s="7">
        <f>ROUND(-0.214,10)</f>
        <v>-0.214</v>
      </c>
      <c r="DA52" s="7">
        <f>ROUND(-0.213,10)</f>
        <v>-0.21299999999999999</v>
      </c>
      <c r="DB52" s="7">
        <f>ROUND(-0.213,10)</f>
        <v>-0.21299999999999999</v>
      </c>
      <c r="DC52" s="7">
        <f>ROUND(-0.213,10)</f>
        <v>-0.21299999999999999</v>
      </c>
      <c r="DD52" s="7">
        <f>ROUND(-0.213,10)</f>
        <v>-0.21299999999999999</v>
      </c>
      <c r="DE52" s="7">
        <f>ROUND(-0.212,10)</f>
        <v>-0.21199999999999999</v>
      </c>
      <c r="DF52" s="7">
        <f>ROUND(-0.21,10)</f>
        <v>-0.21</v>
      </c>
      <c r="DG52" s="7">
        <f>ROUND(-0.212,10)</f>
        <v>-0.21199999999999999</v>
      </c>
      <c r="DH52" s="7">
        <f>ROUND(-0.211,10)</f>
        <v>-0.21099999999999999</v>
      </c>
      <c r="DI52" s="7">
        <f>ROUND(-0.212,10)</f>
        <v>-0.21199999999999999</v>
      </c>
      <c r="DJ52" s="7">
        <f>ROUND(-0.211,10)</f>
        <v>-0.21099999999999999</v>
      </c>
      <c r="DK52" s="7">
        <f>ROUND(-0.212,10)</f>
        <v>-0.21199999999999999</v>
      </c>
      <c r="DL52" s="7">
        <f>ROUND(-0.212,10)</f>
        <v>-0.21199999999999999</v>
      </c>
      <c r="DM52" s="7">
        <f>ROUND(-0.214,10)</f>
        <v>-0.214</v>
      </c>
      <c r="DN52" s="7">
        <f>ROUND(-0.215,10)</f>
        <v>-0.215</v>
      </c>
      <c r="DO52" s="7">
        <f>ROUND(-0.214,10)</f>
        <v>-0.214</v>
      </c>
      <c r="DP52" s="7">
        <f>ROUND(-0.213,10)</f>
        <v>-0.21299999999999999</v>
      </c>
      <c r="DQ52" s="7">
        <f t="shared" ref="DQ52:DW52" si="162">ROUND(-0.214,10)</f>
        <v>-0.214</v>
      </c>
      <c r="DR52" s="7">
        <f t="shared" si="162"/>
        <v>-0.214</v>
      </c>
      <c r="DS52" s="7">
        <f t="shared" si="162"/>
        <v>-0.214</v>
      </c>
      <c r="DT52" s="7">
        <f t="shared" si="162"/>
        <v>-0.214</v>
      </c>
      <c r="DU52" s="7">
        <f t="shared" si="162"/>
        <v>-0.214</v>
      </c>
      <c r="DV52" s="7">
        <f t="shared" si="162"/>
        <v>-0.214</v>
      </c>
      <c r="DW52" s="7">
        <f t="shared" si="162"/>
        <v>-0.214</v>
      </c>
      <c r="DX52" s="7">
        <f>ROUND(-0.216,10)</f>
        <v>-0.216</v>
      </c>
      <c r="DY52" s="7">
        <f>ROUND(-0.216,10)</f>
        <v>-0.216</v>
      </c>
      <c r="DZ52" s="7">
        <f>ROUND(-0.218,10)</f>
        <v>-0.218</v>
      </c>
      <c r="EA52" s="7">
        <f>ROUND(-0.218,10)</f>
        <v>-0.218</v>
      </c>
      <c r="EB52" s="7">
        <f>ROUND(-0.218,10)</f>
        <v>-0.218</v>
      </c>
      <c r="EC52" s="7">
        <f>ROUND(-0.218,10)</f>
        <v>-0.218</v>
      </c>
      <c r="ED52" s="7">
        <f>ROUND(-0.217,10)</f>
        <v>-0.217</v>
      </c>
      <c r="EE52" s="7">
        <f>ROUND(-0.217,10)</f>
        <v>-0.217</v>
      </c>
      <c r="EF52" s="7">
        <f>ROUND(-0.216,10)</f>
        <v>-0.216</v>
      </c>
      <c r="EG52" s="7">
        <f>ROUND(-0.218,10)</f>
        <v>-0.218</v>
      </c>
      <c r="EH52" s="7">
        <f t="shared" ref="EH52:EM52" si="163">ROUND(-0.216,10)</f>
        <v>-0.216</v>
      </c>
      <c r="EI52" s="7">
        <f t="shared" si="163"/>
        <v>-0.216</v>
      </c>
      <c r="EJ52" s="7">
        <f t="shared" si="163"/>
        <v>-0.216</v>
      </c>
      <c r="EK52" s="7">
        <f t="shared" si="163"/>
        <v>-0.216</v>
      </c>
      <c r="EL52" s="7">
        <f t="shared" si="163"/>
        <v>-0.216</v>
      </c>
      <c r="EM52" s="7">
        <f t="shared" si="163"/>
        <v>-0.216</v>
      </c>
      <c r="EN52" s="7">
        <f>ROUND(-0.217,10)</f>
        <v>-0.217</v>
      </c>
      <c r="EO52" s="7">
        <f>ROUND(-0.217,10)</f>
        <v>-0.217</v>
      </c>
      <c r="EP52" s="7">
        <f>ROUND(-0.217,10)</f>
        <v>-0.217</v>
      </c>
      <c r="EQ52" s="7">
        <f>ROUND(-0.216,10)</f>
        <v>-0.216</v>
      </c>
      <c r="ER52" s="7">
        <f>ROUND(-0.217,10)</f>
        <v>-0.217</v>
      </c>
      <c r="ES52" s="7">
        <f>ROUND(-0.217,10)</f>
        <v>-0.217</v>
      </c>
      <c r="ET52" s="7">
        <f>ROUND(-0.217,10)</f>
        <v>-0.217</v>
      </c>
      <c r="EU52" s="7">
        <f>ROUND(-0.217,10)</f>
        <v>-0.217</v>
      </c>
      <c r="EV52" s="7">
        <f>ROUND(-0.217,10)</f>
        <v>-0.217</v>
      </c>
      <c r="EW52" s="7">
        <f>ROUND(-0.216,10)</f>
        <v>-0.216</v>
      </c>
      <c r="EX52" s="7">
        <f>ROUND(-0.216,10)</f>
        <v>-0.216</v>
      </c>
      <c r="EY52" s="7">
        <f>ROUND(-0.215,10)</f>
        <v>-0.215</v>
      </c>
      <c r="EZ52" s="7">
        <f>ROUND(-0.213,10)</f>
        <v>-0.21299999999999999</v>
      </c>
      <c r="FA52" s="7">
        <f>ROUND(-0.211,10)</f>
        <v>-0.21099999999999999</v>
      </c>
      <c r="FB52" s="7">
        <f>ROUND(-0.21,10)</f>
        <v>-0.21</v>
      </c>
      <c r="FC52" s="7">
        <f>ROUND(-0.207,10)</f>
        <v>-0.20699999999999999</v>
      </c>
      <c r="FD52" s="7">
        <f>ROUND(-0.207,10)</f>
        <v>-0.20699999999999999</v>
      </c>
      <c r="FE52" s="7">
        <f>ROUND(-0.206,10)</f>
        <v>-0.20599999999999999</v>
      </c>
      <c r="FF52" s="7">
        <f>ROUND(-0.207,10)</f>
        <v>-0.20699999999999999</v>
      </c>
      <c r="FG52" s="7">
        <f t="shared" ref="FG52:FL52" si="164">ROUND(-0.206,10)</f>
        <v>-0.20599999999999999</v>
      </c>
      <c r="FH52" s="7">
        <f t="shared" si="164"/>
        <v>-0.20599999999999999</v>
      </c>
      <c r="FI52" s="7">
        <f t="shared" si="164"/>
        <v>-0.20599999999999999</v>
      </c>
      <c r="FJ52" s="7">
        <f t="shared" si="164"/>
        <v>-0.20599999999999999</v>
      </c>
      <c r="FK52" s="7">
        <f t="shared" si="164"/>
        <v>-0.20599999999999999</v>
      </c>
      <c r="FL52" s="7">
        <f t="shared" si="164"/>
        <v>-0.20599999999999999</v>
      </c>
      <c r="FM52" s="7">
        <f>ROUND(-0.207,10)</f>
        <v>-0.20699999999999999</v>
      </c>
      <c r="FN52" s="7">
        <f>ROUND(-0.206,10)</f>
        <v>-0.20599999999999999</v>
      </c>
      <c r="FO52" s="7">
        <f>ROUND(-0.207,10)</f>
        <v>-0.20699999999999999</v>
      </c>
      <c r="FP52" s="7">
        <f>ROUND(-0.208,10)</f>
        <v>-0.20799999999999999</v>
      </c>
      <c r="FQ52" s="7">
        <f>ROUND(-0.207,10)</f>
        <v>-0.20699999999999999</v>
      </c>
      <c r="FR52" s="7">
        <f>ROUND(-0.207,10)</f>
        <v>-0.20699999999999999</v>
      </c>
      <c r="FS52" s="7">
        <f>ROUND(-0.208,10)</f>
        <v>-0.20799999999999999</v>
      </c>
      <c r="FT52" s="7">
        <f t="shared" ref="FT52:GA52" si="165">ROUND(-0.207,10)</f>
        <v>-0.20699999999999999</v>
      </c>
      <c r="FU52" s="7">
        <f t="shared" si="165"/>
        <v>-0.20699999999999999</v>
      </c>
      <c r="FV52" s="7">
        <f t="shared" si="165"/>
        <v>-0.20699999999999999</v>
      </c>
      <c r="FW52" s="7">
        <f t="shared" si="165"/>
        <v>-0.20699999999999999</v>
      </c>
      <c r="FX52" s="7">
        <f t="shared" si="165"/>
        <v>-0.20699999999999999</v>
      </c>
      <c r="FY52" s="7">
        <f t="shared" si="165"/>
        <v>-0.20699999999999999</v>
      </c>
      <c r="FZ52" s="7">
        <f t="shared" si="165"/>
        <v>-0.20699999999999999</v>
      </c>
      <c r="GA52" s="7">
        <f t="shared" si="165"/>
        <v>-0.20699999999999999</v>
      </c>
      <c r="GB52" s="7">
        <f>ROUND(-0.206,10)</f>
        <v>-0.20599999999999999</v>
      </c>
      <c r="GC52" s="7">
        <f>ROUND(-0.209,10)</f>
        <v>-0.20899999999999999</v>
      </c>
      <c r="GD52" s="7">
        <f>ROUND(-0.209,10)</f>
        <v>-0.20899999999999999</v>
      </c>
      <c r="GE52" s="7">
        <f>ROUND(-0.208,10)</f>
        <v>-0.20799999999999999</v>
      </c>
      <c r="GF52" s="7">
        <f>ROUND(-0.208,10)</f>
        <v>-0.20799999999999999</v>
      </c>
      <c r="GG52" s="7">
        <f>ROUND(-0.207,10)</f>
        <v>-0.20699999999999999</v>
      </c>
      <c r="GH52" s="7">
        <f>ROUND(-0.208,10)</f>
        <v>-0.20799999999999999</v>
      </c>
      <c r="GI52" s="7">
        <f>ROUND(-0.208,10)</f>
        <v>-0.20799999999999999</v>
      </c>
      <c r="GJ52" s="7">
        <f>ROUND(-0.208,10)</f>
        <v>-0.20799999999999999</v>
      </c>
      <c r="GK52" s="7">
        <f>ROUND(-0.207,10)</f>
        <v>-0.20699999999999999</v>
      </c>
      <c r="GL52" s="7">
        <f>ROUND(-0.208,10)</f>
        <v>-0.20799999999999999</v>
      </c>
      <c r="GM52" s="7">
        <f>ROUND(-0.208,10)</f>
        <v>-0.20799999999999999</v>
      </c>
      <c r="GN52" s="7">
        <f>ROUND(-0.208,10)</f>
        <v>-0.20799999999999999</v>
      </c>
      <c r="GO52" s="7">
        <f>ROUND(-0.208,10)</f>
        <v>-0.20799999999999999</v>
      </c>
      <c r="GP52" s="7">
        <f>ROUND(-0.208,10)</f>
        <v>-0.20799999999999999</v>
      </c>
      <c r="GQ52" s="7">
        <f>ROUND(-0.207,10)</f>
        <v>-0.20699999999999999</v>
      </c>
      <c r="GR52" s="7">
        <f>ROUND(-0.206,10)</f>
        <v>-0.20599999999999999</v>
      </c>
      <c r="GS52" s="7">
        <f>ROUND(-0.207,10)</f>
        <v>-0.20699999999999999</v>
      </c>
      <c r="GT52" s="7">
        <f>ROUND(-0.207,10)</f>
        <v>-0.20699999999999999</v>
      </c>
      <c r="GU52" s="7">
        <f>ROUND(-0.206,10)</f>
        <v>-0.20599999999999999</v>
      </c>
      <c r="GV52" s="7">
        <f>ROUND(-0.205,10)</f>
        <v>-0.20499999999999999</v>
      </c>
      <c r="GW52" s="7">
        <f>ROUND(-0.206,10)</f>
        <v>-0.20599999999999999</v>
      </c>
      <c r="GX52" s="7">
        <f>ROUND(-0.205,10)</f>
        <v>-0.20499999999999999</v>
      </c>
      <c r="GY52" s="7">
        <f>ROUND(-0.203,10)</f>
        <v>-0.20300000000000001</v>
      </c>
      <c r="GZ52" s="7">
        <f>ROUND(-0.2,10)</f>
        <v>-0.2</v>
      </c>
      <c r="HA52" s="7">
        <f>ROUND(-0.199,10)</f>
        <v>-0.19900000000000001</v>
      </c>
      <c r="HB52" s="7">
        <f>ROUND(-0.198,10)</f>
        <v>-0.19800000000000001</v>
      </c>
      <c r="HC52" s="7">
        <f>ROUND(-0.198,10)</f>
        <v>-0.19800000000000001</v>
      </c>
      <c r="HD52" s="7">
        <f>ROUND(-0.198,10)</f>
        <v>-0.19800000000000001</v>
      </c>
      <c r="HE52" s="7">
        <f>ROUND(-0.199,10)</f>
        <v>-0.19900000000000001</v>
      </c>
      <c r="HF52" s="7">
        <f>ROUND(-0.198,10)</f>
        <v>-0.19800000000000001</v>
      </c>
      <c r="HG52" s="7">
        <f>ROUND(-0.198,10)</f>
        <v>-0.19800000000000001</v>
      </c>
      <c r="HH52" s="7">
        <f>ROUND(-0.197,10)</f>
        <v>-0.19700000000000001</v>
      </c>
      <c r="HI52" s="7">
        <f>ROUND(-0.197,10)</f>
        <v>-0.19700000000000001</v>
      </c>
      <c r="HJ52" s="7">
        <f>ROUND(-0.196,10)</f>
        <v>-0.19600000000000001</v>
      </c>
      <c r="HK52" s="7">
        <f>ROUND(-0.197,10)</f>
        <v>-0.19700000000000001</v>
      </c>
      <c r="HL52" s="7">
        <f>ROUND(-0.197,10)</f>
        <v>-0.19700000000000001</v>
      </c>
      <c r="HM52" s="7">
        <f t="shared" ref="HM52:IA52" si="166">ROUND(-0.196,10)</f>
        <v>-0.19600000000000001</v>
      </c>
      <c r="HN52" s="7">
        <f t="shared" si="166"/>
        <v>-0.19600000000000001</v>
      </c>
      <c r="HO52" s="7">
        <f t="shared" si="166"/>
        <v>-0.19600000000000001</v>
      </c>
      <c r="HP52" s="7">
        <f t="shared" si="166"/>
        <v>-0.19600000000000001</v>
      </c>
      <c r="HQ52" s="7">
        <f t="shared" si="166"/>
        <v>-0.19600000000000001</v>
      </c>
      <c r="HR52" s="7">
        <f t="shared" si="166"/>
        <v>-0.19600000000000001</v>
      </c>
      <c r="HS52" s="7">
        <f t="shared" si="166"/>
        <v>-0.19600000000000001</v>
      </c>
      <c r="HT52" s="7">
        <f t="shared" si="166"/>
        <v>-0.19600000000000001</v>
      </c>
      <c r="HU52" s="7">
        <f t="shared" si="166"/>
        <v>-0.19600000000000001</v>
      </c>
      <c r="HV52" s="7">
        <f t="shared" si="166"/>
        <v>-0.19600000000000001</v>
      </c>
      <c r="HW52" s="7">
        <f t="shared" si="166"/>
        <v>-0.19600000000000001</v>
      </c>
      <c r="HX52" s="7">
        <f t="shared" si="166"/>
        <v>-0.19600000000000001</v>
      </c>
      <c r="HY52" s="7">
        <f t="shared" si="166"/>
        <v>-0.19600000000000001</v>
      </c>
      <c r="HZ52" s="7">
        <f t="shared" si="166"/>
        <v>-0.19600000000000001</v>
      </c>
      <c r="IA52" s="7">
        <f t="shared" si="166"/>
        <v>-0.19600000000000001</v>
      </c>
      <c r="IB52" s="7">
        <f>ROUND(-0.195,10)</f>
        <v>-0.19500000000000001</v>
      </c>
      <c r="IC52" s="7">
        <f>ROUND(-0.194,10)</f>
        <v>-0.19400000000000001</v>
      </c>
      <c r="ID52" s="6"/>
      <c r="IE52" s="6"/>
      <c r="IF52" s="6"/>
      <c r="IG52" s="6"/>
      <c r="IH52" s="6"/>
      <c r="II52" s="6"/>
      <c r="IJ52" s="6"/>
      <c r="IK52" s="6"/>
      <c r="IL52" s="6"/>
      <c r="IM52" s="6"/>
      <c r="IN52" s="6"/>
      <c r="IO52" s="6"/>
      <c r="IP52" s="6"/>
      <c r="IQ52" s="6"/>
      <c r="IR52" s="6"/>
      <c r="IS52" s="6"/>
      <c r="IT52" s="6"/>
      <c r="IU52" s="6"/>
      <c r="IV52" s="6"/>
    </row>
    <row r="53" spans="1:256">
      <c r="A53" s="6" t="s">
        <v>42</v>
      </c>
      <c r="B53" s="7">
        <f>ROUND(-0.186,10)</f>
        <v>-0.186</v>
      </c>
      <c r="C53" s="7">
        <f>ROUND(-0.187,10)</f>
        <v>-0.187</v>
      </c>
      <c r="D53" s="7">
        <f>ROUND(-0.187,10)</f>
        <v>-0.187</v>
      </c>
      <c r="E53" s="7">
        <f>ROUND(-0.187,10)</f>
        <v>-0.187</v>
      </c>
      <c r="F53" s="7">
        <f>ROUND(-0.187,10)</f>
        <v>-0.187</v>
      </c>
      <c r="G53" s="7">
        <f>ROUND(-0.187,10)</f>
        <v>-0.187</v>
      </c>
      <c r="H53" s="7">
        <f>ROUND(-0.186,10)</f>
        <v>-0.186</v>
      </c>
      <c r="I53" s="7">
        <f>ROUND(-0.188,10)</f>
        <v>-0.188</v>
      </c>
      <c r="J53" s="7">
        <f>ROUND(-0.186,10)</f>
        <v>-0.186</v>
      </c>
      <c r="K53" s="7">
        <f>ROUND(-0.187,10)</f>
        <v>-0.187</v>
      </c>
      <c r="L53" s="7">
        <f>ROUND(-0.186,10)</f>
        <v>-0.186</v>
      </c>
      <c r="M53" s="7">
        <f>ROUND(-0.186,10)</f>
        <v>-0.186</v>
      </c>
      <c r="N53" s="7">
        <f>ROUND(-0.191,10)</f>
        <v>-0.191</v>
      </c>
      <c r="O53" s="7">
        <f>ROUND(-0.191,10)</f>
        <v>-0.191</v>
      </c>
      <c r="P53" s="7">
        <f>ROUND(-0.191,10)</f>
        <v>-0.191</v>
      </c>
      <c r="Q53" s="7">
        <f>ROUND(-0.191,10)</f>
        <v>-0.191</v>
      </c>
      <c r="R53" s="7">
        <f>ROUND(-0.192,10)</f>
        <v>-0.192</v>
      </c>
      <c r="S53" s="7">
        <f t="shared" ref="S53:AF53" si="167">ROUND(-0.191,10)</f>
        <v>-0.191</v>
      </c>
      <c r="T53" s="7">
        <f t="shared" si="167"/>
        <v>-0.191</v>
      </c>
      <c r="U53" s="7">
        <f t="shared" si="167"/>
        <v>-0.191</v>
      </c>
      <c r="V53" s="7">
        <f t="shared" si="167"/>
        <v>-0.191</v>
      </c>
      <c r="W53" s="7">
        <f t="shared" si="167"/>
        <v>-0.191</v>
      </c>
      <c r="X53" s="7">
        <f t="shared" si="167"/>
        <v>-0.191</v>
      </c>
      <c r="Y53" s="7">
        <f t="shared" si="167"/>
        <v>-0.191</v>
      </c>
      <c r="Z53" s="7">
        <f t="shared" si="167"/>
        <v>-0.191</v>
      </c>
      <c r="AA53" s="7">
        <f t="shared" si="167"/>
        <v>-0.191</v>
      </c>
      <c r="AB53" s="7">
        <f t="shared" si="167"/>
        <v>-0.191</v>
      </c>
      <c r="AC53" s="7">
        <f t="shared" si="167"/>
        <v>-0.191</v>
      </c>
      <c r="AD53" s="7">
        <f t="shared" si="167"/>
        <v>-0.191</v>
      </c>
      <c r="AE53" s="7">
        <f t="shared" si="167"/>
        <v>-0.191</v>
      </c>
      <c r="AF53" s="7">
        <f t="shared" si="167"/>
        <v>-0.191</v>
      </c>
      <c r="AG53" s="7">
        <f>ROUND(-0.192,10)</f>
        <v>-0.192</v>
      </c>
      <c r="AH53" s="7">
        <f>ROUND(-0.191,10)</f>
        <v>-0.191</v>
      </c>
      <c r="AI53" s="7">
        <f>ROUND(-0.192,10)</f>
        <v>-0.192</v>
      </c>
      <c r="AJ53" s="7">
        <f>ROUND(-0.193,10)</f>
        <v>-0.193</v>
      </c>
      <c r="AK53" s="7">
        <f>ROUND(-0.193,10)</f>
        <v>-0.193</v>
      </c>
      <c r="AL53" s="7">
        <f>ROUND(-0.191,10)</f>
        <v>-0.191</v>
      </c>
      <c r="AM53" s="7">
        <f>ROUND(-0.191,10)</f>
        <v>-0.191</v>
      </c>
      <c r="AN53" s="7">
        <f>ROUND(-0.191,10)</f>
        <v>-0.191</v>
      </c>
      <c r="AO53" s="7">
        <f>ROUND(-0.19,10)</f>
        <v>-0.19</v>
      </c>
      <c r="AP53" s="7">
        <f t="shared" ref="AP53:BB53" si="168">ROUND(-0.191,10)</f>
        <v>-0.191</v>
      </c>
      <c r="AQ53" s="7">
        <f t="shared" si="168"/>
        <v>-0.191</v>
      </c>
      <c r="AR53" s="7">
        <f t="shared" si="168"/>
        <v>-0.191</v>
      </c>
      <c r="AS53" s="7">
        <f t="shared" si="168"/>
        <v>-0.191</v>
      </c>
      <c r="AT53" s="7">
        <f t="shared" si="168"/>
        <v>-0.191</v>
      </c>
      <c r="AU53" s="7">
        <f t="shared" si="168"/>
        <v>-0.191</v>
      </c>
      <c r="AV53" s="7">
        <f t="shared" si="168"/>
        <v>-0.191</v>
      </c>
      <c r="AW53" s="7">
        <f t="shared" si="168"/>
        <v>-0.191</v>
      </c>
      <c r="AX53" s="7">
        <f t="shared" si="168"/>
        <v>-0.191</v>
      </c>
      <c r="AY53" s="7">
        <f t="shared" si="168"/>
        <v>-0.191</v>
      </c>
      <c r="AZ53" s="7">
        <f t="shared" si="168"/>
        <v>-0.191</v>
      </c>
      <c r="BA53" s="7">
        <f t="shared" si="168"/>
        <v>-0.191</v>
      </c>
      <c r="BB53" s="7">
        <f t="shared" si="168"/>
        <v>-0.191</v>
      </c>
      <c r="BC53" s="7">
        <f>ROUND(-0.192,10)</f>
        <v>-0.192</v>
      </c>
      <c r="BD53" s="7">
        <f>ROUND(-0.192,10)</f>
        <v>-0.192</v>
      </c>
      <c r="BE53" s="7">
        <f>ROUND(-0.191,10)</f>
        <v>-0.191</v>
      </c>
      <c r="BF53" s="7">
        <f>ROUND(-0.191,10)</f>
        <v>-0.191</v>
      </c>
      <c r="BG53" s="7">
        <f>ROUND(-0.191,10)</f>
        <v>-0.191</v>
      </c>
      <c r="BH53" s="7">
        <f>ROUND(-0.19,10)</f>
        <v>-0.19</v>
      </c>
      <c r="BI53" s="7">
        <f>ROUND(-0.191,10)</f>
        <v>-0.191</v>
      </c>
      <c r="BJ53" s="7">
        <f>ROUND(-0.191,10)</f>
        <v>-0.191</v>
      </c>
      <c r="BK53" s="7">
        <f>ROUND(-0.191,10)</f>
        <v>-0.191</v>
      </c>
      <c r="BL53" s="7">
        <f>ROUND(-0.19,10)</f>
        <v>-0.19</v>
      </c>
      <c r="BM53" s="7">
        <f>ROUND(-0.19,10)</f>
        <v>-0.19</v>
      </c>
      <c r="BN53" s="7">
        <f>ROUND(-0.19,10)</f>
        <v>-0.19</v>
      </c>
      <c r="BO53" s="7">
        <f>ROUND(-0.191,10)</f>
        <v>-0.191</v>
      </c>
      <c r="BP53" s="7">
        <f>ROUND(-0.191,10)</f>
        <v>-0.191</v>
      </c>
      <c r="BQ53" s="7">
        <f>ROUND(-0.191,10)</f>
        <v>-0.191</v>
      </c>
      <c r="BR53" s="7">
        <f>ROUND(-0.191,10)</f>
        <v>-0.191</v>
      </c>
      <c r="BS53" s="7">
        <f>ROUND(-0.19,10)</f>
        <v>-0.19</v>
      </c>
      <c r="BT53" s="7">
        <f>ROUND(-0.191,10)</f>
        <v>-0.191</v>
      </c>
      <c r="BU53" s="7">
        <f>ROUND(-0.19,10)</f>
        <v>-0.19</v>
      </c>
      <c r="BV53" s="7">
        <f t="shared" ref="BV53:CH53" si="169">ROUND(-0.189,10)</f>
        <v>-0.189</v>
      </c>
      <c r="BW53" s="7">
        <f t="shared" si="169"/>
        <v>-0.189</v>
      </c>
      <c r="BX53" s="7">
        <f t="shared" si="169"/>
        <v>-0.189</v>
      </c>
      <c r="BY53" s="7">
        <f t="shared" si="169"/>
        <v>-0.189</v>
      </c>
      <c r="BZ53" s="7">
        <f t="shared" si="169"/>
        <v>-0.189</v>
      </c>
      <c r="CA53" s="7">
        <f t="shared" si="169"/>
        <v>-0.189</v>
      </c>
      <c r="CB53" s="7">
        <f t="shared" si="169"/>
        <v>-0.189</v>
      </c>
      <c r="CC53" s="7">
        <f t="shared" si="169"/>
        <v>-0.189</v>
      </c>
      <c r="CD53" s="7">
        <f t="shared" si="169"/>
        <v>-0.189</v>
      </c>
      <c r="CE53" s="7">
        <f t="shared" si="169"/>
        <v>-0.189</v>
      </c>
      <c r="CF53" s="7">
        <f t="shared" si="169"/>
        <v>-0.189</v>
      </c>
      <c r="CG53" s="7">
        <f t="shared" si="169"/>
        <v>-0.189</v>
      </c>
      <c r="CH53" s="7">
        <f t="shared" si="169"/>
        <v>-0.189</v>
      </c>
      <c r="CI53" s="7">
        <f>ROUND(-0.19,10)</f>
        <v>-0.19</v>
      </c>
      <c r="CJ53" s="7">
        <f>ROUND(-0.189,10)</f>
        <v>-0.189</v>
      </c>
      <c r="CK53" s="7">
        <f>ROUND(-0.189,10)</f>
        <v>-0.189</v>
      </c>
      <c r="CL53" s="7">
        <f>ROUND(-0.189,10)</f>
        <v>-0.189</v>
      </c>
      <c r="CM53" s="7">
        <f>ROUND(-0.189,10)</f>
        <v>-0.189</v>
      </c>
      <c r="CN53" s="7">
        <f>ROUND(-0.189,10)</f>
        <v>-0.189</v>
      </c>
      <c r="CO53" s="7">
        <f>ROUND(-0.19,10)</f>
        <v>-0.19</v>
      </c>
      <c r="CP53" s="7">
        <f>ROUND(-0.188,10)</f>
        <v>-0.188</v>
      </c>
      <c r="CQ53" s="7">
        <f>ROUND(-0.188,10)</f>
        <v>-0.188</v>
      </c>
      <c r="CR53" s="7">
        <f>ROUND(-0.188,10)</f>
        <v>-0.188</v>
      </c>
      <c r="CS53" s="7">
        <f>ROUND(-0.189,10)</f>
        <v>-0.189</v>
      </c>
      <c r="CT53" s="7">
        <f>ROUND(-0.187,10)</f>
        <v>-0.187</v>
      </c>
      <c r="CU53" s="7">
        <f>ROUND(-0.189,10)</f>
        <v>-0.189</v>
      </c>
      <c r="CV53" s="7">
        <f>ROUND(-0.189,10)</f>
        <v>-0.189</v>
      </c>
      <c r="CW53" s="7">
        <f>ROUND(-0.187,10)</f>
        <v>-0.187</v>
      </c>
      <c r="CX53" s="7">
        <f>ROUND(-0.188,10)</f>
        <v>-0.188</v>
      </c>
      <c r="CY53" s="7">
        <f>ROUND(-0.186,10)</f>
        <v>-0.186</v>
      </c>
      <c r="CZ53" s="7">
        <f>ROUND(-0.186,10)</f>
        <v>-0.186</v>
      </c>
      <c r="DA53" s="7">
        <f>ROUND(-0.184,10)</f>
        <v>-0.184</v>
      </c>
      <c r="DB53" s="7">
        <f>ROUND(-0.184,10)</f>
        <v>-0.184</v>
      </c>
      <c r="DC53" s="7">
        <f>ROUND(-0.184,10)</f>
        <v>-0.184</v>
      </c>
      <c r="DD53" s="7">
        <f>ROUND(-0.184,10)</f>
        <v>-0.184</v>
      </c>
      <c r="DE53" s="7">
        <f>ROUND(-0.182,10)</f>
        <v>-0.182</v>
      </c>
      <c r="DF53" s="7">
        <f>ROUND(-0.18,10)</f>
        <v>-0.18</v>
      </c>
      <c r="DG53" s="7">
        <f>ROUND(-0.18,10)</f>
        <v>-0.18</v>
      </c>
      <c r="DH53" s="7">
        <f>ROUND(-0.18,10)</f>
        <v>-0.18</v>
      </c>
      <c r="DI53" s="7">
        <f>ROUND(-0.181,10)</f>
        <v>-0.18099999999999999</v>
      </c>
      <c r="DJ53" s="7">
        <f>ROUND(-0.181,10)</f>
        <v>-0.18099999999999999</v>
      </c>
      <c r="DK53" s="7">
        <f>ROUND(-0.181,10)</f>
        <v>-0.18099999999999999</v>
      </c>
      <c r="DL53" s="7">
        <f>ROUND(-0.181,10)</f>
        <v>-0.18099999999999999</v>
      </c>
      <c r="DM53" s="7">
        <f>ROUND(-0.183,10)</f>
        <v>-0.183</v>
      </c>
      <c r="DN53" s="7">
        <f>ROUND(-0.184,10)</f>
        <v>-0.184</v>
      </c>
      <c r="DO53" s="7">
        <f>ROUND(-0.181,10)</f>
        <v>-0.18099999999999999</v>
      </c>
      <c r="DP53" s="7">
        <f>ROUND(-0.182,10)</f>
        <v>-0.182</v>
      </c>
      <c r="DQ53" s="7">
        <f>ROUND(-0.182,10)</f>
        <v>-0.182</v>
      </c>
      <c r="DR53" s="7">
        <f>ROUND(-0.18,10)</f>
        <v>-0.18</v>
      </c>
      <c r="DS53" s="7">
        <f t="shared" ref="DS53:EC53" si="170">ROUND(-0.181,10)</f>
        <v>-0.18099999999999999</v>
      </c>
      <c r="DT53" s="7">
        <f t="shared" si="170"/>
        <v>-0.18099999999999999</v>
      </c>
      <c r="DU53" s="7">
        <f t="shared" si="170"/>
        <v>-0.18099999999999999</v>
      </c>
      <c r="DV53" s="7">
        <f t="shared" si="170"/>
        <v>-0.18099999999999999</v>
      </c>
      <c r="DW53" s="7">
        <f t="shared" si="170"/>
        <v>-0.18099999999999999</v>
      </c>
      <c r="DX53" s="7">
        <f t="shared" si="170"/>
        <v>-0.18099999999999999</v>
      </c>
      <c r="DY53" s="7">
        <f t="shared" si="170"/>
        <v>-0.18099999999999999</v>
      </c>
      <c r="DZ53" s="7">
        <f t="shared" si="170"/>
        <v>-0.18099999999999999</v>
      </c>
      <c r="EA53" s="7">
        <f t="shared" si="170"/>
        <v>-0.18099999999999999</v>
      </c>
      <c r="EB53" s="7">
        <f t="shared" si="170"/>
        <v>-0.18099999999999999</v>
      </c>
      <c r="EC53" s="7">
        <f t="shared" si="170"/>
        <v>-0.18099999999999999</v>
      </c>
      <c r="ED53" s="7">
        <f>ROUND(-0.18,10)</f>
        <v>-0.18</v>
      </c>
      <c r="EE53" s="7">
        <f t="shared" ref="EE53:ER53" si="171">ROUND(-0.179,10)</f>
        <v>-0.17899999999999999</v>
      </c>
      <c r="EF53" s="7">
        <f t="shared" si="171"/>
        <v>-0.17899999999999999</v>
      </c>
      <c r="EG53" s="7">
        <f t="shared" si="171"/>
        <v>-0.17899999999999999</v>
      </c>
      <c r="EH53" s="7">
        <f t="shared" si="171"/>
        <v>-0.17899999999999999</v>
      </c>
      <c r="EI53" s="7">
        <f t="shared" si="171"/>
        <v>-0.17899999999999999</v>
      </c>
      <c r="EJ53" s="7">
        <f t="shared" si="171"/>
        <v>-0.17899999999999999</v>
      </c>
      <c r="EK53" s="7">
        <f t="shared" si="171"/>
        <v>-0.17899999999999999</v>
      </c>
      <c r="EL53" s="7">
        <f t="shared" si="171"/>
        <v>-0.17899999999999999</v>
      </c>
      <c r="EM53" s="7">
        <f t="shared" si="171"/>
        <v>-0.17899999999999999</v>
      </c>
      <c r="EN53" s="7">
        <f t="shared" si="171"/>
        <v>-0.17899999999999999</v>
      </c>
      <c r="EO53" s="7">
        <f t="shared" si="171"/>
        <v>-0.17899999999999999</v>
      </c>
      <c r="EP53" s="7">
        <f t="shared" si="171"/>
        <v>-0.17899999999999999</v>
      </c>
      <c r="EQ53" s="7">
        <f t="shared" si="171"/>
        <v>-0.17899999999999999</v>
      </c>
      <c r="ER53" s="7">
        <f t="shared" si="171"/>
        <v>-0.17899999999999999</v>
      </c>
      <c r="ES53" s="7">
        <f>ROUND(-0.178,10)</f>
        <v>-0.17799999999999999</v>
      </c>
      <c r="ET53" s="7">
        <f>ROUND(-0.177,10)</f>
        <v>-0.17699999999999999</v>
      </c>
      <c r="EU53" s="7">
        <f>ROUND(-0.176,10)</f>
        <v>-0.17599999999999999</v>
      </c>
      <c r="EV53" s="7">
        <f>ROUND(-0.176,10)</f>
        <v>-0.17599999999999999</v>
      </c>
      <c r="EW53" s="7">
        <f>ROUND(-0.176,10)</f>
        <v>-0.17599999999999999</v>
      </c>
      <c r="EX53" s="7">
        <f>ROUND(-0.176,10)</f>
        <v>-0.17599999999999999</v>
      </c>
      <c r="EY53" s="7">
        <f>ROUND(-0.176,10)</f>
        <v>-0.17599999999999999</v>
      </c>
      <c r="EZ53" s="7">
        <f>ROUND(-0.173,10)</f>
        <v>-0.17299999999999999</v>
      </c>
      <c r="FA53" s="7">
        <f>ROUND(-0.169,10)</f>
        <v>-0.16900000000000001</v>
      </c>
      <c r="FB53" s="7">
        <f>ROUND(-0.166,10)</f>
        <v>-0.16600000000000001</v>
      </c>
      <c r="FC53" s="7">
        <f>ROUND(-0.166,10)</f>
        <v>-0.16600000000000001</v>
      </c>
      <c r="FD53" s="7">
        <f>ROUND(-0.166,10)</f>
        <v>-0.16600000000000001</v>
      </c>
      <c r="FE53" s="7">
        <f>ROUND(-0.166,10)</f>
        <v>-0.16600000000000001</v>
      </c>
      <c r="FF53" s="7">
        <f>ROUND(-0.167,10)</f>
        <v>-0.16700000000000001</v>
      </c>
      <c r="FG53" s="7">
        <f>ROUND(-0.167,10)</f>
        <v>-0.16700000000000001</v>
      </c>
      <c r="FH53" s="7">
        <f>ROUND(-0.167,10)</f>
        <v>-0.16700000000000001</v>
      </c>
      <c r="FI53" s="7">
        <f>ROUND(-0.167,10)</f>
        <v>-0.16700000000000001</v>
      </c>
      <c r="FJ53" s="7">
        <f>ROUND(-0.167,10)</f>
        <v>-0.16700000000000001</v>
      </c>
      <c r="FK53" s="7">
        <f>ROUND(-0.166,10)</f>
        <v>-0.16600000000000001</v>
      </c>
      <c r="FL53" s="7">
        <f>ROUND(-0.166,10)</f>
        <v>-0.16600000000000001</v>
      </c>
      <c r="FM53" s="7">
        <f>ROUND(-0.166,10)</f>
        <v>-0.16600000000000001</v>
      </c>
      <c r="FN53" s="7">
        <f>ROUND(-0.165,10)</f>
        <v>-0.16500000000000001</v>
      </c>
      <c r="FO53" s="7">
        <f>ROUND(-0.166,10)</f>
        <v>-0.16600000000000001</v>
      </c>
      <c r="FP53" s="7">
        <f>ROUND(-0.166,10)</f>
        <v>-0.16600000000000001</v>
      </c>
      <c r="FQ53" s="7">
        <f>ROUND(-0.166,10)</f>
        <v>-0.16600000000000001</v>
      </c>
      <c r="FR53" s="7">
        <f>ROUND(-0.166,10)</f>
        <v>-0.16600000000000001</v>
      </c>
      <c r="FS53" s="7">
        <f>ROUND(-0.167,10)</f>
        <v>-0.16700000000000001</v>
      </c>
      <c r="FT53" s="7">
        <f>ROUND(-0.167,10)</f>
        <v>-0.16700000000000001</v>
      </c>
      <c r="FU53" s="7">
        <f>ROUND(-0.167,10)</f>
        <v>-0.16700000000000001</v>
      </c>
      <c r="FV53" s="7">
        <f>ROUND(-0.167,10)</f>
        <v>-0.16700000000000001</v>
      </c>
      <c r="FW53" s="7">
        <f>ROUND(-0.166,10)</f>
        <v>-0.16600000000000001</v>
      </c>
      <c r="FX53" s="7">
        <f>ROUND(-0.166,10)</f>
        <v>-0.16600000000000001</v>
      </c>
      <c r="FY53" s="7">
        <f>ROUND(-0.168,10)</f>
        <v>-0.16800000000000001</v>
      </c>
      <c r="FZ53" s="7">
        <f>ROUND(-0.168,10)</f>
        <v>-0.16800000000000001</v>
      </c>
      <c r="GA53" s="7">
        <f>ROUND(-0.169,10)</f>
        <v>-0.16900000000000001</v>
      </c>
      <c r="GB53" s="7">
        <f>ROUND(-0.168,10)</f>
        <v>-0.16800000000000001</v>
      </c>
      <c r="GC53" s="7">
        <f>ROUND(-0.167,10)</f>
        <v>-0.16700000000000001</v>
      </c>
      <c r="GD53" s="7">
        <f>ROUND(-0.168,10)</f>
        <v>-0.16800000000000001</v>
      </c>
      <c r="GE53" s="7">
        <f>ROUND(-0.168,10)</f>
        <v>-0.16800000000000001</v>
      </c>
      <c r="GF53" s="7">
        <f>ROUND(-0.167,10)</f>
        <v>-0.16700000000000001</v>
      </c>
      <c r="GG53" s="7">
        <f>ROUND(-0.165,10)</f>
        <v>-0.16500000000000001</v>
      </c>
      <c r="GH53" s="7">
        <f>ROUND(-0.164,10)</f>
        <v>-0.16400000000000001</v>
      </c>
      <c r="GI53" s="7">
        <f>ROUND(-0.161,10)</f>
        <v>-0.161</v>
      </c>
      <c r="GJ53" s="7">
        <f>ROUND(-0.159,10)</f>
        <v>-0.159</v>
      </c>
      <c r="GK53" s="7">
        <f>ROUND(-0.158,10)</f>
        <v>-0.158</v>
      </c>
      <c r="GL53" s="7">
        <f>ROUND(-0.157,10)</f>
        <v>-0.157</v>
      </c>
      <c r="GM53" s="7">
        <f>ROUND(-0.157,10)</f>
        <v>-0.157</v>
      </c>
      <c r="GN53" s="7">
        <f>ROUND(-0.159,10)</f>
        <v>-0.159</v>
      </c>
      <c r="GO53" s="7">
        <f>ROUND(-0.158,10)</f>
        <v>-0.158</v>
      </c>
      <c r="GP53" s="7">
        <f>ROUND(-0.158,10)</f>
        <v>-0.158</v>
      </c>
      <c r="GQ53" s="7">
        <f>ROUND(-0.156,10)</f>
        <v>-0.156</v>
      </c>
      <c r="GR53" s="7">
        <f>ROUND(-0.156,10)</f>
        <v>-0.156</v>
      </c>
      <c r="GS53" s="7">
        <f>ROUND(-0.156,10)</f>
        <v>-0.156</v>
      </c>
      <c r="GT53" s="7">
        <f>ROUND(-0.157,10)</f>
        <v>-0.157</v>
      </c>
      <c r="GU53" s="7">
        <f>ROUND(-0.156,10)</f>
        <v>-0.156</v>
      </c>
      <c r="GV53" s="7">
        <f>ROUND(-0.156,10)</f>
        <v>-0.156</v>
      </c>
      <c r="GW53" s="7">
        <f>ROUND(-0.156,10)</f>
        <v>-0.156</v>
      </c>
      <c r="GX53" s="7">
        <f>ROUND(-0.155,10)</f>
        <v>-0.155</v>
      </c>
      <c r="GY53" s="7">
        <f>ROUND(-0.154,10)</f>
        <v>-0.154</v>
      </c>
      <c r="GZ53" s="7">
        <f>ROUND(-0.151,10)</f>
        <v>-0.151</v>
      </c>
      <c r="HA53" s="7">
        <f>ROUND(-0.149,10)</f>
        <v>-0.14899999999999999</v>
      </c>
      <c r="HB53" s="7">
        <f>ROUND(-0.147,10)</f>
        <v>-0.14699999999999999</v>
      </c>
      <c r="HC53" s="7">
        <f>ROUND(-0.147,10)</f>
        <v>-0.14699999999999999</v>
      </c>
      <c r="HD53" s="7">
        <f>ROUND(-0.148,10)</f>
        <v>-0.14799999999999999</v>
      </c>
      <c r="HE53" s="7">
        <f>ROUND(-0.149,10)</f>
        <v>-0.14899999999999999</v>
      </c>
      <c r="HF53" s="7">
        <f>ROUND(-0.149,10)</f>
        <v>-0.14899999999999999</v>
      </c>
      <c r="HG53" s="7">
        <f>ROUND(-0.149,10)</f>
        <v>-0.14899999999999999</v>
      </c>
      <c r="HH53" s="7">
        <f>ROUND(-0.148,10)</f>
        <v>-0.14799999999999999</v>
      </c>
      <c r="HI53" s="7">
        <f>ROUND(-0.148,10)</f>
        <v>-0.14799999999999999</v>
      </c>
      <c r="HJ53" s="7">
        <f>ROUND(-0.148,10)</f>
        <v>-0.14799999999999999</v>
      </c>
      <c r="HK53" s="7">
        <f>ROUND(-0.149,10)</f>
        <v>-0.14899999999999999</v>
      </c>
      <c r="HL53" s="7">
        <f>ROUND(-0.149,10)</f>
        <v>-0.14899999999999999</v>
      </c>
      <c r="HM53" s="7">
        <f>ROUND(-0.148,10)</f>
        <v>-0.14799999999999999</v>
      </c>
      <c r="HN53" s="7">
        <f>ROUND(-0.148,10)</f>
        <v>-0.14799999999999999</v>
      </c>
      <c r="HO53" s="7">
        <f>ROUND(-0.148,10)</f>
        <v>-0.14799999999999999</v>
      </c>
      <c r="HP53" s="7">
        <f>ROUND(-0.147,10)</f>
        <v>-0.14699999999999999</v>
      </c>
      <c r="HQ53" s="7">
        <f>ROUND(-0.147,10)</f>
        <v>-0.14699999999999999</v>
      </c>
      <c r="HR53" s="7">
        <f>ROUND(-0.147,10)</f>
        <v>-0.14699999999999999</v>
      </c>
      <c r="HS53" s="7">
        <f>ROUND(-0.147,10)</f>
        <v>-0.14699999999999999</v>
      </c>
      <c r="HT53" s="7">
        <f>ROUND(-0.148,10)</f>
        <v>-0.14799999999999999</v>
      </c>
      <c r="HU53" s="7">
        <f>ROUND(-0.148,10)</f>
        <v>-0.14799999999999999</v>
      </c>
      <c r="HV53" s="7">
        <f>ROUND(-0.148,10)</f>
        <v>-0.14799999999999999</v>
      </c>
      <c r="HW53" s="7">
        <f>ROUND(-0.148,10)</f>
        <v>-0.14799999999999999</v>
      </c>
      <c r="HX53" s="7">
        <f>ROUND(-0.147,10)</f>
        <v>-0.14699999999999999</v>
      </c>
      <c r="HY53" s="7">
        <f>ROUND(-0.146,10)</f>
        <v>-0.14599999999999999</v>
      </c>
      <c r="HZ53" s="7">
        <f>ROUND(-0.146,10)</f>
        <v>-0.14599999999999999</v>
      </c>
      <c r="IA53" s="7">
        <f>ROUND(-0.146,10)</f>
        <v>-0.14599999999999999</v>
      </c>
      <c r="IB53" s="7">
        <f>ROUND(-0.146,10)</f>
        <v>-0.14599999999999999</v>
      </c>
      <c r="IC53" s="7">
        <f>ROUND(-0.146,10)</f>
        <v>-0.14599999999999999</v>
      </c>
      <c r="ID53" s="7">
        <f>ROUND(-0.143,10)</f>
        <v>-0.14299999999999999</v>
      </c>
      <c r="IE53" s="7">
        <f>ROUND(-0.142,10)</f>
        <v>-0.14199999999999999</v>
      </c>
      <c r="IF53" s="7">
        <f>ROUND(-0.141,10)</f>
        <v>-0.14099999999999999</v>
      </c>
      <c r="IG53" s="7">
        <f>ROUND(-0.14,10)</f>
        <v>-0.14000000000000001</v>
      </c>
      <c r="IH53" s="7">
        <f>ROUND(-0.137,10)</f>
        <v>-0.13700000000000001</v>
      </c>
      <c r="II53" s="7">
        <f>ROUND(-0.134,10)</f>
        <v>-0.13400000000000001</v>
      </c>
      <c r="IJ53" s="7">
        <f>ROUND(-0.131,10)</f>
        <v>-0.13100000000000001</v>
      </c>
      <c r="IK53" s="7">
        <f>ROUND(-0.131,10)</f>
        <v>-0.13100000000000001</v>
      </c>
      <c r="IL53" s="7">
        <f>ROUND(-0.129,10)</f>
        <v>-0.129</v>
      </c>
      <c r="IM53" s="7">
        <f>ROUND(-0.128,10)</f>
        <v>-0.128</v>
      </c>
      <c r="IN53" s="7">
        <f>ROUND(-0.127,10)</f>
        <v>-0.127</v>
      </c>
      <c r="IO53" s="7">
        <f>ROUND(-0.125,10)</f>
        <v>-0.125</v>
      </c>
      <c r="IP53" s="7">
        <f>ROUND(-0.124,10)</f>
        <v>-0.124</v>
      </c>
      <c r="IQ53" s="7">
        <f>ROUND(-0.121,10)</f>
        <v>-0.121</v>
      </c>
      <c r="IR53" s="7">
        <f>ROUND(-0.119,10)</f>
        <v>-0.11899999999999999</v>
      </c>
      <c r="IS53" s="7">
        <f>ROUND(-0.118,10)</f>
        <v>-0.11799999999999999</v>
      </c>
      <c r="IT53" s="7">
        <f>ROUND(-0.119,10)</f>
        <v>-0.11899999999999999</v>
      </c>
      <c r="IU53" s="7">
        <f>ROUND(-0.119,10)</f>
        <v>-0.11899999999999999</v>
      </c>
      <c r="IV53" s="7">
        <f>ROUND(-0.117,10)</f>
        <v>-0.11700000000000001</v>
      </c>
    </row>
    <row r="56" spans="1:256">
      <c r="A56" s="8">
        <v>2019</v>
      </c>
      <c r="B56" s="5">
        <v>43467</v>
      </c>
      <c r="C56" s="5">
        <v>43468</v>
      </c>
      <c r="D56" s="5">
        <v>43469</v>
      </c>
      <c r="E56" s="5">
        <v>43472</v>
      </c>
      <c r="F56" s="5">
        <v>43473</v>
      </c>
      <c r="G56" s="5">
        <v>43474</v>
      </c>
      <c r="H56" s="5">
        <v>43475</v>
      </c>
      <c r="I56" s="5">
        <v>43476</v>
      </c>
      <c r="J56" s="5">
        <v>43479</v>
      </c>
      <c r="K56" s="5">
        <v>43480</v>
      </c>
      <c r="L56" s="5">
        <v>43481</v>
      </c>
      <c r="M56" s="5">
        <v>43482</v>
      </c>
      <c r="N56" s="5">
        <v>43483</v>
      </c>
      <c r="O56" s="5">
        <v>43486</v>
      </c>
      <c r="P56" s="5">
        <v>43487</v>
      </c>
      <c r="Q56" s="5">
        <v>43488</v>
      </c>
      <c r="R56" s="5">
        <v>43489</v>
      </c>
      <c r="S56" s="5">
        <v>43490</v>
      </c>
      <c r="T56" s="5">
        <v>43493</v>
      </c>
      <c r="U56" s="5">
        <v>43494</v>
      </c>
      <c r="V56" s="5">
        <v>43495</v>
      </c>
      <c r="W56" s="5">
        <v>43496</v>
      </c>
      <c r="X56" s="5">
        <v>43497</v>
      </c>
      <c r="Y56" s="5">
        <v>43500</v>
      </c>
      <c r="Z56" s="5">
        <v>43501</v>
      </c>
      <c r="AA56" s="5">
        <v>43502</v>
      </c>
      <c r="AB56" s="5">
        <v>43503</v>
      </c>
      <c r="AC56" s="5">
        <v>43504</v>
      </c>
      <c r="AD56" s="5">
        <v>43507</v>
      </c>
      <c r="AE56" s="5">
        <v>43508</v>
      </c>
      <c r="AF56" s="5">
        <v>43509</v>
      </c>
      <c r="AG56" s="5">
        <v>43510</v>
      </c>
      <c r="AH56" s="5">
        <v>43511</v>
      </c>
      <c r="AI56" s="5">
        <v>43514</v>
      </c>
      <c r="AJ56" s="5">
        <v>43515</v>
      </c>
      <c r="AK56" s="5">
        <v>43516</v>
      </c>
      <c r="AL56" s="5">
        <v>43517</v>
      </c>
      <c r="AM56" s="5">
        <v>43518</v>
      </c>
      <c r="AN56" s="5">
        <v>43521</v>
      </c>
      <c r="AO56" s="5">
        <v>43522</v>
      </c>
      <c r="AP56" s="5">
        <v>43523</v>
      </c>
      <c r="AQ56" s="5">
        <v>43524</v>
      </c>
      <c r="AR56" s="5">
        <v>43525</v>
      </c>
      <c r="AS56" s="5">
        <v>43528</v>
      </c>
      <c r="AT56" s="5">
        <v>43529</v>
      </c>
      <c r="AU56" s="5">
        <v>43530</v>
      </c>
      <c r="AV56" s="5">
        <v>43531</v>
      </c>
      <c r="AW56" s="5">
        <v>43532</v>
      </c>
      <c r="AX56" s="5">
        <v>43535</v>
      </c>
      <c r="AY56" s="5">
        <v>43536</v>
      </c>
      <c r="AZ56" s="5">
        <v>43537</v>
      </c>
      <c r="BA56" s="5">
        <v>43538</v>
      </c>
      <c r="BB56" s="5">
        <v>43539</v>
      </c>
      <c r="BC56" s="5">
        <v>43542</v>
      </c>
      <c r="BD56" s="5">
        <v>43543</v>
      </c>
      <c r="BE56" s="5">
        <v>43544</v>
      </c>
      <c r="BF56" s="5">
        <v>43545</v>
      </c>
      <c r="BG56" s="5">
        <v>43546</v>
      </c>
      <c r="BH56" s="5">
        <v>43549</v>
      </c>
      <c r="BI56" s="5">
        <v>43550</v>
      </c>
      <c r="BJ56" s="5">
        <v>43551</v>
      </c>
      <c r="BK56" s="5">
        <v>43552</v>
      </c>
      <c r="BL56" s="5">
        <v>43553</v>
      </c>
      <c r="BM56" s="5">
        <v>43556</v>
      </c>
      <c r="BN56" s="5">
        <v>43557</v>
      </c>
      <c r="BO56" s="5">
        <v>43558</v>
      </c>
      <c r="BP56" s="5">
        <v>43559</v>
      </c>
      <c r="BQ56" s="5">
        <v>43560</v>
      </c>
      <c r="BR56" s="5">
        <v>43563</v>
      </c>
      <c r="BS56" s="5">
        <v>43564</v>
      </c>
      <c r="BT56" s="5">
        <v>43565</v>
      </c>
      <c r="BU56" s="5">
        <v>43566</v>
      </c>
      <c r="BV56" s="5">
        <v>43567</v>
      </c>
      <c r="BW56" s="5">
        <v>43570</v>
      </c>
      <c r="BX56" s="5">
        <v>43571</v>
      </c>
      <c r="BY56" s="5">
        <v>43572</v>
      </c>
      <c r="BZ56" s="5">
        <v>43573</v>
      </c>
      <c r="CA56" s="5">
        <v>43578</v>
      </c>
      <c r="CB56" s="5">
        <v>43579</v>
      </c>
      <c r="CC56" s="5">
        <v>43580</v>
      </c>
      <c r="CD56" s="5">
        <v>43581</v>
      </c>
      <c r="CE56" s="5">
        <v>43584</v>
      </c>
      <c r="CF56" s="5">
        <v>43585</v>
      </c>
      <c r="CG56" s="5">
        <v>43587</v>
      </c>
      <c r="CH56" s="5">
        <v>43588</v>
      </c>
      <c r="CI56" s="5">
        <v>43591</v>
      </c>
      <c r="CJ56" s="5">
        <v>43592</v>
      </c>
      <c r="CK56" s="5">
        <v>43593</v>
      </c>
      <c r="CL56" s="5">
        <v>43594</v>
      </c>
      <c r="CM56" s="5">
        <v>43595</v>
      </c>
      <c r="CN56" s="5">
        <v>43598</v>
      </c>
      <c r="CO56" s="5">
        <v>43599</v>
      </c>
      <c r="CP56" s="5">
        <v>43600</v>
      </c>
      <c r="CQ56" s="5">
        <v>43601</v>
      </c>
      <c r="CR56" s="5">
        <v>43602</v>
      </c>
      <c r="CS56" s="5">
        <v>43605</v>
      </c>
      <c r="CT56" s="5">
        <v>43606</v>
      </c>
      <c r="CU56" s="5">
        <v>43607</v>
      </c>
      <c r="CV56" s="5">
        <v>43608</v>
      </c>
      <c r="CW56" s="5">
        <v>43609</v>
      </c>
      <c r="CX56" s="5">
        <v>43612</v>
      </c>
      <c r="CY56" s="5">
        <v>43613</v>
      </c>
      <c r="CZ56" s="5">
        <v>43614</v>
      </c>
      <c r="DA56" s="5">
        <v>43615</v>
      </c>
      <c r="DB56" s="5">
        <v>43616</v>
      </c>
      <c r="DC56" s="5">
        <v>43619</v>
      </c>
      <c r="DD56" s="5">
        <v>43620</v>
      </c>
      <c r="DE56" s="5">
        <v>43621</v>
      </c>
      <c r="DF56" s="5">
        <v>43622</v>
      </c>
      <c r="DG56" s="5">
        <v>43623</v>
      </c>
      <c r="DH56" s="5">
        <v>43626</v>
      </c>
      <c r="DI56" s="5">
        <v>43627</v>
      </c>
      <c r="DJ56" s="5">
        <v>43628</v>
      </c>
      <c r="DK56" s="5">
        <v>43629</v>
      </c>
      <c r="DL56" s="5">
        <v>43630</v>
      </c>
      <c r="DM56" s="5">
        <v>43633</v>
      </c>
      <c r="DN56" s="5">
        <v>43634</v>
      </c>
      <c r="DO56" s="5">
        <v>43635</v>
      </c>
      <c r="DP56" s="5">
        <v>43636</v>
      </c>
      <c r="DQ56" s="5">
        <v>43637</v>
      </c>
      <c r="DR56" s="5">
        <v>43640</v>
      </c>
      <c r="DS56" s="5">
        <v>43641</v>
      </c>
      <c r="DT56" s="5">
        <v>43642</v>
      </c>
      <c r="DU56" s="5">
        <v>43643</v>
      </c>
      <c r="DV56" s="5">
        <v>43644</v>
      </c>
      <c r="DW56" s="5">
        <v>43647</v>
      </c>
      <c r="DX56" s="5">
        <v>43648</v>
      </c>
      <c r="DY56" s="5">
        <v>43649</v>
      </c>
      <c r="DZ56" s="5">
        <v>43650</v>
      </c>
      <c r="EA56" s="5">
        <v>43651</v>
      </c>
      <c r="EB56" s="5">
        <v>43654</v>
      </c>
      <c r="EC56" s="5">
        <v>43655</v>
      </c>
      <c r="ED56" s="5">
        <v>43656</v>
      </c>
      <c r="EE56" s="5">
        <v>43657</v>
      </c>
      <c r="EF56" s="5">
        <v>43658</v>
      </c>
      <c r="EG56" s="5">
        <v>43661</v>
      </c>
      <c r="EH56" s="5">
        <v>43662</v>
      </c>
      <c r="EI56" s="5">
        <v>43663</v>
      </c>
      <c r="EJ56" s="5">
        <v>43664</v>
      </c>
      <c r="EK56" s="5">
        <v>43665</v>
      </c>
      <c r="EL56" s="5">
        <v>43668</v>
      </c>
      <c r="EM56" s="5">
        <v>43669</v>
      </c>
      <c r="EN56" s="5">
        <v>43670</v>
      </c>
      <c r="EO56" s="5">
        <v>43671</v>
      </c>
      <c r="EP56" s="5">
        <v>43672</v>
      </c>
      <c r="EQ56" s="5">
        <v>43675</v>
      </c>
      <c r="ER56" s="5">
        <v>43676</v>
      </c>
      <c r="ES56" s="5">
        <v>43677</v>
      </c>
      <c r="ET56" s="5">
        <v>43678</v>
      </c>
      <c r="EU56" s="5">
        <v>43679</v>
      </c>
      <c r="EV56" s="5">
        <v>43682</v>
      </c>
      <c r="EW56" s="5">
        <v>43683</v>
      </c>
      <c r="EX56" s="5">
        <v>43684</v>
      </c>
      <c r="EY56" s="5">
        <v>43685</v>
      </c>
      <c r="EZ56" s="5">
        <v>43686</v>
      </c>
      <c r="FA56" s="5">
        <v>43689</v>
      </c>
      <c r="FB56" s="5">
        <v>43690</v>
      </c>
      <c r="FC56" s="5">
        <v>43691</v>
      </c>
      <c r="FD56" s="5">
        <v>43692</v>
      </c>
      <c r="FE56" s="5">
        <v>43693</v>
      </c>
      <c r="FF56" s="5">
        <v>43696</v>
      </c>
      <c r="FG56" s="5">
        <v>43697</v>
      </c>
      <c r="FH56" s="5">
        <v>43698</v>
      </c>
      <c r="FI56" s="5">
        <v>43699</v>
      </c>
      <c r="FJ56" s="5">
        <v>43700</v>
      </c>
      <c r="FK56" s="5">
        <v>43703</v>
      </c>
      <c r="FL56" s="5">
        <v>43704</v>
      </c>
      <c r="FM56" s="5">
        <v>43705</v>
      </c>
      <c r="FN56" s="5">
        <v>43706</v>
      </c>
      <c r="FO56" s="5">
        <v>43707</v>
      </c>
      <c r="FP56" s="5">
        <v>43710</v>
      </c>
      <c r="FQ56" s="5">
        <v>43711</v>
      </c>
      <c r="FR56" s="5">
        <v>43712</v>
      </c>
      <c r="FS56" s="5">
        <v>43713</v>
      </c>
      <c r="FT56" s="5">
        <v>43714</v>
      </c>
      <c r="FU56" s="5">
        <v>43717</v>
      </c>
      <c r="FV56" s="5">
        <v>43718</v>
      </c>
      <c r="FW56" s="5">
        <v>43719</v>
      </c>
      <c r="FX56" s="5">
        <v>43720</v>
      </c>
      <c r="FY56" s="5">
        <v>43721</v>
      </c>
      <c r="FZ56" s="5">
        <v>43724</v>
      </c>
      <c r="GA56" s="5">
        <v>43725</v>
      </c>
      <c r="GB56" s="5">
        <v>43726</v>
      </c>
      <c r="GC56" s="5">
        <v>43727</v>
      </c>
      <c r="GD56" s="5">
        <v>43728</v>
      </c>
      <c r="GE56" s="5">
        <v>43731</v>
      </c>
      <c r="GF56" s="5">
        <v>43732</v>
      </c>
      <c r="GG56" s="5">
        <v>43733</v>
      </c>
      <c r="GH56" s="5">
        <v>43734</v>
      </c>
      <c r="GI56" s="5">
        <v>43735</v>
      </c>
      <c r="GJ56" s="5">
        <v>43738</v>
      </c>
      <c r="GK56" s="5">
        <v>43739</v>
      </c>
      <c r="GL56" s="5">
        <v>43740</v>
      </c>
      <c r="GM56" s="5">
        <v>43741</v>
      </c>
      <c r="GN56" s="5">
        <v>43742</v>
      </c>
      <c r="GO56" s="5">
        <v>43745</v>
      </c>
      <c r="GP56" s="5">
        <v>43746</v>
      </c>
      <c r="GQ56" s="5">
        <v>43747</v>
      </c>
      <c r="GR56" s="5">
        <v>43748</v>
      </c>
      <c r="GS56" s="5">
        <v>43749</v>
      </c>
      <c r="GT56" s="5">
        <v>43752</v>
      </c>
      <c r="GU56" s="5">
        <v>43753</v>
      </c>
      <c r="GV56" s="5">
        <v>43754</v>
      </c>
      <c r="GW56" s="5">
        <v>43755</v>
      </c>
      <c r="GX56" s="5">
        <v>43756</v>
      </c>
      <c r="GY56" s="5">
        <v>43759</v>
      </c>
      <c r="GZ56" s="5">
        <v>43760</v>
      </c>
      <c r="HA56" s="5">
        <v>43761</v>
      </c>
      <c r="HB56" s="5">
        <v>43762</v>
      </c>
      <c r="HC56" s="5">
        <v>43763</v>
      </c>
      <c r="HD56" s="5">
        <v>43766</v>
      </c>
      <c r="HE56" s="5">
        <v>43767</v>
      </c>
      <c r="HF56" s="5">
        <v>43768</v>
      </c>
      <c r="HG56" s="5">
        <v>43769</v>
      </c>
      <c r="HH56" s="5">
        <v>43770</v>
      </c>
      <c r="HI56" s="5">
        <v>43773</v>
      </c>
      <c r="HJ56" s="5">
        <v>43774</v>
      </c>
      <c r="HK56" s="5">
        <v>43775</v>
      </c>
      <c r="HL56" s="5">
        <v>43776</v>
      </c>
      <c r="HM56" s="5">
        <v>43777</v>
      </c>
      <c r="HN56" s="5">
        <v>43780</v>
      </c>
      <c r="HO56" s="5">
        <v>43781</v>
      </c>
      <c r="HP56" s="5">
        <v>43782</v>
      </c>
      <c r="HQ56" s="5">
        <v>43783</v>
      </c>
      <c r="HR56" s="5">
        <v>43784</v>
      </c>
      <c r="HS56" s="5">
        <v>43787</v>
      </c>
      <c r="HT56" s="5">
        <v>43788</v>
      </c>
      <c r="HU56" s="5">
        <v>43789</v>
      </c>
      <c r="HV56" s="5">
        <v>43790</v>
      </c>
      <c r="HW56" s="5">
        <v>43791</v>
      </c>
      <c r="HX56" s="5">
        <v>43794</v>
      </c>
      <c r="HY56" s="5">
        <v>43795</v>
      </c>
      <c r="HZ56" s="5">
        <v>43796</v>
      </c>
      <c r="IA56" s="5">
        <v>43797</v>
      </c>
      <c r="IB56" s="5">
        <v>43798</v>
      </c>
      <c r="IC56" s="5">
        <v>43801</v>
      </c>
      <c r="ID56" s="5">
        <v>43802</v>
      </c>
      <c r="IE56" s="5">
        <v>43803</v>
      </c>
      <c r="IF56" s="5">
        <v>43804</v>
      </c>
      <c r="IG56" s="5">
        <v>43805</v>
      </c>
      <c r="IH56" s="5">
        <v>43808</v>
      </c>
      <c r="II56" s="5">
        <v>43809</v>
      </c>
      <c r="IJ56" s="5">
        <v>43810</v>
      </c>
      <c r="IK56" s="5">
        <v>43811</v>
      </c>
      <c r="IL56" s="5">
        <v>43812</v>
      </c>
      <c r="IM56" s="5">
        <v>43815</v>
      </c>
      <c r="IN56" s="5">
        <v>43816</v>
      </c>
      <c r="IO56" s="5">
        <v>43817</v>
      </c>
      <c r="IP56" s="5">
        <v>43818</v>
      </c>
      <c r="IQ56" s="5">
        <v>43819</v>
      </c>
      <c r="IR56" s="5">
        <v>43822</v>
      </c>
      <c r="IS56" s="5">
        <v>43823</v>
      </c>
      <c r="IT56" s="5">
        <v>43826</v>
      </c>
      <c r="IU56" s="5">
        <v>43829</v>
      </c>
      <c r="IV56" s="5">
        <v>43830</v>
      </c>
    </row>
    <row r="57" spans="1:256">
      <c r="A57" s="6" t="s">
        <v>35</v>
      </c>
      <c r="B57" s="7">
        <f>ROUND(-0.372,10)</f>
        <v>-0.372</v>
      </c>
      <c r="C57" s="7">
        <f>ROUND(-0.372,10)</f>
        <v>-0.372</v>
      </c>
      <c r="D57" s="7">
        <f>ROUND(-0.373,10)</f>
        <v>-0.373</v>
      </c>
      <c r="E57" s="7">
        <f>ROUND(-0.373,10)</f>
        <v>-0.373</v>
      </c>
      <c r="F57" s="7">
        <f>ROUND(-0.372,10)</f>
        <v>-0.372</v>
      </c>
      <c r="G57" s="7">
        <f>ROUND(-0.374,10)</f>
        <v>-0.374</v>
      </c>
      <c r="H57" s="7">
        <f>ROUND(-0.374,10)</f>
        <v>-0.374</v>
      </c>
      <c r="I57" s="7">
        <f>ROUND(-0.375,10)</f>
        <v>-0.375</v>
      </c>
      <c r="J57" s="7">
        <f>ROUND(-0.375,10)</f>
        <v>-0.375</v>
      </c>
      <c r="K57" s="7">
        <f>ROUND(-0.377,10)</f>
        <v>-0.377</v>
      </c>
      <c r="L57" s="7">
        <f>ROUND(-0.378,10)</f>
        <v>-0.378</v>
      </c>
      <c r="M57" s="7">
        <f>ROUND(-0.379,10)</f>
        <v>-0.379</v>
      </c>
      <c r="N57" s="7">
        <f>ROUND(-0.378,10)</f>
        <v>-0.378</v>
      </c>
      <c r="O57" s="7">
        <f>ROUND(-0.376,10)</f>
        <v>-0.376</v>
      </c>
      <c r="P57" s="7">
        <f>ROUND(-0.376,10)</f>
        <v>-0.376</v>
      </c>
      <c r="Q57" s="7">
        <f>ROUND(-0.376,10)</f>
        <v>-0.376</v>
      </c>
      <c r="R57" s="7">
        <f>ROUND(-0.375,10)</f>
        <v>-0.375</v>
      </c>
      <c r="S57" s="7">
        <f>ROUND(-0.376,10)</f>
        <v>-0.376</v>
      </c>
      <c r="T57" s="7">
        <f>ROUND(-0.377,10)</f>
        <v>-0.377</v>
      </c>
      <c r="U57" s="7">
        <f>ROUND(-0.377,10)</f>
        <v>-0.377</v>
      </c>
      <c r="V57" s="7">
        <f>ROUND(-0.376,10)</f>
        <v>-0.376</v>
      </c>
      <c r="W57" s="7">
        <f>ROUND(-0.376,10)</f>
        <v>-0.376</v>
      </c>
      <c r="X57" s="7">
        <f>ROUND(-0.375,10)</f>
        <v>-0.375</v>
      </c>
      <c r="Y57" s="7">
        <f>ROUND(-0.374,10)</f>
        <v>-0.374</v>
      </c>
      <c r="Z57" s="7">
        <f>ROUND(-0.374,10)</f>
        <v>-0.374</v>
      </c>
      <c r="AA57" s="7">
        <f>ROUND(-0.373,10)</f>
        <v>-0.373</v>
      </c>
      <c r="AB57" s="7">
        <f>ROUND(-0.373,10)</f>
        <v>-0.373</v>
      </c>
      <c r="AC57" s="7">
        <f>ROUND(-0.372,10)</f>
        <v>-0.372</v>
      </c>
      <c r="AD57" s="7">
        <f>ROUND(-0.374,10)</f>
        <v>-0.374</v>
      </c>
      <c r="AE57" s="7">
        <f t="shared" ref="AE57:AJ57" si="172">ROUND(-0.372,10)</f>
        <v>-0.372</v>
      </c>
      <c r="AF57" s="7">
        <f t="shared" si="172"/>
        <v>-0.372</v>
      </c>
      <c r="AG57" s="7">
        <f t="shared" si="172"/>
        <v>-0.372</v>
      </c>
      <c r="AH57" s="7">
        <f t="shared" si="172"/>
        <v>-0.372</v>
      </c>
      <c r="AI57" s="7">
        <f t="shared" si="172"/>
        <v>-0.372</v>
      </c>
      <c r="AJ57" s="7">
        <f t="shared" si="172"/>
        <v>-0.372</v>
      </c>
      <c r="AK57" s="7">
        <f>ROUND(-0.373,10)</f>
        <v>-0.373</v>
      </c>
      <c r="AL57" s="7">
        <f>ROUND(-0.374,10)</f>
        <v>-0.374</v>
      </c>
      <c r="AM57" s="7">
        <f>ROUND(-0.375,10)</f>
        <v>-0.375</v>
      </c>
      <c r="AN57" s="7">
        <f>ROUND(-0.374,10)</f>
        <v>-0.374</v>
      </c>
      <c r="AO57" s="7">
        <f t="shared" ref="AO57:AU57" si="173">ROUND(-0.373,10)</f>
        <v>-0.373</v>
      </c>
      <c r="AP57" s="7">
        <f t="shared" si="173"/>
        <v>-0.373</v>
      </c>
      <c r="AQ57" s="7">
        <f t="shared" si="173"/>
        <v>-0.373</v>
      </c>
      <c r="AR57" s="7">
        <f t="shared" si="173"/>
        <v>-0.373</v>
      </c>
      <c r="AS57" s="7">
        <f t="shared" si="173"/>
        <v>-0.373</v>
      </c>
      <c r="AT57" s="7">
        <f t="shared" si="173"/>
        <v>-0.373</v>
      </c>
      <c r="AU57" s="7">
        <f t="shared" si="173"/>
        <v>-0.373</v>
      </c>
      <c r="AV57" s="7">
        <f>ROUND(-0.375,10)</f>
        <v>-0.375</v>
      </c>
      <c r="AW57" s="7">
        <f>ROUND(-0.375,10)</f>
        <v>-0.375</v>
      </c>
      <c r="AX57" s="7">
        <f>ROUND(-0.376,10)</f>
        <v>-0.376</v>
      </c>
      <c r="AY57" s="7">
        <f>ROUND(-0.378,10)</f>
        <v>-0.378</v>
      </c>
      <c r="AZ57" s="7">
        <f>ROUND(-0.376,10)</f>
        <v>-0.376</v>
      </c>
      <c r="BA57" s="7">
        <f>ROUND(-0.377,10)</f>
        <v>-0.377</v>
      </c>
      <c r="BB57" s="7">
        <f>ROUND(-0.376,10)</f>
        <v>-0.376</v>
      </c>
      <c r="BC57" s="7">
        <f>ROUND(-0.376,10)</f>
        <v>-0.376</v>
      </c>
      <c r="BD57" s="7">
        <f>ROUND(-0.375,10)</f>
        <v>-0.375</v>
      </c>
      <c r="BE57" s="7">
        <f>ROUND(-0.377,10)</f>
        <v>-0.377</v>
      </c>
      <c r="BF57" s="7">
        <f>ROUND(-0.378,10)</f>
        <v>-0.378</v>
      </c>
      <c r="BG57" s="7">
        <f>ROUND(-0.379,10)</f>
        <v>-0.379</v>
      </c>
      <c r="BH57" s="7">
        <f>ROUND(-0.38,10)</f>
        <v>-0.38</v>
      </c>
      <c r="BI57" s="7">
        <f>ROUND(-0.379,10)</f>
        <v>-0.379</v>
      </c>
      <c r="BJ57" s="7">
        <f>ROUND(-0.378,10)</f>
        <v>-0.378</v>
      </c>
      <c r="BK57" s="7">
        <f>ROUND(-0.38,10)</f>
        <v>-0.38</v>
      </c>
      <c r="BL57" s="7">
        <f>ROUND(-0.38,10)</f>
        <v>-0.38</v>
      </c>
      <c r="BM57" s="7">
        <f>ROUND(-0.379,10)</f>
        <v>-0.379</v>
      </c>
      <c r="BN57" s="7">
        <f>ROUND(-0.38,10)</f>
        <v>-0.38</v>
      </c>
      <c r="BO57" s="7">
        <f>ROUND(-0.38,10)</f>
        <v>-0.38</v>
      </c>
      <c r="BP57" s="7">
        <f>ROUND(-0.38,10)</f>
        <v>-0.38</v>
      </c>
      <c r="BQ57" s="7">
        <f>ROUND(-0.379,10)</f>
        <v>-0.379</v>
      </c>
      <c r="BR57" s="7">
        <f>ROUND(-0.379,10)</f>
        <v>-0.379</v>
      </c>
      <c r="BS57" s="7">
        <f t="shared" ref="BS57:CA57" si="174">ROUND(-0.378,10)</f>
        <v>-0.378</v>
      </c>
      <c r="BT57" s="7">
        <f t="shared" si="174"/>
        <v>-0.378</v>
      </c>
      <c r="BU57" s="7">
        <f t="shared" si="174"/>
        <v>-0.378</v>
      </c>
      <c r="BV57" s="7">
        <f t="shared" si="174"/>
        <v>-0.378</v>
      </c>
      <c r="BW57" s="7">
        <f t="shared" si="174"/>
        <v>-0.378</v>
      </c>
      <c r="BX57" s="7">
        <f t="shared" si="174"/>
        <v>-0.378</v>
      </c>
      <c r="BY57" s="7">
        <f t="shared" si="174"/>
        <v>-0.378</v>
      </c>
      <c r="BZ57" s="7">
        <f t="shared" si="174"/>
        <v>-0.378</v>
      </c>
      <c r="CA57" s="7">
        <f t="shared" si="174"/>
        <v>-0.378</v>
      </c>
      <c r="CB57" s="7">
        <f>ROUND(-0.38,10)</f>
        <v>-0.38</v>
      </c>
      <c r="CC57" s="7">
        <f>ROUND(-0.378,10)</f>
        <v>-0.378</v>
      </c>
      <c r="CD57" s="7">
        <f>ROUND(-0.377,10)</f>
        <v>-0.377</v>
      </c>
      <c r="CE57" s="7">
        <f>ROUND(-0.378,10)</f>
        <v>-0.378</v>
      </c>
      <c r="CF57" s="7">
        <f>ROUND(-0.377,10)</f>
        <v>-0.377</v>
      </c>
      <c r="CG57" s="7">
        <f>ROUND(-0.377,10)</f>
        <v>-0.377</v>
      </c>
      <c r="CH57" s="7">
        <f>ROUND(-0.376,10)</f>
        <v>-0.376</v>
      </c>
      <c r="CI57" s="7">
        <f>ROUND(-0.381,10)</f>
        <v>-0.38100000000000001</v>
      </c>
      <c r="CJ57" s="7">
        <f>ROUND(-0.38,10)</f>
        <v>-0.38</v>
      </c>
      <c r="CK57" s="7">
        <f>ROUND(-0.38,10)</f>
        <v>-0.38</v>
      </c>
      <c r="CL57" s="7">
        <f>ROUND(-0.381,10)</f>
        <v>-0.38100000000000001</v>
      </c>
      <c r="CM57" s="7">
        <f>ROUND(-0.381,10)</f>
        <v>-0.38100000000000001</v>
      </c>
      <c r="CN57" s="7">
        <f>ROUND(-0.379,10)</f>
        <v>-0.379</v>
      </c>
      <c r="CO57" s="7">
        <f>ROUND(-0.38,10)</f>
        <v>-0.38</v>
      </c>
      <c r="CP57" s="7">
        <f>ROUND(-0.379,10)</f>
        <v>-0.379</v>
      </c>
      <c r="CQ57" s="7">
        <f>ROUND(-0.379,10)</f>
        <v>-0.379</v>
      </c>
      <c r="CR57" s="7">
        <f>ROUND(-0.379,10)</f>
        <v>-0.379</v>
      </c>
      <c r="CS57" s="7">
        <f>ROUND(-0.379,10)</f>
        <v>-0.379</v>
      </c>
      <c r="CT57" s="7">
        <f>ROUND(-0.382,10)</f>
        <v>-0.38200000000000001</v>
      </c>
      <c r="CU57" s="7">
        <f>ROUND(-0.38,10)</f>
        <v>-0.38</v>
      </c>
      <c r="CV57" s="7">
        <f>ROUND(-0.379,10)</f>
        <v>-0.379</v>
      </c>
      <c r="CW57" s="7">
        <f>ROUND(-0.379,10)</f>
        <v>-0.379</v>
      </c>
      <c r="CX57" s="7">
        <f>ROUND(-0.38,10)</f>
        <v>-0.38</v>
      </c>
      <c r="CY57" s="7">
        <f>ROUND(-0.386,10)</f>
        <v>-0.38600000000000001</v>
      </c>
      <c r="CZ57" s="7">
        <f>ROUND(-0.385,10)</f>
        <v>-0.38500000000000001</v>
      </c>
      <c r="DA57" s="7">
        <f>ROUND(-0.387,10)</f>
        <v>-0.38700000000000001</v>
      </c>
      <c r="DB57" s="7">
        <f>ROUND(-0.392,10)</f>
        <v>-0.39200000000000002</v>
      </c>
      <c r="DC57" s="7">
        <f>ROUND(-0.391,10)</f>
        <v>-0.39100000000000001</v>
      </c>
      <c r="DD57" s="7">
        <f>ROUND(-0.391,10)</f>
        <v>-0.39100000000000001</v>
      </c>
      <c r="DE57" s="7">
        <f>ROUND(-0.389,10)</f>
        <v>-0.38900000000000001</v>
      </c>
      <c r="DF57" s="7">
        <f>ROUND(-0.392,10)</f>
        <v>-0.39200000000000002</v>
      </c>
      <c r="DG57" s="7">
        <f>ROUND(-0.391,10)</f>
        <v>-0.39100000000000001</v>
      </c>
      <c r="DH57" s="7">
        <f>ROUND(-0.391,10)</f>
        <v>-0.39100000000000001</v>
      </c>
      <c r="DI57" s="7">
        <f>ROUND(-0.396,10)</f>
        <v>-0.39600000000000002</v>
      </c>
      <c r="DJ57" s="7">
        <f>ROUND(-0.395,10)</f>
        <v>-0.39500000000000002</v>
      </c>
      <c r="DK57" s="7">
        <f>ROUND(-0.394,10)</f>
        <v>-0.39400000000000002</v>
      </c>
      <c r="DL57" s="7">
        <f>ROUND(-0.393,10)</f>
        <v>-0.39300000000000002</v>
      </c>
      <c r="DM57" s="7">
        <f>ROUND(-0.395,10)</f>
        <v>-0.39500000000000002</v>
      </c>
      <c r="DN57" s="7">
        <f>ROUND(-0.398,10)</f>
        <v>-0.39800000000000002</v>
      </c>
      <c r="DO57" s="7">
        <f>ROUND(-0.398,10)</f>
        <v>-0.39800000000000002</v>
      </c>
      <c r="DP57" s="7">
        <f>ROUND(-0.4,10)</f>
        <v>-0.4</v>
      </c>
      <c r="DQ57" s="7">
        <f>ROUND(-0.4,10)</f>
        <v>-0.4</v>
      </c>
      <c r="DR57" s="7">
        <f>ROUND(-0.404,10)</f>
        <v>-0.40400000000000003</v>
      </c>
      <c r="DS57" s="7">
        <f>ROUND(-0.4,10)</f>
        <v>-0.4</v>
      </c>
      <c r="DT57" s="7">
        <f>ROUND(-0.403,10)</f>
        <v>-0.40300000000000002</v>
      </c>
      <c r="DU57" s="7">
        <f>ROUND(-0.403,10)</f>
        <v>-0.40300000000000002</v>
      </c>
      <c r="DV57" s="7">
        <f>ROUND(-0.403,10)</f>
        <v>-0.40300000000000002</v>
      </c>
      <c r="DW57" s="7">
        <f>ROUND(-0.398,10)</f>
        <v>-0.39800000000000002</v>
      </c>
      <c r="DX57" s="7">
        <f>ROUND(-0.397,10)</f>
        <v>-0.39700000000000002</v>
      </c>
      <c r="DY57" s="7">
        <f>ROUND(-0.397,10)</f>
        <v>-0.39700000000000002</v>
      </c>
      <c r="DZ57" s="7">
        <f>ROUND(-0.396,10)</f>
        <v>-0.39600000000000002</v>
      </c>
      <c r="EA57" s="7">
        <f>ROUND(-0.404,10)</f>
        <v>-0.40400000000000003</v>
      </c>
      <c r="EB57" s="7">
        <f>ROUND(-0.398,10)</f>
        <v>-0.39800000000000002</v>
      </c>
      <c r="EC57" s="7">
        <f>ROUND(-0.394,10)</f>
        <v>-0.39400000000000002</v>
      </c>
      <c r="ED57" s="7">
        <f>ROUND(-0.396,10)</f>
        <v>-0.39600000000000002</v>
      </c>
      <c r="EE57" s="7">
        <f>ROUND(-0.404,10)</f>
        <v>-0.40400000000000003</v>
      </c>
      <c r="EF57" s="7">
        <f>ROUND(-0.399,10)</f>
        <v>-0.39900000000000002</v>
      </c>
      <c r="EG57" s="7">
        <f>ROUND(-0.401,10)</f>
        <v>-0.40100000000000002</v>
      </c>
      <c r="EH57" s="7">
        <f>ROUND(-0.398,10)</f>
        <v>-0.39800000000000002</v>
      </c>
      <c r="EI57" s="7">
        <f>ROUND(-0.4,10)</f>
        <v>-0.4</v>
      </c>
      <c r="EJ57" s="7">
        <f>ROUND(-0.401,10)</f>
        <v>-0.40100000000000002</v>
      </c>
      <c r="EK57" s="7">
        <f>ROUND(-0.4,10)</f>
        <v>-0.4</v>
      </c>
      <c r="EL57" s="7">
        <f>ROUND(-0.401,10)</f>
        <v>-0.40100000000000002</v>
      </c>
      <c r="EM57" s="7">
        <f>ROUND(-0.405,10)</f>
        <v>-0.40500000000000003</v>
      </c>
      <c r="EN57" s="7">
        <f>ROUND(-0.417,10)</f>
        <v>-0.41699999999999998</v>
      </c>
      <c r="EO57" s="7">
        <f>ROUND(-0.413,10)</f>
        <v>-0.41299999999999998</v>
      </c>
      <c r="EP57" s="7">
        <f>ROUND(-0.405,10)</f>
        <v>-0.40500000000000003</v>
      </c>
      <c r="EQ57" s="7">
        <f>ROUND(-0.402,10)</f>
        <v>-0.40200000000000002</v>
      </c>
      <c r="ER57" s="7">
        <f>ROUND(-0.402,10)</f>
        <v>-0.40200000000000002</v>
      </c>
      <c r="ES57" s="7">
        <f>ROUND(-0.407,10)</f>
        <v>-0.40699999999999997</v>
      </c>
      <c r="ET57" s="7">
        <f>ROUND(-0.414,10)</f>
        <v>-0.41399999999999998</v>
      </c>
      <c r="EU57" s="7">
        <f>ROUND(-0.411,10)</f>
        <v>-0.41099999999999998</v>
      </c>
      <c r="EV57" s="7">
        <f>ROUND(-0.407,10)</f>
        <v>-0.40699999999999997</v>
      </c>
      <c r="EW57" s="7">
        <f>ROUND(-0.415,10)</f>
        <v>-0.41499999999999998</v>
      </c>
      <c r="EX57" s="7">
        <f>ROUND(-0.403,10)</f>
        <v>-0.40300000000000002</v>
      </c>
      <c r="EY57" s="7">
        <f>ROUND(-0.407,10)</f>
        <v>-0.40699999999999997</v>
      </c>
      <c r="EZ57" s="7">
        <f>ROUND(-0.408,10)</f>
        <v>-0.40799999999999997</v>
      </c>
      <c r="FA57" s="7">
        <f>ROUND(-0.404,10)</f>
        <v>-0.40400000000000003</v>
      </c>
      <c r="FB57" s="7">
        <f>ROUND(-0.408,10)</f>
        <v>-0.40799999999999997</v>
      </c>
      <c r="FC57" s="7">
        <f>ROUND(-0.404,10)</f>
        <v>-0.40400000000000003</v>
      </c>
      <c r="FD57" s="7">
        <f>ROUND(-0.413,10)</f>
        <v>-0.41299999999999998</v>
      </c>
      <c r="FE57" s="7">
        <f>ROUND(-0.403,10)</f>
        <v>-0.40300000000000002</v>
      </c>
      <c r="FF57" s="7">
        <f>ROUND(-0.403,10)</f>
        <v>-0.40300000000000002</v>
      </c>
      <c r="FG57" s="7">
        <f>ROUND(-0.406,10)</f>
        <v>-0.40600000000000003</v>
      </c>
      <c r="FH57" s="7">
        <f>ROUND(-0.4,10)</f>
        <v>-0.4</v>
      </c>
      <c r="FI57" s="7">
        <f>ROUND(-0.396,10)</f>
        <v>-0.39600000000000002</v>
      </c>
      <c r="FJ57" s="7">
        <f>ROUND(-0.403,10)</f>
        <v>-0.40300000000000002</v>
      </c>
      <c r="FK57" s="7">
        <f>ROUND(-0.401,10)</f>
        <v>-0.40100000000000002</v>
      </c>
      <c r="FL57" s="7">
        <f>ROUND(-0.402,10)</f>
        <v>-0.40200000000000002</v>
      </c>
      <c r="FM57" s="7">
        <f>ROUND(-0.415,10)</f>
        <v>-0.41499999999999998</v>
      </c>
      <c r="FN57" s="7">
        <f>ROUND(-0.411,10)</f>
        <v>-0.41099999999999998</v>
      </c>
      <c r="FO57" s="7">
        <f>ROUND(-0.403,10)</f>
        <v>-0.40300000000000002</v>
      </c>
      <c r="FP57" s="7">
        <f>ROUND(-0.413,10)</f>
        <v>-0.41299999999999998</v>
      </c>
      <c r="FQ57" s="7">
        <f>ROUND(-0.413,10)</f>
        <v>-0.41299999999999998</v>
      </c>
      <c r="FR57" s="7">
        <f>ROUND(-0.404,10)</f>
        <v>-0.40400000000000003</v>
      </c>
      <c r="FS57" s="7">
        <f>ROUND(-0.408,10)</f>
        <v>-0.40799999999999997</v>
      </c>
      <c r="FT57" s="7">
        <f>ROUND(-0.403,10)</f>
        <v>-0.40300000000000002</v>
      </c>
      <c r="FU57" s="7">
        <f>ROUND(-0.407,10)</f>
        <v>-0.40699999999999997</v>
      </c>
      <c r="FV57" s="7">
        <f>ROUND(-0.407,10)</f>
        <v>-0.40699999999999997</v>
      </c>
      <c r="FW57" s="7">
        <f>ROUND(-0.412,10)</f>
        <v>-0.41199999999999998</v>
      </c>
      <c r="FX57" s="7">
        <f>ROUND(-0.427,10)</f>
        <v>-0.42699999999999999</v>
      </c>
      <c r="FY57" s="7">
        <f>ROUND(-0.425,10)</f>
        <v>-0.42499999999999999</v>
      </c>
      <c r="FZ57" s="7">
        <f>ROUND(-0.458,10)</f>
        <v>-0.45800000000000002</v>
      </c>
      <c r="GA57" s="7">
        <f>ROUND(-0.468,10)</f>
        <v>-0.46800000000000003</v>
      </c>
      <c r="GB57" s="7">
        <f>ROUND(-0.485,10)</f>
        <v>-0.48499999999999999</v>
      </c>
      <c r="GC57" s="7">
        <f>ROUND(-0.492,10)</f>
        <v>-0.49199999999999999</v>
      </c>
      <c r="GD57" s="7">
        <f>ROUND(-0.494,10)</f>
        <v>-0.49399999999999999</v>
      </c>
      <c r="GE57" s="7">
        <f>ROUND(-0.499,10)</f>
        <v>-0.499</v>
      </c>
      <c r="GF57" s="7">
        <f>ROUND(-0.502,10)</f>
        <v>-0.502</v>
      </c>
      <c r="GG57" s="7">
        <f>ROUND(-0.508,10)</f>
        <v>-0.50800000000000001</v>
      </c>
      <c r="GH57" s="7">
        <f>ROUND(-0.509,10)</f>
        <v>-0.50900000000000001</v>
      </c>
      <c r="GI57" s="7">
        <f>ROUND(-0.502,10)</f>
        <v>-0.502</v>
      </c>
      <c r="GJ57" s="7">
        <f>ROUND(-0.499,10)</f>
        <v>-0.499</v>
      </c>
      <c r="GK57" s="7">
        <f>ROUND(-0.497,10)</f>
        <v>-0.497</v>
      </c>
      <c r="GL57" s="7">
        <f>ROUND(-0.515,10)</f>
        <v>-0.51500000000000001</v>
      </c>
      <c r="GM57" s="7">
        <f>ROUND(-0.503,10)</f>
        <v>-0.503</v>
      </c>
      <c r="GN57" s="7">
        <f>ROUND(-0.502,10)</f>
        <v>-0.502</v>
      </c>
      <c r="GO57" s="7">
        <f>ROUND(-0.498,10)</f>
        <v>-0.498</v>
      </c>
      <c r="GP57" s="7">
        <f>ROUND(-0.497,10)</f>
        <v>-0.497</v>
      </c>
      <c r="GQ57" s="7">
        <f>ROUND(-0.501,10)</f>
        <v>-0.501</v>
      </c>
      <c r="GR57" s="7">
        <f>ROUND(-0.493,10)</f>
        <v>-0.49299999999999999</v>
      </c>
      <c r="GS57" s="7">
        <f>ROUND(-0.496,10)</f>
        <v>-0.496</v>
      </c>
      <c r="GT57" s="7">
        <f>ROUND(-0.504,10)</f>
        <v>-0.504</v>
      </c>
      <c r="GU57" s="7">
        <f>ROUND(-0.487,10)</f>
        <v>-0.48699999999999999</v>
      </c>
      <c r="GV57" s="7">
        <f>ROUND(-0.498,10)</f>
        <v>-0.498</v>
      </c>
      <c r="GW57" s="7">
        <f>ROUND(-0.499,10)</f>
        <v>-0.499</v>
      </c>
      <c r="GX57" s="7">
        <f>ROUND(-0.488,10)</f>
        <v>-0.48799999999999999</v>
      </c>
      <c r="GY57" s="7">
        <f>ROUND(-0.493,10)</f>
        <v>-0.49299999999999999</v>
      </c>
      <c r="GZ57" s="7">
        <f>ROUND(-0.482,10)</f>
        <v>-0.48199999999999998</v>
      </c>
      <c r="HA57" s="7">
        <f>ROUND(-0.497,10)</f>
        <v>-0.497</v>
      </c>
      <c r="HB57" s="7">
        <f>ROUND(-0.494,10)</f>
        <v>-0.49399999999999999</v>
      </c>
      <c r="HC57" s="7">
        <f>ROUND(-0.503,10)</f>
        <v>-0.503</v>
      </c>
      <c r="HD57" s="7">
        <f>ROUND(-0.501,10)</f>
        <v>-0.501</v>
      </c>
      <c r="HE57" s="7">
        <f>ROUND(-0.482,10)</f>
        <v>-0.48199999999999998</v>
      </c>
      <c r="HF57" s="7">
        <f>ROUND(-0.484,10)</f>
        <v>-0.48399999999999999</v>
      </c>
      <c r="HG57" s="7">
        <f>ROUND(-0.48,10)</f>
        <v>-0.48</v>
      </c>
      <c r="HH57" s="7">
        <f>ROUND(-0.488,10)</f>
        <v>-0.48799999999999999</v>
      </c>
      <c r="HI57" s="7">
        <f>ROUND(-0.483,10)</f>
        <v>-0.48299999999999998</v>
      </c>
      <c r="HJ57" s="7">
        <f>ROUND(-0.475,10)</f>
        <v>-0.47499999999999998</v>
      </c>
      <c r="HK57" s="7">
        <f>ROUND(-0.487,10)</f>
        <v>-0.48699999999999999</v>
      </c>
      <c r="HL57" s="7">
        <f>ROUND(-0.478,10)</f>
        <v>-0.47799999999999998</v>
      </c>
      <c r="HM57" s="7">
        <f>ROUND(-0.477,10)</f>
        <v>-0.47699999999999998</v>
      </c>
      <c r="HN57" s="7">
        <f>ROUND(-0.485,10)</f>
        <v>-0.48499999999999999</v>
      </c>
      <c r="HO57" s="7">
        <f>ROUND(-0.482,10)</f>
        <v>-0.48199999999999998</v>
      </c>
      <c r="HP57" s="7">
        <f>ROUND(-0.483,10)</f>
        <v>-0.48299999999999998</v>
      </c>
      <c r="HQ57" s="7">
        <f>ROUND(-0.478,10)</f>
        <v>-0.47799999999999998</v>
      </c>
      <c r="HR57" s="7">
        <f>ROUND(-0.468,10)</f>
        <v>-0.46800000000000003</v>
      </c>
      <c r="HS57" s="7">
        <f>ROUND(-0.488,10)</f>
        <v>-0.48799999999999999</v>
      </c>
      <c r="HT57" s="7">
        <f>ROUND(-0.481,10)</f>
        <v>-0.48099999999999998</v>
      </c>
      <c r="HU57" s="7">
        <f>ROUND(-0.482,10)</f>
        <v>-0.48199999999999998</v>
      </c>
      <c r="HV57" s="7">
        <f>ROUND(-0.48,10)</f>
        <v>-0.48</v>
      </c>
      <c r="HW57" s="7">
        <f>ROUND(-0.47,10)</f>
        <v>-0.47</v>
      </c>
      <c r="HX57" s="7">
        <f>ROUND(-0.494,10)</f>
        <v>-0.49399999999999999</v>
      </c>
      <c r="HY57" s="7">
        <f>ROUND(-0.499,10)</f>
        <v>-0.499</v>
      </c>
      <c r="HZ57" s="7">
        <f>ROUND(-0.499,10)</f>
        <v>-0.499</v>
      </c>
      <c r="IA57" s="7">
        <f>ROUND(-0.476,10)</f>
        <v>-0.47599999999999998</v>
      </c>
      <c r="IB57" s="7">
        <f>ROUND(-0.484,10)</f>
        <v>-0.48399999999999999</v>
      </c>
      <c r="IC57" s="7">
        <f>ROUND(-0.472,10)</f>
        <v>-0.47199999999999998</v>
      </c>
      <c r="ID57" s="7">
        <f>ROUND(-0.499,10)</f>
        <v>-0.499</v>
      </c>
      <c r="IE57" s="7">
        <f>ROUND(-0.499,10)</f>
        <v>-0.499</v>
      </c>
      <c r="IF57" s="7">
        <f>ROUND(-0.493,10)</f>
        <v>-0.49299999999999999</v>
      </c>
      <c r="IG57" s="7">
        <f>ROUND(-0.489,10)</f>
        <v>-0.48899999999999999</v>
      </c>
      <c r="IH57" s="7">
        <f>ROUND(-0.505,10)</f>
        <v>-0.505</v>
      </c>
      <c r="II57" s="7">
        <f>ROUND(-0.492,10)</f>
        <v>-0.49199999999999999</v>
      </c>
      <c r="IJ57" s="7">
        <f>ROUND(-0.491,10)</f>
        <v>-0.49099999999999999</v>
      </c>
      <c r="IK57" s="7">
        <f>ROUND(-0.487,10)</f>
        <v>-0.48699999999999999</v>
      </c>
      <c r="IL57" s="7">
        <f>ROUND(-0.491,10)</f>
        <v>-0.49099999999999999</v>
      </c>
      <c r="IM57" s="7">
        <f>ROUND(-0.501,10)</f>
        <v>-0.501</v>
      </c>
      <c r="IN57" s="7">
        <f>ROUND(-0.497,10)</f>
        <v>-0.497</v>
      </c>
      <c r="IO57" s="7">
        <f>ROUND(-0.491,10)</f>
        <v>-0.49099999999999999</v>
      </c>
      <c r="IP57" s="7">
        <f>ROUND(-0.486,10)</f>
        <v>-0.48599999999999999</v>
      </c>
      <c r="IQ57" s="7">
        <f>ROUND(-0.477,10)</f>
        <v>-0.47699999999999998</v>
      </c>
      <c r="IR57" s="7">
        <f>ROUND(-0.476,10)</f>
        <v>-0.47599999999999998</v>
      </c>
      <c r="IS57" s="7">
        <f>ROUND(-0.513,10)</f>
        <v>-0.51300000000000001</v>
      </c>
      <c r="IT57" s="7">
        <f>ROUND(-0.513,10)</f>
        <v>-0.51300000000000001</v>
      </c>
      <c r="IU57" s="7">
        <f>ROUND(-0.49,10)</f>
        <v>-0.49</v>
      </c>
      <c r="IV57" s="7">
        <f>ROUND(-0.499,10)</f>
        <v>-0.499</v>
      </c>
    </row>
    <row r="58" spans="1:256">
      <c r="A58" s="6" t="s">
        <v>36</v>
      </c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</row>
    <row r="59" spans="1:256">
      <c r="A59" s="6" t="s">
        <v>37</v>
      </c>
      <c r="B59" s="7">
        <f>ROUND(-0.362,10)</f>
        <v>-0.36199999999999999</v>
      </c>
      <c r="C59" s="7">
        <f>ROUND(-0.363,10)</f>
        <v>-0.36299999999999999</v>
      </c>
      <c r="D59" s="7">
        <f>ROUND(-0.363,10)</f>
        <v>-0.36299999999999999</v>
      </c>
      <c r="E59" s="7">
        <f>ROUND(-0.363,10)</f>
        <v>-0.36299999999999999</v>
      </c>
      <c r="F59" s="7">
        <f>ROUND(-0.363,10)</f>
        <v>-0.36299999999999999</v>
      </c>
      <c r="G59" s="7">
        <f>ROUND(-0.364,10)</f>
        <v>-0.36399999999999999</v>
      </c>
      <c r="H59" s="7">
        <f>ROUND(-0.364,10)</f>
        <v>-0.36399999999999999</v>
      </c>
      <c r="I59" s="7">
        <f>ROUND(-0.365,10)</f>
        <v>-0.36499999999999999</v>
      </c>
      <c r="J59" s="7">
        <f>ROUND(-0.368,10)</f>
        <v>-0.36799999999999999</v>
      </c>
      <c r="K59" s="7">
        <f>ROUND(-0.369,10)</f>
        <v>-0.36899999999999999</v>
      </c>
      <c r="L59" s="7">
        <f>ROUND(-0.369,10)</f>
        <v>-0.36899999999999999</v>
      </c>
      <c r="M59" s="7">
        <f>ROUND(-0.368,10)</f>
        <v>-0.36799999999999999</v>
      </c>
      <c r="N59" s="7">
        <f>ROUND(-0.368,10)</f>
        <v>-0.36799999999999999</v>
      </c>
      <c r="O59" s="7">
        <f>ROUND(-0.368,10)</f>
        <v>-0.36799999999999999</v>
      </c>
      <c r="P59" s="7">
        <f>ROUND(-0.368,10)</f>
        <v>-0.36799999999999999</v>
      </c>
      <c r="Q59" s="7">
        <f>ROUND(-0.368,10)</f>
        <v>-0.36799999999999999</v>
      </c>
      <c r="R59" s="7">
        <f>ROUND(-0.367,10)</f>
        <v>-0.36699999999999999</v>
      </c>
      <c r="S59" s="7">
        <f>ROUND(-0.368,10)</f>
        <v>-0.36799999999999999</v>
      </c>
      <c r="T59" s="7">
        <f>ROUND(-0.368,10)</f>
        <v>-0.36799999999999999</v>
      </c>
      <c r="U59" s="7">
        <f>ROUND(-0.368,10)</f>
        <v>-0.36799999999999999</v>
      </c>
      <c r="V59" s="7">
        <f>ROUND(-0.368,10)</f>
        <v>-0.36799999999999999</v>
      </c>
      <c r="W59" s="7">
        <f>ROUND(-0.368,10)</f>
        <v>-0.36799999999999999</v>
      </c>
      <c r="X59" s="7">
        <f>ROUND(-0.369,10)</f>
        <v>-0.36899999999999999</v>
      </c>
      <c r="Y59" s="7">
        <f>ROUND(-0.367,10)</f>
        <v>-0.36699999999999999</v>
      </c>
      <c r="Z59" s="7">
        <f>ROUND(-0.368,10)</f>
        <v>-0.36799999999999999</v>
      </c>
      <c r="AA59" s="7">
        <f>ROUND(-0.367,10)</f>
        <v>-0.36699999999999999</v>
      </c>
      <c r="AB59" s="7">
        <f>ROUND(-0.369,10)</f>
        <v>-0.36899999999999999</v>
      </c>
      <c r="AC59" s="7">
        <f>ROUND(-0.368,10)</f>
        <v>-0.36799999999999999</v>
      </c>
      <c r="AD59" s="7">
        <f>ROUND(-0.368,10)</f>
        <v>-0.36799999999999999</v>
      </c>
      <c r="AE59" s="7">
        <f>ROUND(-0.368,10)</f>
        <v>-0.36799999999999999</v>
      </c>
      <c r="AF59" s="7">
        <f>ROUND(-0.367,10)</f>
        <v>-0.36699999999999999</v>
      </c>
      <c r="AG59" s="7">
        <f>ROUND(-0.368,10)</f>
        <v>-0.36799999999999999</v>
      </c>
      <c r="AH59" s="7">
        <f>ROUND(-0.368,10)</f>
        <v>-0.36799999999999999</v>
      </c>
      <c r="AI59" s="7">
        <f>ROUND(-0.368,10)</f>
        <v>-0.36799999999999999</v>
      </c>
      <c r="AJ59" s="7">
        <f>ROUND(-0.367,10)</f>
        <v>-0.36699999999999999</v>
      </c>
      <c r="AK59" s="7">
        <f>ROUND(-0.367,10)</f>
        <v>-0.36699999999999999</v>
      </c>
      <c r="AL59" s="7">
        <f>ROUND(-0.368,10)</f>
        <v>-0.36799999999999999</v>
      </c>
      <c r="AM59" s="7">
        <f>ROUND(-0.367,10)</f>
        <v>-0.36699999999999999</v>
      </c>
      <c r="AN59" s="7">
        <f>ROUND(-0.366,10)</f>
        <v>-0.36599999999999999</v>
      </c>
      <c r="AO59" s="7">
        <f>ROUND(-0.368,10)</f>
        <v>-0.36799999999999999</v>
      </c>
      <c r="AP59" s="7">
        <f>ROUND(-0.368,10)</f>
        <v>-0.36799999999999999</v>
      </c>
      <c r="AQ59" s="7">
        <f>ROUND(-0.368,10)</f>
        <v>-0.36799999999999999</v>
      </c>
      <c r="AR59" s="7">
        <f>ROUND(-0.368,10)</f>
        <v>-0.36799999999999999</v>
      </c>
      <c r="AS59" s="7">
        <f>ROUND(-0.367,10)</f>
        <v>-0.36699999999999999</v>
      </c>
      <c r="AT59" s="7">
        <f>ROUND(-0.367,10)</f>
        <v>-0.36699999999999999</v>
      </c>
      <c r="AU59" s="7">
        <f>ROUND(-0.367,10)</f>
        <v>-0.36699999999999999</v>
      </c>
      <c r="AV59" s="7">
        <f>ROUND(-0.367,10)</f>
        <v>-0.36699999999999999</v>
      </c>
      <c r="AW59" s="7">
        <f>ROUND(-0.367,10)</f>
        <v>-0.36699999999999999</v>
      </c>
      <c r="AX59" s="7">
        <f>ROUND(-0.368,10)</f>
        <v>-0.36799999999999999</v>
      </c>
      <c r="AY59" s="7">
        <f>ROUND(-0.368,10)</f>
        <v>-0.36799999999999999</v>
      </c>
      <c r="AZ59" s="7">
        <f>ROUND(-0.368,10)</f>
        <v>-0.36799999999999999</v>
      </c>
      <c r="BA59" s="7">
        <f>ROUND(-0.368,10)</f>
        <v>-0.36799999999999999</v>
      </c>
      <c r="BB59" s="7">
        <f>ROUND(-0.368,10)</f>
        <v>-0.36799999999999999</v>
      </c>
      <c r="BC59" s="7">
        <f>ROUND(-0.367,10)</f>
        <v>-0.36699999999999999</v>
      </c>
      <c r="BD59" s="7">
        <f>ROUND(-0.367,10)</f>
        <v>-0.36699999999999999</v>
      </c>
      <c r="BE59" s="7">
        <f>ROUND(-0.367,10)</f>
        <v>-0.36699999999999999</v>
      </c>
      <c r="BF59" s="7">
        <f>ROUND(-0.367,10)</f>
        <v>-0.36699999999999999</v>
      </c>
      <c r="BG59" s="7">
        <f>ROUND(-0.367,10)</f>
        <v>-0.36699999999999999</v>
      </c>
      <c r="BH59" s="7">
        <f>ROUND(-0.368,10)</f>
        <v>-0.36799999999999999</v>
      </c>
      <c r="BI59" s="7">
        <f>ROUND(-0.368,10)</f>
        <v>-0.36799999999999999</v>
      </c>
      <c r="BJ59" s="7">
        <f>ROUND(-0.368,10)</f>
        <v>-0.36799999999999999</v>
      </c>
      <c r="BK59" s="7">
        <f>ROUND(-0.368,10)</f>
        <v>-0.36799999999999999</v>
      </c>
      <c r="BL59" s="7">
        <f t="shared" ref="BL59:BX59" si="175">ROUND(-0.367,10)</f>
        <v>-0.36699999999999999</v>
      </c>
      <c r="BM59" s="7">
        <f t="shared" si="175"/>
        <v>-0.36699999999999999</v>
      </c>
      <c r="BN59" s="7">
        <f t="shared" si="175"/>
        <v>-0.36699999999999999</v>
      </c>
      <c r="BO59" s="7">
        <f t="shared" si="175"/>
        <v>-0.36699999999999999</v>
      </c>
      <c r="BP59" s="7">
        <f t="shared" si="175"/>
        <v>-0.36699999999999999</v>
      </c>
      <c r="BQ59" s="7">
        <f t="shared" si="175"/>
        <v>-0.36699999999999999</v>
      </c>
      <c r="BR59" s="7">
        <f t="shared" si="175"/>
        <v>-0.36699999999999999</v>
      </c>
      <c r="BS59" s="7">
        <f t="shared" si="175"/>
        <v>-0.36699999999999999</v>
      </c>
      <c r="BT59" s="7">
        <f t="shared" si="175"/>
        <v>-0.36699999999999999</v>
      </c>
      <c r="BU59" s="7">
        <f t="shared" si="175"/>
        <v>-0.36699999999999999</v>
      </c>
      <c r="BV59" s="7">
        <f t="shared" si="175"/>
        <v>-0.36699999999999999</v>
      </c>
      <c r="BW59" s="7">
        <f t="shared" si="175"/>
        <v>-0.36699999999999999</v>
      </c>
      <c r="BX59" s="7">
        <f t="shared" si="175"/>
        <v>-0.36699999999999999</v>
      </c>
      <c r="BY59" s="7">
        <f>ROUND(-0.368,10)</f>
        <v>-0.36799999999999999</v>
      </c>
      <c r="BZ59" s="7">
        <f>ROUND(-0.368,10)</f>
        <v>-0.36799999999999999</v>
      </c>
      <c r="CA59" s="7">
        <f>ROUND(-0.367,10)</f>
        <v>-0.36699999999999999</v>
      </c>
      <c r="CB59" s="7">
        <f>ROUND(-0.368,10)</f>
        <v>-0.36799999999999999</v>
      </c>
      <c r="CC59" s="7">
        <f>ROUND(-0.368,10)</f>
        <v>-0.36799999999999999</v>
      </c>
      <c r="CD59" s="7">
        <f>ROUND(-0.367,10)</f>
        <v>-0.36699999999999999</v>
      </c>
      <c r="CE59" s="7">
        <f>ROUND(-0.368,10)</f>
        <v>-0.36799999999999999</v>
      </c>
      <c r="CF59" s="7">
        <f>ROUND(-0.367,10)</f>
        <v>-0.36699999999999999</v>
      </c>
      <c r="CG59" s="7">
        <f>ROUND(-0.366,10)</f>
        <v>-0.36599999999999999</v>
      </c>
      <c r="CH59" s="7">
        <f>ROUND(-0.365,10)</f>
        <v>-0.36499999999999999</v>
      </c>
      <c r="CI59" s="7">
        <f>ROUND(-0.365,10)</f>
        <v>-0.36499999999999999</v>
      </c>
      <c r="CJ59" s="7">
        <f>ROUND(-0.367,10)</f>
        <v>-0.36699999999999999</v>
      </c>
      <c r="CK59" s="7">
        <f>ROUND(-0.366,10)</f>
        <v>-0.36599999999999999</v>
      </c>
      <c r="CL59" s="7">
        <f>ROUND(-0.366,10)</f>
        <v>-0.36599999999999999</v>
      </c>
      <c r="CM59" s="7">
        <f>ROUND(-0.367,10)</f>
        <v>-0.36699999999999999</v>
      </c>
      <c r="CN59" s="7">
        <f>ROUND(-0.366,10)</f>
        <v>-0.36599999999999999</v>
      </c>
      <c r="CO59" s="7">
        <f>ROUND(-0.366,10)</f>
        <v>-0.36599999999999999</v>
      </c>
      <c r="CP59" s="7">
        <f>ROUND(-0.366,10)</f>
        <v>-0.36599999999999999</v>
      </c>
      <c r="CQ59" s="7">
        <f>ROUND(-0.366,10)</f>
        <v>-0.36599999999999999</v>
      </c>
      <c r="CR59" s="7">
        <f>ROUND(-0.368,10)</f>
        <v>-0.36799999999999999</v>
      </c>
      <c r="CS59" s="7">
        <f>ROUND(-0.368,10)</f>
        <v>-0.36799999999999999</v>
      </c>
      <c r="CT59" s="7">
        <f>ROUND(-0.371,10)</f>
        <v>-0.371</v>
      </c>
      <c r="CU59" s="7">
        <f>ROUND(-0.371,10)</f>
        <v>-0.371</v>
      </c>
      <c r="CV59" s="7">
        <f>ROUND(-0.368,10)</f>
        <v>-0.36799999999999999</v>
      </c>
      <c r="CW59" s="7">
        <f>ROUND(-0.372,10)</f>
        <v>-0.372</v>
      </c>
      <c r="CX59" s="7">
        <f>ROUND(-0.372,10)</f>
        <v>-0.372</v>
      </c>
      <c r="CY59" s="7">
        <f>ROUND(-0.374,10)</f>
        <v>-0.374</v>
      </c>
      <c r="CZ59" s="7">
        <f>ROUND(-0.374,10)</f>
        <v>-0.374</v>
      </c>
      <c r="DA59" s="7">
        <f>ROUND(-0.376,10)</f>
        <v>-0.376</v>
      </c>
      <c r="DB59" s="7">
        <f>ROUND(-0.378,10)</f>
        <v>-0.378</v>
      </c>
      <c r="DC59" s="7">
        <f>ROUND(-0.378,10)</f>
        <v>-0.378</v>
      </c>
      <c r="DD59" s="7">
        <f>ROUND(-0.379,10)</f>
        <v>-0.379</v>
      </c>
      <c r="DE59" s="7">
        <f>ROUND(-0.383,10)</f>
        <v>-0.38300000000000001</v>
      </c>
      <c r="DF59" s="7">
        <f>ROUND(-0.383,10)</f>
        <v>-0.38300000000000001</v>
      </c>
      <c r="DG59" s="7">
        <f>ROUND(-0.381,10)</f>
        <v>-0.38100000000000001</v>
      </c>
      <c r="DH59" s="7">
        <f>ROUND(-0.377,10)</f>
        <v>-0.377</v>
      </c>
      <c r="DI59" s="7">
        <f>ROUND(-0.377,10)</f>
        <v>-0.377</v>
      </c>
      <c r="DJ59" s="7">
        <f>ROUND(-0.377,10)</f>
        <v>-0.377</v>
      </c>
      <c r="DK59" s="7">
        <f>ROUND(-0.376,10)</f>
        <v>-0.376</v>
      </c>
      <c r="DL59" s="7">
        <f>ROUND(-0.378,10)</f>
        <v>-0.378</v>
      </c>
      <c r="DM59" s="7">
        <f>ROUND(-0.385,10)</f>
        <v>-0.38500000000000001</v>
      </c>
      <c r="DN59" s="7">
        <f>ROUND(-0.388,10)</f>
        <v>-0.38800000000000001</v>
      </c>
      <c r="DO59" s="7">
        <f>ROUND(-0.391,10)</f>
        <v>-0.39100000000000001</v>
      </c>
      <c r="DP59" s="7">
        <f>ROUND(-0.396,10)</f>
        <v>-0.39600000000000002</v>
      </c>
      <c r="DQ59" s="7">
        <f>ROUND(-0.398,10)</f>
        <v>-0.39800000000000002</v>
      </c>
      <c r="DR59" s="7">
        <f>ROUND(-0.393,10)</f>
        <v>-0.39300000000000002</v>
      </c>
      <c r="DS59" s="7">
        <f>ROUND(-0.389,10)</f>
        <v>-0.38900000000000001</v>
      </c>
      <c r="DT59" s="7">
        <f>ROUND(-0.388,10)</f>
        <v>-0.38800000000000001</v>
      </c>
      <c r="DU59" s="7">
        <f>ROUND(-0.391,10)</f>
        <v>-0.39100000000000001</v>
      </c>
      <c r="DV59" s="7">
        <f>ROUND(-0.388,10)</f>
        <v>-0.38800000000000001</v>
      </c>
      <c r="DW59" s="7">
        <f>ROUND(-0.392,10)</f>
        <v>-0.39200000000000002</v>
      </c>
      <c r="DX59" s="7">
        <f>ROUND(-0.386,10)</f>
        <v>-0.38600000000000001</v>
      </c>
      <c r="DY59" s="7">
        <f>ROUND(-0.39,10)</f>
        <v>-0.39</v>
      </c>
      <c r="DZ59" s="7">
        <f>ROUND(-0.393,10)</f>
        <v>-0.39300000000000002</v>
      </c>
      <c r="EA59" s="7">
        <f>ROUND(-0.394,10)</f>
        <v>-0.39400000000000002</v>
      </c>
      <c r="EB59" s="7">
        <f>ROUND(-0.393,10)</f>
        <v>-0.39300000000000002</v>
      </c>
      <c r="EC59" s="7">
        <f>ROUND(-0.389,10)</f>
        <v>-0.38900000000000001</v>
      </c>
      <c r="ED59" s="7">
        <f>ROUND(-0.389,10)</f>
        <v>-0.38900000000000001</v>
      </c>
      <c r="EE59" s="7">
        <f>ROUND(-0.394,10)</f>
        <v>-0.39400000000000002</v>
      </c>
      <c r="EF59" s="7">
        <f>ROUND(-0.393,10)</f>
        <v>-0.39300000000000002</v>
      </c>
      <c r="EG59" s="7">
        <f>ROUND(-0.393,10)</f>
        <v>-0.39300000000000002</v>
      </c>
      <c r="EH59" s="7">
        <f>ROUND(-0.395,10)</f>
        <v>-0.39500000000000002</v>
      </c>
      <c r="EI59" s="7">
        <f>ROUND(-0.397,10)</f>
        <v>-0.39700000000000002</v>
      </c>
      <c r="EJ59" s="7">
        <f>ROUND(-0.399,10)</f>
        <v>-0.39900000000000002</v>
      </c>
      <c r="EK59" s="7">
        <f>ROUND(-0.403,10)</f>
        <v>-0.40300000000000002</v>
      </c>
      <c r="EL59" s="7">
        <f>ROUND(-0.406,10)</f>
        <v>-0.40600000000000003</v>
      </c>
      <c r="EM59" s="7">
        <f>ROUND(-0.407,10)</f>
        <v>-0.40699999999999997</v>
      </c>
      <c r="EN59" s="7">
        <f>ROUND(-0.401,10)</f>
        <v>-0.40100000000000002</v>
      </c>
      <c r="EO59" s="7">
        <f>ROUND(-0.401,10)</f>
        <v>-0.40100000000000002</v>
      </c>
      <c r="EP59" s="7">
        <f>ROUND(-0.395,10)</f>
        <v>-0.39500000000000002</v>
      </c>
      <c r="EQ59" s="7">
        <f>ROUND(-0.394,10)</f>
        <v>-0.39400000000000002</v>
      </c>
      <c r="ER59" s="7">
        <f>ROUND(-0.392,10)</f>
        <v>-0.39200000000000002</v>
      </c>
      <c r="ES59" s="7">
        <f>ROUND(-0.392,10)</f>
        <v>-0.39200000000000002</v>
      </c>
      <c r="ET59" s="7">
        <f>ROUND(-0.393,10)</f>
        <v>-0.39300000000000002</v>
      </c>
      <c r="EU59" s="7">
        <f>ROUND(-0.392,10)</f>
        <v>-0.39200000000000002</v>
      </c>
      <c r="EV59" s="7">
        <f>ROUND(-0.401,10)</f>
        <v>-0.40100000000000002</v>
      </c>
      <c r="EW59" s="7">
        <f>ROUND(-0.4,10)</f>
        <v>-0.4</v>
      </c>
      <c r="EX59" s="7">
        <f>ROUND(-0.401,10)</f>
        <v>-0.40100000000000002</v>
      </c>
      <c r="EY59" s="7">
        <f>ROUND(-0.409,10)</f>
        <v>-0.40899999999999997</v>
      </c>
      <c r="EZ59" s="7">
        <f>ROUND(-0.403,10)</f>
        <v>-0.40300000000000002</v>
      </c>
      <c r="FA59" s="7">
        <f>ROUND(-0.405,10)</f>
        <v>-0.40500000000000003</v>
      </c>
      <c r="FB59" s="7">
        <f>ROUND(-0.413,10)</f>
        <v>-0.41299999999999998</v>
      </c>
      <c r="FC59" s="7">
        <f>ROUND(-0.403,10)</f>
        <v>-0.40300000000000002</v>
      </c>
      <c r="FD59" s="7">
        <f>ROUND(-0.404,10)</f>
        <v>-0.40400000000000003</v>
      </c>
      <c r="FE59" s="7">
        <f>ROUND(-0.423,10)</f>
        <v>-0.42299999999999999</v>
      </c>
      <c r="FF59" s="7">
        <f>ROUND(-0.409,10)</f>
        <v>-0.40899999999999997</v>
      </c>
      <c r="FG59" s="7">
        <f>ROUND(-0.405,10)</f>
        <v>-0.40500000000000003</v>
      </c>
      <c r="FH59" s="7">
        <f>ROUND(-0.409,10)</f>
        <v>-0.40899999999999997</v>
      </c>
      <c r="FI59" s="7">
        <f>ROUND(-0.415,10)</f>
        <v>-0.41499999999999998</v>
      </c>
      <c r="FJ59" s="7">
        <f>ROUND(-0.413,10)</f>
        <v>-0.41299999999999998</v>
      </c>
      <c r="FK59" s="7">
        <f>ROUND(-0.423,10)</f>
        <v>-0.42299999999999999</v>
      </c>
      <c r="FL59" s="7">
        <f>ROUND(-0.416,10)</f>
        <v>-0.41599999999999998</v>
      </c>
      <c r="FM59" s="7">
        <f>ROUND(-0.417,10)</f>
        <v>-0.41699999999999998</v>
      </c>
      <c r="FN59" s="7">
        <f>ROUND(-0.43,10)</f>
        <v>-0.43</v>
      </c>
      <c r="FO59" s="7">
        <f>ROUND(-0.427,10)</f>
        <v>-0.42699999999999999</v>
      </c>
      <c r="FP59" s="7">
        <f>ROUND(-0.427,10)</f>
        <v>-0.42699999999999999</v>
      </c>
      <c r="FQ59" s="7">
        <f>ROUND(-0.435,10)</f>
        <v>-0.435</v>
      </c>
      <c r="FR59" s="7">
        <f>ROUND(-0.441,10)</f>
        <v>-0.441</v>
      </c>
      <c r="FS59" s="7">
        <f>ROUND(-0.443,10)</f>
        <v>-0.443</v>
      </c>
      <c r="FT59" s="7">
        <f>ROUND(-0.452,10)</f>
        <v>-0.45200000000000001</v>
      </c>
      <c r="FU59" s="7">
        <f>ROUND(-0.448,10)</f>
        <v>-0.44800000000000001</v>
      </c>
      <c r="FV59" s="7">
        <f>ROUND(-0.455,10)</f>
        <v>-0.45500000000000002</v>
      </c>
      <c r="FW59" s="7">
        <f>ROUND(-0.453,10)</f>
        <v>-0.45300000000000001</v>
      </c>
      <c r="FX59" s="7">
        <f>ROUND(-0.455,10)</f>
        <v>-0.45500000000000002</v>
      </c>
      <c r="FY59" s="7">
        <f>ROUND(-0.438,10)</f>
        <v>-0.438</v>
      </c>
      <c r="FZ59" s="7">
        <f>ROUND(-0.449,10)</f>
        <v>-0.44900000000000001</v>
      </c>
      <c r="GA59" s="7">
        <f>ROUND(-0.447,10)</f>
        <v>-0.44700000000000001</v>
      </c>
      <c r="GB59" s="7">
        <f>ROUND(-0.438,10)</f>
        <v>-0.438</v>
      </c>
      <c r="GC59" s="7">
        <f>ROUND(-0.45,10)</f>
        <v>-0.45</v>
      </c>
      <c r="GD59" s="7">
        <f>ROUND(-0.454,10)</f>
        <v>-0.45400000000000001</v>
      </c>
      <c r="GE59" s="7">
        <f>ROUND(-0.45,10)</f>
        <v>-0.45</v>
      </c>
      <c r="GF59" s="7">
        <f>ROUND(-0.449,10)</f>
        <v>-0.44900000000000001</v>
      </c>
      <c r="GG59" s="7">
        <f>ROUND(-0.453,10)</f>
        <v>-0.45300000000000001</v>
      </c>
      <c r="GH59" s="7">
        <f>ROUND(-0.457,10)</f>
        <v>-0.45700000000000002</v>
      </c>
      <c r="GI59" s="7">
        <f>ROUND(-0.462,10)</f>
        <v>-0.46200000000000002</v>
      </c>
      <c r="GJ59" s="7">
        <f>ROUND(-0.457,10)</f>
        <v>-0.45700000000000002</v>
      </c>
      <c r="GK59" s="7">
        <f>ROUND(-0.467,10)</f>
        <v>-0.46700000000000003</v>
      </c>
      <c r="GL59" s="7">
        <f>ROUND(-0.468,10)</f>
        <v>-0.46800000000000003</v>
      </c>
      <c r="GM59" s="7">
        <f>ROUND(-0.474,10)</f>
        <v>-0.47399999999999998</v>
      </c>
      <c r="GN59" s="7">
        <f>ROUND(-0.474,10)</f>
        <v>-0.47399999999999998</v>
      </c>
      <c r="GO59" s="7">
        <f>ROUND(-0.468,10)</f>
        <v>-0.46800000000000003</v>
      </c>
      <c r="GP59" s="7">
        <f>ROUND(-0.463,10)</f>
        <v>-0.46300000000000002</v>
      </c>
      <c r="GQ59" s="7">
        <f>ROUND(-0.464,10)</f>
        <v>-0.46400000000000002</v>
      </c>
      <c r="GR59" s="7">
        <f>ROUND(-0.466,10)</f>
        <v>-0.46600000000000003</v>
      </c>
      <c r="GS59" s="7">
        <f>ROUND(-0.473,10)</f>
        <v>-0.47299999999999998</v>
      </c>
      <c r="GT59" s="7">
        <f>ROUND(-0.468,10)</f>
        <v>-0.46800000000000003</v>
      </c>
      <c r="GU59" s="7">
        <f>ROUND(-0.458,10)</f>
        <v>-0.45800000000000002</v>
      </c>
      <c r="GV59" s="7">
        <f>ROUND(-0.458,10)</f>
        <v>-0.45800000000000002</v>
      </c>
      <c r="GW59" s="7">
        <f>ROUND(-0.448,10)</f>
        <v>-0.44800000000000001</v>
      </c>
      <c r="GX59" s="7">
        <f>ROUND(-0.438,10)</f>
        <v>-0.438</v>
      </c>
      <c r="GY59" s="7">
        <f>ROUND(-0.438,10)</f>
        <v>-0.438</v>
      </c>
      <c r="GZ59" s="7">
        <f>ROUND(-0.444,10)</f>
        <v>-0.44400000000000001</v>
      </c>
      <c r="HA59" s="7">
        <f>ROUND(-0.443,10)</f>
        <v>-0.443</v>
      </c>
      <c r="HB59" s="7">
        <f>ROUND(-0.447,10)</f>
        <v>-0.44700000000000001</v>
      </c>
      <c r="HC59" s="7">
        <f>ROUND(-0.456,10)</f>
        <v>-0.45600000000000002</v>
      </c>
      <c r="HD59" s="7">
        <f>ROUND(-0.441,10)</f>
        <v>-0.441</v>
      </c>
      <c r="HE59" s="7">
        <f>ROUND(-0.443,10)</f>
        <v>-0.443</v>
      </c>
      <c r="HF59" s="7">
        <f>ROUND(-0.44,10)</f>
        <v>-0.44</v>
      </c>
      <c r="HG59" s="7">
        <f>ROUND(-0.437,10)</f>
        <v>-0.437</v>
      </c>
      <c r="HH59" s="7">
        <f>ROUND(-0.443,10)</f>
        <v>-0.443</v>
      </c>
      <c r="HI59" s="7">
        <f>ROUND(-0.443,10)</f>
        <v>-0.443</v>
      </c>
      <c r="HJ59" s="7">
        <f>ROUND(-0.438,10)</f>
        <v>-0.438</v>
      </c>
      <c r="HK59" s="7">
        <f>ROUND(-0.445,10)</f>
        <v>-0.44500000000000001</v>
      </c>
      <c r="HL59" s="7">
        <f>ROUND(-0.449,10)</f>
        <v>-0.44900000000000001</v>
      </c>
      <c r="HM59" s="7">
        <f>ROUND(-0.463,10)</f>
        <v>-0.46300000000000002</v>
      </c>
      <c r="HN59" s="7">
        <f>ROUND(-0.453,10)</f>
        <v>-0.45300000000000001</v>
      </c>
      <c r="HO59" s="7">
        <f>ROUND(-0.457,10)</f>
        <v>-0.45700000000000002</v>
      </c>
      <c r="HP59" s="7">
        <f>ROUND(-0.463,10)</f>
        <v>-0.46300000000000002</v>
      </c>
      <c r="HQ59" s="7">
        <f>ROUND(-0.455,10)</f>
        <v>-0.45500000000000002</v>
      </c>
      <c r="HR59" s="7">
        <f>ROUND(-0.45,10)</f>
        <v>-0.45</v>
      </c>
      <c r="HS59" s="7">
        <f>ROUND(-0.455,10)</f>
        <v>-0.45500000000000002</v>
      </c>
      <c r="HT59" s="7">
        <f>ROUND(-0.456,10)</f>
        <v>-0.45600000000000002</v>
      </c>
      <c r="HU59" s="7">
        <f>ROUND(-0.45,10)</f>
        <v>-0.45</v>
      </c>
      <c r="HV59" s="7">
        <f>ROUND(-0.459,10)</f>
        <v>-0.45900000000000002</v>
      </c>
      <c r="HW59" s="7">
        <f>ROUND(-0.445,10)</f>
        <v>-0.44500000000000001</v>
      </c>
      <c r="HX59" s="7">
        <f>ROUND(-0.451,10)</f>
        <v>-0.45100000000000001</v>
      </c>
      <c r="HY59" s="7">
        <f>ROUND(-0.451,10)</f>
        <v>-0.45100000000000001</v>
      </c>
      <c r="HZ59" s="7">
        <f>ROUND(-0.448,10)</f>
        <v>-0.44800000000000001</v>
      </c>
      <c r="IA59" s="7">
        <f>ROUND(-0.439,10)</f>
        <v>-0.439</v>
      </c>
      <c r="IB59" s="7">
        <f>ROUND(-0.437,10)</f>
        <v>-0.437</v>
      </c>
      <c r="IC59" s="7">
        <f>ROUND(-0.439,10)</f>
        <v>-0.439</v>
      </c>
      <c r="ID59" s="7">
        <f>ROUND(-0.448,10)</f>
        <v>-0.44800000000000001</v>
      </c>
      <c r="IE59" s="7">
        <f>ROUND(-0.45,10)</f>
        <v>-0.45</v>
      </c>
      <c r="IF59" s="7">
        <f>ROUND(-0.453,10)</f>
        <v>-0.45300000000000001</v>
      </c>
      <c r="IG59" s="7">
        <f>ROUND(-0.456,10)</f>
        <v>-0.45600000000000002</v>
      </c>
      <c r="IH59" s="7">
        <f>ROUND(-0.451,10)</f>
        <v>-0.45100000000000001</v>
      </c>
      <c r="II59" s="7">
        <f>ROUND(-0.448,10)</f>
        <v>-0.44800000000000001</v>
      </c>
      <c r="IJ59" s="7">
        <f>ROUND(-0.456,10)</f>
        <v>-0.45600000000000002</v>
      </c>
      <c r="IK59" s="7">
        <f>ROUND(-0.464,10)</f>
        <v>-0.46400000000000002</v>
      </c>
      <c r="IL59" s="7">
        <f>ROUND(-0.467,10)</f>
        <v>-0.46700000000000003</v>
      </c>
      <c r="IM59" s="7">
        <f>ROUND(-0.466,10)</f>
        <v>-0.46600000000000003</v>
      </c>
      <c r="IN59" s="7">
        <f>ROUND(-0.465,10)</f>
        <v>-0.46500000000000002</v>
      </c>
      <c r="IO59" s="7">
        <f>ROUND(-0.461,10)</f>
        <v>-0.46100000000000002</v>
      </c>
      <c r="IP59" s="7">
        <f>ROUND(-0.453,10)</f>
        <v>-0.45300000000000001</v>
      </c>
      <c r="IQ59" s="7">
        <f>ROUND(-0.449,10)</f>
        <v>-0.44900000000000001</v>
      </c>
      <c r="IR59" s="7">
        <f>ROUND(-0.451,10)</f>
        <v>-0.45100000000000001</v>
      </c>
      <c r="IS59" s="7">
        <f>ROUND(-0.452,10)</f>
        <v>-0.45200000000000001</v>
      </c>
      <c r="IT59" s="7">
        <f>ROUND(-0.444,10)</f>
        <v>-0.44400000000000001</v>
      </c>
      <c r="IU59" s="7">
        <f>ROUND(-0.447,10)</f>
        <v>-0.44700000000000001</v>
      </c>
      <c r="IV59" s="7">
        <f>ROUND(-0.438,10)</f>
        <v>-0.438</v>
      </c>
    </row>
    <row r="60" spans="1:256">
      <c r="A60" s="6" t="s">
        <v>38</v>
      </c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</row>
    <row r="61" spans="1:256">
      <c r="A61" s="6" t="s">
        <v>39</v>
      </c>
      <c r="B61" s="7">
        <f>ROUND(-0.31,10)</f>
        <v>-0.31</v>
      </c>
      <c r="C61" s="7">
        <f>ROUND(-0.309,10)</f>
        <v>-0.309</v>
      </c>
      <c r="D61" s="7">
        <f>ROUND(-0.309,10)</f>
        <v>-0.309</v>
      </c>
      <c r="E61" s="7">
        <f>ROUND(-0.31,10)</f>
        <v>-0.31</v>
      </c>
      <c r="F61" s="7">
        <f t="shared" ref="F61:Q61" si="176">ROUND(-0.308,10)</f>
        <v>-0.308</v>
      </c>
      <c r="G61" s="7">
        <f t="shared" si="176"/>
        <v>-0.308</v>
      </c>
      <c r="H61" s="7">
        <f t="shared" si="176"/>
        <v>-0.308</v>
      </c>
      <c r="I61" s="7">
        <f t="shared" si="176"/>
        <v>-0.308</v>
      </c>
      <c r="J61" s="7">
        <f t="shared" si="176"/>
        <v>-0.308</v>
      </c>
      <c r="K61" s="7">
        <f t="shared" si="176"/>
        <v>-0.308</v>
      </c>
      <c r="L61" s="7">
        <f t="shared" si="176"/>
        <v>-0.308</v>
      </c>
      <c r="M61" s="7">
        <f t="shared" si="176"/>
        <v>-0.308</v>
      </c>
      <c r="N61" s="7">
        <f t="shared" si="176"/>
        <v>-0.308</v>
      </c>
      <c r="O61" s="7">
        <f t="shared" si="176"/>
        <v>-0.308</v>
      </c>
      <c r="P61" s="7">
        <f t="shared" si="176"/>
        <v>-0.308</v>
      </c>
      <c r="Q61" s="7">
        <f t="shared" si="176"/>
        <v>-0.308</v>
      </c>
      <c r="R61" s="7">
        <f>ROUND(-0.306,10)</f>
        <v>-0.30599999999999999</v>
      </c>
      <c r="S61" s="7">
        <f>ROUND(-0.307,10)</f>
        <v>-0.307</v>
      </c>
      <c r="T61" s="7">
        <f>ROUND(-0.307,10)</f>
        <v>-0.307</v>
      </c>
      <c r="U61" s="7">
        <f>ROUND(-0.306,10)</f>
        <v>-0.30599999999999999</v>
      </c>
      <c r="V61" s="7">
        <f>ROUND(-0.308,10)</f>
        <v>-0.308</v>
      </c>
      <c r="W61" s="7">
        <f>ROUND(-0.308,10)</f>
        <v>-0.308</v>
      </c>
      <c r="X61" s="7">
        <f>ROUND(-0.308,10)</f>
        <v>-0.308</v>
      </c>
      <c r="Y61" s="7">
        <f>ROUND(-0.307,10)</f>
        <v>-0.307</v>
      </c>
      <c r="Z61" s="7">
        <f t="shared" ref="Z61:AK61" si="177">ROUND(-0.308,10)</f>
        <v>-0.308</v>
      </c>
      <c r="AA61" s="7">
        <f t="shared" si="177"/>
        <v>-0.308</v>
      </c>
      <c r="AB61" s="7">
        <f t="shared" si="177"/>
        <v>-0.308</v>
      </c>
      <c r="AC61" s="7">
        <f t="shared" si="177"/>
        <v>-0.308</v>
      </c>
      <c r="AD61" s="7">
        <f t="shared" si="177"/>
        <v>-0.308</v>
      </c>
      <c r="AE61" s="7">
        <f t="shared" si="177"/>
        <v>-0.308</v>
      </c>
      <c r="AF61" s="7">
        <f t="shared" si="177"/>
        <v>-0.308</v>
      </c>
      <c r="AG61" s="7">
        <f t="shared" si="177"/>
        <v>-0.308</v>
      </c>
      <c r="AH61" s="7">
        <f t="shared" si="177"/>
        <v>-0.308</v>
      </c>
      <c r="AI61" s="7">
        <f t="shared" si="177"/>
        <v>-0.308</v>
      </c>
      <c r="AJ61" s="7">
        <f t="shared" si="177"/>
        <v>-0.308</v>
      </c>
      <c r="AK61" s="7">
        <f t="shared" si="177"/>
        <v>-0.308</v>
      </c>
      <c r="AL61" s="7">
        <f>ROUND(-0.31,10)</f>
        <v>-0.31</v>
      </c>
      <c r="AM61" s="7">
        <f>ROUND(-0.31,10)</f>
        <v>-0.31</v>
      </c>
      <c r="AN61" s="7">
        <f>ROUND(-0.309,10)</f>
        <v>-0.309</v>
      </c>
      <c r="AO61" s="7">
        <f>ROUND(-0.31,10)</f>
        <v>-0.31</v>
      </c>
      <c r="AP61" s="7">
        <f>ROUND(-0.31,10)</f>
        <v>-0.31</v>
      </c>
      <c r="AQ61" s="7">
        <f>ROUND(-0.309,10)</f>
        <v>-0.309</v>
      </c>
      <c r="AR61" s="7">
        <f>ROUND(-0.31,10)</f>
        <v>-0.31</v>
      </c>
      <c r="AS61" s="7">
        <f>ROUND(-0.309,10)</f>
        <v>-0.309</v>
      </c>
      <c r="AT61" s="7">
        <f>ROUND(-0.308,10)</f>
        <v>-0.308</v>
      </c>
      <c r="AU61" s="7">
        <f>ROUND(-0.308,10)</f>
        <v>-0.308</v>
      </c>
      <c r="AV61" s="7">
        <f>ROUND(-0.308,10)</f>
        <v>-0.308</v>
      </c>
      <c r="AW61" s="7">
        <f>ROUND(-0.308,10)</f>
        <v>-0.308</v>
      </c>
      <c r="AX61" s="7">
        <f>ROUND(-0.308,10)</f>
        <v>-0.308</v>
      </c>
      <c r="AY61" s="7">
        <f>ROUND(-0.309,10)</f>
        <v>-0.309</v>
      </c>
      <c r="AZ61" s="7">
        <f>ROUND(-0.31,10)</f>
        <v>-0.31</v>
      </c>
      <c r="BA61" s="7">
        <f>ROUND(-0.309,10)</f>
        <v>-0.309</v>
      </c>
      <c r="BB61" s="7">
        <f>ROUND(-0.309,10)</f>
        <v>-0.309</v>
      </c>
      <c r="BC61" s="7">
        <f>ROUND(-0.31,10)</f>
        <v>-0.31</v>
      </c>
      <c r="BD61" s="7">
        <f>ROUND(-0.31,10)</f>
        <v>-0.31</v>
      </c>
      <c r="BE61" s="7">
        <f>ROUND(-0.309,10)</f>
        <v>-0.309</v>
      </c>
      <c r="BF61" s="7">
        <f>ROUND(-0.309,10)</f>
        <v>-0.309</v>
      </c>
      <c r="BG61" s="7">
        <f>ROUND(-0.309,10)</f>
        <v>-0.309</v>
      </c>
      <c r="BH61" s="7">
        <f>ROUND(-0.31,10)</f>
        <v>-0.31</v>
      </c>
      <c r="BI61" s="7">
        <f>ROUND(-0.309,10)</f>
        <v>-0.309</v>
      </c>
      <c r="BJ61" s="7">
        <f>ROUND(-0.309,10)</f>
        <v>-0.309</v>
      </c>
      <c r="BK61" s="7">
        <f>ROUND(-0.311,10)</f>
        <v>-0.311</v>
      </c>
      <c r="BL61" s="7">
        <f>ROUND(-0.311,10)</f>
        <v>-0.311</v>
      </c>
      <c r="BM61" s="7">
        <f>ROUND(-0.31,10)</f>
        <v>-0.31</v>
      </c>
      <c r="BN61" s="7">
        <f>ROUND(-0.311,10)</f>
        <v>-0.311</v>
      </c>
      <c r="BO61" s="7">
        <f t="shared" ref="BO61:BX61" si="178">ROUND(-0.31,10)</f>
        <v>-0.31</v>
      </c>
      <c r="BP61" s="7">
        <f t="shared" si="178"/>
        <v>-0.31</v>
      </c>
      <c r="BQ61" s="7">
        <f t="shared" si="178"/>
        <v>-0.31</v>
      </c>
      <c r="BR61" s="7">
        <f t="shared" si="178"/>
        <v>-0.31</v>
      </c>
      <c r="BS61" s="7">
        <f t="shared" si="178"/>
        <v>-0.31</v>
      </c>
      <c r="BT61" s="7">
        <f t="shared" si="178"/>
        <v>-0.31</v>
      </c>
      <c r="BU61" s="7">
        <f t="shared" si="178"/>
        <v>-0.31</v>
      </c>
      <c r="BV61" s="7">
        <f t="shared" si="178"/>
        <v>-0.31</v>
      </c>
      <c r="BW61" s="7">
        <f t="shared" si="178"/>
        <v>-0.31</v>
      </c>
      <c r="BX61" s="7">
        <f t="shared" si="178"/>
        <v>-0.31</v>
      </c>
      <c r="BY61" s="7">
        <f>ROUND(-0.311,10)</f>
        <v>-0.311</v>
      </c>
      <c r="BZ61" s="7">
        <f>ROUND(-0.311,10)</f>
        <v>-0.311</v>
      </c>
      <c r="CA61" s="7">
        <f>ROUND(-0.311,10)</f>
        <v>-0.311</v>
      </c>
      <c r="CB61" s="7">
        <f>ROUND(-0.312,10)</f>
        <v>-0.312</v>
      </c>
      <c r="CC61" s="7">
        <f>ROUND(-0.312,10)</f>
        <v>-0.312</v>
      </c>
      <c r="CD61" s="7">
        <f>ROUND(-0.31,10)</f>
        <v>-0.31</v>
      </c>
      <c r="CE61" s="7">
        <f>ROUND(-0.311,10)</f>
        <v>-0.311</v>
      </c>
      <c r="CF61" s="7">
        <f>ROUND(-0.31,10)</f>
        <v>-0.31</v>
      </c>
      <c r="CG61" s="7">
        <f>ROUND(-0.309,10)</f>
        <v>-0.309</v>
      </c>
      <c r="CH61" s="7">
        <f>ROUND(-0.309,10)</f>
        <v>-0.309</v>
      </c>
      <c r="CI61" s="7">
        <f>ROUND(-0.308,10)</f>
        <v>-0.308</v>
      </c>
      <c r="CJ61" s="7">
        <f>ROUND(-0.308,10)</f>
        <v>-0.308</v>
      </c>
      <c r="CK61" s="7">
        <f>ROUND(-0.308,10)</f>
        <v>-0.308</v>
      </c>
      <c r="CL61" s="7">
        <f>ROUND(-0.308,10)</f>
        <v>-0.308</v>
      </c>
      <c r="CM61" s="7">
        <f>ROUND(-0.309,10)</f>
        <v>-0.309</v>
      </c>
      <c r="CN61" s="7">
        <f>ROUND(-0.311,10)</f>
        <v>-0.311</v>
      </c>
      <c r="CO61" s="7">
        <f>ROUND(-0.311,10)</f>
        <v>-0.311</v>
      </c>
      <c r="CP61" s="7">
        <f>ROUND(-0.311,10)</f>
        <v>-0.311</v>
      </c>
      <c r="CQ61" s="7">
        <f>ROUND(-0.312,10)</f>
        <v>-0.312</v>
      </c>
      <c r="CR61" s="7">
        <f>ROUND(-0.313,10)</f>
        <v>-0.313</v>
      </c>
      <c r="CS61" s="7">
        <f>ROUND(-0.314,10)</f>
        <v>-0.314</v>
      </c>
      <c r="CT61" s="7">
        <f>ROUND(-0.313,10)</f>
        <v>-0.313</v>
      </c>
      <c r="CU61" s="7">
        <f>ROUND(-0.311,10)</f>
        <v>-0.311</v>
      </c>
      <c r="CV61" s="7">
        <f>ROUND(-0.31,10)</f>
        <v>-0.31</v>
      </c>
      <c r="CW61" s="7">
        <f>ROUND(-0.311,10)</f>
        <v>-0.311</v>
      </c>
      <c r="CX61" s="7">
        <f>ROUND(-0.311,10)</f>
        <v>-0.311</v>
      </c>
      <c r="CY61" s="7">
        <f>ROUND(-0.315,10)</f>
        <v>-0.315</v>
      </c>
      <c r="CZ61" s="7">
        <f>ROUND(-0.317,10)</f>
        <v>-0.317</v>
      </c>
      <c r="DA61" s="7">
        <f>ROUND(-0.32,10)</f>
        <v>-0.32</v>
      </c>
      <c r="DB61" s="7">
        <f>ROUND(-0.322,10)</f>
        <v>-0.32200000000000001</v>
      </c>
      <c r="DC61" s="7">
        <f>ROUND(-0.323,10)</f>
        <v>-0.32300000000000001</v>
      </c>
      <c r="DD61" s="7">
        <f>ROUND(-0.322,10)</f>
        <v>-0.32200000000000001</v>
      </c>
      <c r="DE61" s="7">
        <f>ROUND(-0.32,10)</f>
        <v>-0.32</v>
      </c>
      <c r="DF61" s="7">
        <f>ROUND(-0.323,10)</f>
        <v>-0.32300000000000001</v>
      </c>
      <c r="DG61" s="7">
        <f>ROUND(-0.319,10)</f>
        <v>-0.31900000000000001</v>
      </c>
      <c r="DH61" s="7">
        <f>ROUND(-0.318,10)</f>
        <v>-0.318</v>
      </c>
      <c r="DI61" s="7">
        <f>ROUND(-0.319,10)</f>
        <v>-0.31900000000000001</v>
      </c>
      <c r="DJ61" s="7">
        <f>ROUND(-0.318,10)</f>
        <v>-0.318</v>
      </c>
      <c r="DK61" s="7">
        <f>ROUND(-0.318,10)</f>
        <v>-0.318</v>
      </c>
      <c r="DL61" s="7">
        <f>ROUND(-0.318,10)</f>
        <v>-0.318</v>
      </c>
      <c r="DM61" s="7">
        <f>ROUND(-0.32,10)</f>
        <v>-0.32</v>
      </c>
      <c r="DN61" s="7">
        <f>ROUND(-0.322,10)</f>
        <v>-0.32200000000000001</v>
      </c>
      <c r="DO61" s="7">
        <f>ROUND(-0.336,10)</f>
        <v>-0.33600000000000002</v>
      </c>
      <c r="DP61" s="7">
        <f>ROUND(-0.338,10)</f>
        <v>-0.33800000000000002</v>
      </c>
      <c r="DQ61" s="7">
        <f>ROUND(-0.344,10)</f>
        <v>-0.34399999999999997</v>
      </c>
      <c r="DR61" s="7">
        <f>ROUND(-0.343,10)</f>
        <v>-0.34300000000000003</v>
      </c>
      <c r="DS61" s="7">
        <f>ROUND(-0.345,10)</f>
        <v>-0.34499999999999997</v>
      </c>
      <c r="DT61" s="7">
        <f>ROUND(-0.343,10)</f>
        <v>-0.34300000000000003</v>
      </c>
      <c r="DU61" s="7">
        <f>ROUND(-0.344,10)</f>
        <v>-0.34399999999999997</v>
      </c>
      <c r="DV61" s="7">
        <f>ROUND(-0.345,10)</f>
        <v>-0.34499999999999997</v>
      </c>
      <c r="DW61" s="7">
        <f>ROUND(-0.346,10)</f>
        <v>-0.34599999999999997</v>
      </c>
      <c r="DX61" s="7">
        <f>ROUND(-0.351,10)</f>
        <v>-0.35099999999999998</v>
      </c>
      <c r="DY61" s="7">
        <f>ROUND(-0.353,10)</f>
        <v>-0.35299999999999998</v>
      </c>
      <c r="DZ61" s="7">
        <f>ROUND(-0.354,10)</f>
        <v>-0.35399999999999998</v>
      </c>
      <c r="EA61" s="7">
        <f>ROUND(-0.36,10)</f>
        <v>-0.36</v>
      </c>
      <c r="EB61" s="7">
        <f>ROUND(-0.356,10)</f>
        <v>-0.35599999999999998</v>
      </c>
      <c r="EC61" s="7">
        <f>ROUND(-0.358,10)</f>
        <v>-0.35799999999999998</v>
      </c>
      <c r="ED61" s="7">
        <f>ROUND(-0.358,10)</f>
        <v>-0.35799999999999998</v>
      </c>
      <c r="EE61" s="7">
        <f>ROUND(-0.364,10)</f>
        <v>-0.36399999999999999</v>
      </c>
      <c r="EF61" s="7">
        <f>ROUND(-0.363,10)</f>
        <v>-0.36299999999999999</v>
      </c>
      <c r="EG61" s="7">
        <f>ROUND(-0.363,10)</f>
        <v>-0.36299999999999999</v>
      </c>
      <c r="EH61" s="7">
        <f>ROUND(-0.367,10)</f>
        <v>-0.36699999999999999</v>
      </c>
      <c r="EI61" s="7">
        <f>ROUND(-0.369,10)</f>
        <v>-0.36899999999999999</v>
      </c>
      <c r="EJ61" s="7">
        <f>ROUND(-0.37,10)</f>
        <v>-0.37</v>
      </c>
      <c r="EK61" s="7">
        <f>ROUND(-0.375,10)</f>
        <v>-0.375</v>
      </c>
      <c r="EL61" s="7">
        <f>ROUND(-0.374,10)</f>
        <v>-0.374</v>
      </c>
      <c r="EM61" s="7">
        <f>ROUND(-0.373,10)</f>
        <v>-0.373</v>
      </c>
      <c r="EN61" s="7">
        <f>ROUND(-0.376,10)</f>
        <v>-0.376</v>
      </c>
      <c r="EO61" s="7">
        <f>ROUND(-0.378,10)</f>
        <v>-0.378</v>
      </c>
      <c r="EP61" s="7">
        <f>ROUND(-0.368,10)</f>
        <v>-0.36799999999999999</v>
      </c>
      <c r="EQ61" s="7">
        <f>ROUND(-0.367,10)</f>
        <v>-0.36699999999999999</v>
      </c>
      <c r="ER61" s="7">
        <f>ROUND(-0.374,10)</f>
        <v>-0.374</v>
      </c>
      <c r="ES61" s="7">
        <f>ROUND(-0.375,10)</f>
        <v>-0.375</v>
      </c>
      <c r="ET61" s="7">
        <f>ROUND(-0.377,10)</f>
        <v>-0.377</v>
      </c>
      <c r="EU61" s="7">
        <f>ROUND(-0.38,10)</f>
        <v>-0.38</v>
      </c>
      <c r="EV61" s="7">
        <f>ROUND(-0.384,10)</f>
        <v>-0.38400000000000001</v>
      </c>
      <c r="EW61" s="7">
        <f>ROUND(-0.389,10)</f>
        <v>-0.38900000000000001</v>
      </c>
      <c r="EX61" s="7">
        <f>ROUND(-0.39,10)</f>
        <v>-0.39</v>
      </c>
      <c r="EY61" s="7">
        <f>ROUND(-0.398,10)</f>
        <v>-0.39800000000000002</v>
      </c>
      <c r="EZ61" s="7">
        <f>ROUND(-0.404,10)</f>
        <v>-0.40400000000000003</v>
      </c>
      <c r="FA61" s="7">
        <f>ROUND(-0.4,10)</f>
        <v>-0.4</v>
      </c>
      <c r="FB61" s="7">
        <f>ROUND(-0.402,10)</f>
        <v>-0.40200000000000002</v>
      </c>
      <c r="FC61" s="7">
        <f>ROUND(-0.406,10)</f>
        <v>-0.40600000000000003</v>
      </c>
      <c r="FD61" s="7">
        <f>ROUND(-0.404,10)</f>
        <v>-0.40400000000000003</v>
      </c>
      <c r="FE61" s="7">
        <f>ROUND(-0.42,10)</f>
        <v>-0.42</v>
      </c>
      <c r="FF61" s="7">
        <f>ROUND(-0.422,10)</f>
        <v>-0.42199999999999999</v>
      </c>
      <c r="FG61" s="7">
        <f>ROUND(-0.421,10)</f>
        <v>-0.42099999999999999</v>
      </c>
      <c r="FH61" s="7">
        <f>ROUND(-0.423,10)</f>
        <v>-0.42299999999999999</v>
      </c>
      <c r="FI61" s="7">
        <f>ROUND(-0.418,10)</f>
        <v>-0.41799999999999998</v>
      </c>
      <c r="FJ61" s="7">
        <f>ROUND(-0.412,10)</f>
        <v>-0.41199999999999998</v>
      </c>
      <c r="FK61" s="7">
        <f>ROUND(-0.418,10)</f>
        <v>-0.41799999999999998</v>
      </c>
      <c r="FL61" s="7">
        <f>ROUND(-0.418,10)</f>
        <v>-0.41799999999999998</v>
      </c>
      <c r="FM61" s="7">
        <f>ROUND(-0.422,10)</f>
        <v>-0.42199999999999999</v>
      </c>
      <c r="FN61" s="7">
        <f>ROUND(-0.428,10)</f>
        <v>-0.42799999999999999</v>
      </c>
      <c r="FO61" s="7">
        <f>ROUND(-0.433,10)</f>
        <v>-0.433</v>
      </c>
      <c r="FP61" s="7">
        <f>ROUND(-0.436,10)</f>
        <v>-0.436</v>
      </c>
      <c r="FQ61" s="7">
        <f>ROUND(-0.448,10)</f>
        <v>-0.44800000000000001</v>
      </c>
      <c r="FR61" s="7">
        <f>ROUND(-0.443,10)</f>
        <v>-0.443</v>
      </c>
      <c r="FS61" s="7">
        <f>ROUND(-0.441,10)</f>
        <v>-0.441</v>
      </c>
      <c r="FT61" s="7">
        <f>ROUND(-0.437,10)</f>
        <v>-0.437</v>
      </c>
      <c r="FU61" s="7">
        <f>ROUND(-0.433,10)</f>
        <v>-0.433</v>
      </c>
      <c r="FV61" s="7">
        <f>ROUND(-0.435,10)</f>
        <v>-0.435</v>
      </c>
      <c r="FW61" s="7">
        <f>ROUND(-0.43,10)</f>
        <v>-0.43</v>
      </c>
      <c r="FX61" s="7">
        <f>ROUND(-0.433,10)</f>
        <v>-0.433</v>
      </c>
      <c r="FY61" s="7">
        <f>ROUND(-0.4,10)</f>
        <v>-0.4</v>
      </c>
      <c r="FZ61" s="7">
        <f>ROUND(-0.394,10)</f>
        <v>-0.39400000000000002</v>
      </c>
      <c r="GA61" s="7">
        <f>ROUND(-0.398,10)</f>
        <v>-0.39800000000000002</v>
      </c>
      <c r="GB61" s="7">
        <f>ROUND(-0.396,10)</f>
        <v>-0.39600000000000002</v>
      </c>
      <c r="GC61" s="7">
        <f>ROUND(-0.396,10)</f>
        <v>-0.39600000000000002</v>
      </c>
      <c r="GD61" s="7">
        <f>ROUND(-0.393,10)</f>
        <v>-0.39300000000000002</v>
      </c>
      <c r="GE61" s="7">
        <f>ROUND(-0.4,10)</f>
        <v>-0.4</v>
      </c>
      <c r="GF61" s="7">
        <f>ROUND(-0.403,10)</f>
        <v>-0.40300000000000002</v>
      </c>
      <c r="GG61" s="7">
        <f>ROUND(-0.41,10)</f>
        <v>-0.41</v>
      </c>
      <c r="GH61" s="7">
        <f>ROUND(-0.413,10)</f>
        <v>-0.41299999999999998</v>
      </c>
      <c r="GI61" s="7">
        <f>ROUND(-0.412,10)</f>
        <v>-0.41199999999999998</v>
      </c>
      <c r="GJ61" s="7">
        <f>ROUND(-0.418,10)</f>
        <v>-0.41799999999999998</v>
      </c>
      <c r="GK61" s="7">
        <f>ROUND(-0.428,10)</f>
        <v>-0.42799999999999999</v>
      </c>
      <c r="GL61" s="7">
        <f>ROUND(-0.425,10)</f>
        <v>-0.42499999999999999</v>
      </c>
      <c r="GM61" s="7">
        <f>ROUND(-0.425,10)</f>
        <v>-0.42499999999999999</v>
      </c>
      <c r="GN61" s="7">
        <f>ROUND(-0.423,10)</f>
        <v>-0.42299999999999999</v>
      </c>
      <c r="GO61" s="7">
        <f>ROUND(-0.423,10)</f>
        <v>-0.42299999999999999</v>
      </c>
      <c r="GP61" s="7">
        <f>ROUND(-0.417,10)</f>
        <v>-0.41699999999999998</v>
      </c>
      <c r="GQ61" s="7">
        <f>ROUND(-0.418,10)</f>
        <v>-0.41799999999999998</v>
      </c>
      <c r="GR61" s="7">
        <f>ROUND(-0.418,10)</f>
        <v>-0.41799999999999998</v>
      </c>
      <c r="GS61" s="7">
        <f>ROUND(-0.418,10)</f>
        <v>-0.41799999999999998</v>
      </c>
      <c r="GT61" s="7">
        <f>ROUND(-0.416,10)</f>
        <v>-0.41599999999999998</v>
      </c>
      <c r="GU61" s="7">
        <f>ROUND(-0.418,10)</f>
        <v>-0.41799999999999998</v>
      </c>
      <c r="GV61" s="7">
        <f>ROUND(-0.41,10)</f>
        <v>-0.41</v>
      </c>
      <c r="GW61" s="7">
        <f>ROUND(-0.41,10)</f>
        <v>-0.41</v>
      </c>
      <c r="GX61" s="7">
        <f>ROUND(-0.407,10)</f>
        <v>-0.40699999999999997</v>
      </c>
      <c r="GY61" s="7">
        <f>ROUND(-0.408,10)</f>
        <v>-0.40799999999999997</v>
      </c>
      <c r="GZ61" s="7">
        <f>ROUND(-0.404,10)</f>
        <v>-0.40400000000000003</v>
      </c>
      <c r="HA61" s="7">
        <f>ROUND(-0.402,10)</f>
        <v>-0.40200000000000002</v>
      </c>
      <c r="HB61" s="7">
        <f>ROUND(-0.404,10)</f>
        <v>-0.40400000000000003</v>
      </c>
      <c r="HC61" s="7">
        <f>ROUND(-0.413,10)</f>
        <v>-0.41299999999999998</v>
      </c>
      <c r="HD61" s="7">
        <f>ROUND(-0.409,10)</f>
        <v>-0.40899999999999997</v>
      </c>
      <c r="HE61" s="7">
        <f>ROUND(-0.405,10)</f>
        <v>-0.40500000000000003</v>
      </c>
      <c r="HF61" s="7">
        <f>ROUND(-0.401,10)</f>
        <v>-0.40100000000000002</v>
      </c>
      <c r="HG61" s="7">
        <f>ROUND(-0.394,10)</f>
        <v>-0.39400000000000002</v>
      </c>
      <c r="HH61" s="7">
        <f>ROUND(-0.399,10)</f>
        <v>-0.39900000000000002</v>
      </c>
      <c r="HI61" s="7">
        <f>ROUND(-0.398,10)</f>
        <v>-0.39800000000000002</v>
      </c>
      <c r="HJ61" s="7">
        <f>ROUND(-0.403,10)</f>
        <v>-0.40300000000000002</v>
      </c>
      <c r="HK61" s="7">
        <f>ROUND(-0.406,10)</f>
        <v>-0.40600000000000003</v>
      </c>
      <c r="HL61" s="7">
        <f>ROUND(-0.4,10)</f>
        <v>-0.4</v>
      </c>
      <c r="HM61" s="7">
        <f>ROUND(-0.395,10)</f>
        <v>-0.39500000000000002</v>
      </c>
      <c r="HN61" s="7">
        <f>ROUND(-0.394,10)</f>
        <v>-0.39400000000000002</v>
      </c>
      <c r="HO61" s="7">
        <f>ROUND(-0.398,10)</f>
        <v>-0.39800000000000002</v>
      </c>
      <c r="HP61" s="7">
        <f>ROUND(-0.402,10)</f>
        <v>-0.40200000000000002</v>
      </c>
      <c r="HQ61" s="7">
        <f>ROUND(-0.399,10)</f>
        <v>-0.39900000000000002</v>
      </c>
      <c r="HR61" s="7">
        <f>ROUND(-0.404,10)</f>
        <v>-0.40400000000000003</v>
      </c>
      <c r="HS61" s="7">
        <f>ROUND(-0.403,10)</f>
        <v>-0.40300000000000002</v>
      </c>
      <c r="HT61" s="7">
        <f>ROUND(-0.408,10)</f>
        <v>-0.40799999999999997</v>
      </c>
      <c r="HU61" s="7">
        <f>ROUND(-0.406,10)</f>
        <v>-0.40600000000000003</v>
      </c>
      <c r="HV61" s="7">
        <f>ROUND(-0.408,10)</f>
        <v>-0.40799999999999997</v>
      </c>
      <c r="HW61" s="7">
        <f>ROUND(-0.403,10)</f>
        <v>-0.40300000000000002</v>
      </c>
      <c r="HX61" s="7">
        <f>ROUND(-0.404,10)</f>
        <v>-0.40400000000000003</v>
      </c>
      <c r="HY61" s="7">
        <f>ROUND(-0.399,10)</f>
        <v>-0.39900000000000002</v>
      </c>
      <c r="HZ61" s="7">
        <f>ROUND(-0.4,10)</f>
        <v>-0.4</v>
      </c>
      <c r="IA61" s="7">
        <f>ROUND(-0.397,10)</f>
        <v>-0.39700000000000002</v>
      </c>
      <c r="IB61" s="7">
        <f>ROUND(-0.401,10)</f>
        <v>-0.40100000000000002</v>
      </c>
      <c r="IC61" s="7">
        <f>ROUND(-0.4,10)</f>
        <v>-0.4</v>
      </c>
      <c r="ID61" s="7">
        <f>ROUND(-0.397,10)</f>
        <v>-0.39700000000000002</v>
      </c>
      <c r="IE61" s="7">
        <f>ROUND(-0.393,10)</f>
        <v>-0.39300000000000002</v>
      </c>
      <c r="IF61" s="7">
        <f>ROUND(-0.395,10)</f>
        <v>-0.39500000000000002</v>
      </c>
      <c r="IG61" s="7">
        <f>ROUND(-0.393,10)</f>
        <v>-0.39300000000000002</v>
      </c>
      <c r="IH61" s="7">
        <f>ROUND(-0.392,10)</f>
        <v>-0.39200000000000002</v>
      </c>
      <c r="II61" s="7">
        <f>ROUND(-0.393,10)</f>
        <v>-0.39300000000000002</v>
      </c>
      <c r="IJ61" s="7">
        <f>ROUND(-0.393,10)</f>
        <v>-0.39300000000000002</v>
      </c>
      <c r="IK61" s="7">
        <f>ROUND(-0.395,10)</f>
        <v>-0.39500000000000002</v>
      </c>
      <c r="IL61" s="7">
        <f>ROUND(-0.4,10)</f>
        <v>-0.4</v>
      </c>
      <c r="IM61" s="7">
        <f>ROUND(-0.396,10)</f>
        <v>-0.39600000000000002</v>
      </c>
      <c r="IN61" s="7">
        <f>ROUND(-0.4,10)</f>
        <v>-0.4</v>
      </c>
      <c r="IO61" s="7">
        <f>ROUND(-0.403,10)</f>
        <v>-0.40300000000000002</v>
      </c>
      <c r="IP61" s="7">
        <f>ROUND(-0.398,10)</f>
        <v>-0.39800000000000002</v>
      </c>
      <c r="IQ61" s="7">
        <f>ROUND(-0.388,10)</f>
        <v>-0.38800000000000001</v>
      </c>
      <c r="IR61" s="7">
        <f>ROUND(-0.399,10)</f>
        <v>-0.39900000000000002</v>
      </c>
      <c r="IS61" s="7">
        <f>ROUND(-0.398,10)</f>
        <v>-0.39800000000000002</v>
      </c>
      <c r="IT61" s="7">
        <f>ROUND(-0.39,10)</f>
        <v>-0.39</v>
      </c>
      <c r="IU61" s="7">
        <f>ROUND(-0.388,10)</f>
        <v>-0.38800000000000001</v>
      </c>
      <c r="IV61" s="7">
        <f>ROUND(-0.383,10)</f>
        <v>-0.38300000000000001</v>
      </c>
    </row>
    <row r="62" spans="1:256" s="16" customFormat="1">
      <c r="A62" s="14" t="s">
        <v>40</v>
      </c>
      <c r="B62" s="15">
        <f>ROUND(-0.238,10)</f>
        <v>-0.23799999999999999</v>
      </c>
      <c r="C62" s="17">
        <f>ROUND(-0.237,10)</f>
        <v>-0.23699999999999999</v>
      </c>
      <c r="D62" s="15">
        <f>ROUND(-0.237,10)</f>
        <v>-0.23699999999999999</v>
      </c>
      <c r="E62" s="15">
        <f t="shared" ref="E62:M62" si="179">ROUND(-0.236,10)</f>
        <v>-0.23599999999999999</v>
      </c>
      <c r="F62" s="15">
        <f t="shared" si="179"/>
        <v>-0.23599999999999999</v>
      </c>
      <c r="G62" s="15">
        <f t="shared" si="179"/>
        <v>-0.23599999999999999</v>
      </c>
      <c r="H62" s="15">
        <f t="shared" si="179"/>
        <v>-0.23599999999999999</v>
      </c>
      <c r="I62" s="15">
        <f t="shared" si="179"/>
        <v>-0.23599999999999999</v>
      </c>
      <c r="J62" s="15">
        <f t="shared" si="179"/>
        <v>-0.23599999999999999</v>
      </c>
      <c r="K62" s="15">
        <f t="shared" si="179"/>
        <v>-0.23599999999999999</v>
      </c>
      <c r="L62" s="15">
        <f t="shared" si="179"/>
        <v>-0.23599999999999999</v>
      </c>
      <c r="M62" s="15">
        <f t="shared" si="179"/>
        <v>-0.23599999999999999</v>
      </c>
      <c r="N62" s="15">
        <f>ROUND(-0.235,10)</f>
        <v>-0.23499999999999999</v>
      </c>
      <c r="O62" s="15">
        <f>ROUND(-0.236,10)</f>
        <v>-0.23599999999999999</v>
      </c>
      <c r="P62" s="15">
        <f>ROUND(-0.237,10)</f>
        <v>-0.23699999999999999</v>
      </c>
      <c r="Q62" s="15">
        <f>ROUND(-0.237,10)</f>
        <v>-0.23699999999999999</v>
      </c>
      <c r="R62" s="15">
        <f>ROUND(-0.236,10)</f>
        <v>-0.23599999999999999</v>
      </c>
      <c r="S62" s="15">
        <f>ROUND(-0.237,10)</f>
        <v>-0.23699999999999999</v>
      </c>
      <c r="T62" s="15">
        <f>ROUND(-0.237,10)</f>
        <v>-0.23699999999999999</v>
      </c>
      <c r="U62" s="15">
        <f>ROUND(-0.237,10)</f>
        <v>-0.23699999999999999</v>
      </c>
      <c r="V62" s="15">
        <f>ROUND(-0.236,10)</f>
        <v>-0.23599999999999999</v>
      </c>
      <c r="W62" s="15">
        <f>ROUND(-0.236,10)</f>
        <v>-0.23599999999999999</v>
      </c>
      <c r="X62" s="15">
        <f>ROUND(-0.235,10)</f>
        <v>-0.23499999999999999</v>
      </c>
      <c r="Y62" s="15">
        <f>ROUND(-0.235,10)</f>
        <v>-0.23499999999999999</v>
      </c>
      <c r="Z62" s="15">
        <f>ROUND(-0.234,10)</f>
        <v>-0.23400000000000001</v>
      </c>
      <c r="AA62" s="15">
        <f>ROUND(-0.234,10)</f>
        <v>-0.23400000000000001</v>
      </c>
      <c r="AB62" s="15">
        <f>ROUND(-0.233,10)</f>
        <v>-0.23300000000000001</v>
      </c>
      <c r="AC62" s="15">
        <f>ROUND(-0.233,10)</f>
        <v>-0.23300000000000001</v>
      </c>
      <c r="AD62" s="15">
        <f>ROUND(-0.232,10)</f>
        <v>-0.23200000000000001</v>
      </c>
      <c r="AE62" s="15">
        <f>ROUND(-0.231,10)</f>
        <v>-0.23100000000000001</v>
      </c>
      <c r="AF62" s="15">
        <f>ROUND(-0.231,10)</f>
        <v>-0.23100000000000001</v>
      </c>
      <c r="AG62" s="15">
        <f>ROUND(-0.231,10)</f>
        <v>-0.23100000000000001</v>
      </c>
      <c r="AH62" s="15">
        <f>ROUND(-0.232,10)</f>
        <v>-0.23200000000000001</v>
      </c>
      <c r="AI62" s="15">
        <f>ROUND(-0.232,10)</f>
        <v>-0.23200000000000001</v>
      </c>
      <c r="AJ62" s="15">
        <f>ROUND(-0.232,10)</f>
        <v>-0.23200000000000001</v>
      </c>
      <c r="AK62" s="15">
        <f>ROUND(-0.231,10)</f>
        <v>-0.23100000000000001</v>
      </c>
      <c r="AL62" s="15">
        <f>ROUND(-0.231,10)</f>
        <v>-0.23100000000000001</v>
      </c>
      <c r="AM62" s="15">
        <f>ROUND(-0.231,10)</f>
        <v>-0.23100000000000001</v>
      </c>
      <c r="AN62" s="15">
        <f>ROUND(-0.23,10)</f>
        <v>-0.23</v>
      </c>
      <c r="AO62" s="15">
        <f>ROUND(-0.23,10)</f>
        <v>-0.23</v>
      </c>
      <c r="AP62" s="15">
        <f>ROUND(-0.229,10)</f>
        <v>-0.22900000000000001</v>
      </c>
      <c r="AQ62" s="15">
        <f>ROUND(-0.229,10)</f>
        <v>-0.22900000000000001</v>
      </c>
      <c r="AR62" s="15">
        <f>ROUND(-0.23,10)</f>
        <v>-0.23</v>
      </c>
      <c r="AS62" s="15">
        <f>ROUND(-0.23,10)</f>
        <v>-0.23</v>
      </c>
      <c r="AT62" s="15">
        <f>ROUND(-0.231,10)</f>
        <v>-0.23100000000000001</v>
      </c>
      <c r="AU62" s="15">
        <f>ROUND(-0.232,10)</f>
        <v>-0.23200000000000001</v>
      </c>
      <c r="AV62" s="15">
        <f>ROUND(-0.231,10)</f>
        <v>-0.23100000000000001</v>
      </c>
      <c r="AW62" s="15">
        <f>ROUND(-0.232,10)</f>
        <v>-0.23200000000000001</v>
      </c>
      <c r="AX62" s="15">
        <f>ROUND(-0.232,10)</f>
        <v>-0.23200000000000001</v>
      </c>
      <c r="AY62" s="15">
        <f>ROUND(-0.231,10)</f>
        <v>-0.23100000000000001</v>
      </c>
      <c r="AZ62" s="15">
        <f>ROUND(-0.232,10)</f>
        <v>-0.23200000000000001</v>
      </c>
      <c r="BA62" s="15">
        <f>ROUND(-0.232,10)</f>
        <v>-0.23200000000000001</v>
      </c>
      <c r="BB62" s="15">
        <f>ROUND(-0.232,10)</f>
        <v>-0.23200000000000001</v>
      </c>
      <c r="BC62" s="15">
        <f>ROUND(-0.231,10)</f>
        <v>-0.23100000000000001</v>
      </c>
      <c r="BD62" s="15">
        <f>ROUND(-0.232,10)</f>
        <v>-0.23200000000000001</v>
      </c>
      <c r="BE62" s="15">
        <f>ROUND(-0.231,10)</f>
        <v>-0.23100000000000001</v>
      </c>
      <c r="BF62" s="15">
        <f>ROUND(-0.229,10)</f>
        <v>-0.22900000000000001</v>
      </c>
      <c r="BG62" s="15">
        <f>ROUND(-0.228,10)</f>
        <v>-0.22800000000000001</v>
      </c>
      <c r="BH62" s="15">
        <f>ROUND(-0.228,10)</f>
        <v>-0.22800000000000001</v>
      </c>
      <c r="BI62" s="15">
        <f>ROUND(-0.228,10)</f>
        <v>-0.22800000000000001</v>
      </c>
      <c r="BJ62" s="15">
        <f>ROUND(-0.227,10)</f>
        <v>-0.22700000000000001</v>
      </c>
      <c r="BK62" s="15">
        <f>ROUND(-0.228,10)</f>
        <v>-0.22800000000000001</v>
      </c>
      <c r="BL62" s="15">
        <f>ROUND(-0.228,10)</f>
        <v>-0.22800000000000001</v>
      </c>
      <c r="BM62" s="15">
        <f>ROUND(-0.228,10)</f>
        <v>-0.22800000000000001</v>
      </c>
      <c r="BN62" s="15">
        <f>ROUND(-0.23,10)</f>
        <v>-0.23</v>
      </c>
      <c r="BO62" s="15">
        <f>ROUND(-0.23,10)</f>
        <v>-0.23</v>
      </c>
      <c r="BP62" s="15">
        <f>ROUND(-0.23,10)</f>
        <v>-0.23</v>
      </c>
      <c r="BQ62" s="15">
        <f>ROUND(-0.231,10)</f>
        <v>-0.23100000000000001</v>
      </c>
      <c r="BR62" s="15">
        <f>ROUND(-0.231,10)</f>
        <v>-0.23100000000000001</v>
      </c>
      <c r="BS62" s="15">
        <f>ROUND(-0.231,10)</f>
        <v>-0.23100000000000001</v>
      </c>
      <c r="BT62" s="15">
        <f>ROUND(-0.231,10)</f>
        <v>-0.23100000000000001</v>
      </c>
      <c r="BU62" s="15">
        <f>ROUND(-0.232,10)</f>
        <v>-0.23200000000000001</v>
      </c>
      <c r="BV62" s="15">
        <f>ROUND(-0.232,10)</f>
        <v>-0.23200000000000001</v>
      </c>
      <c r="BW62" s="15">
        <f>ROUND(-0.231,10)</f>
        <v>-0.23100000000000001</v>
      </c>
      <c r="BX62" s="15">
        <f>ROUND(-0.232,10)</f>
        <v>-0.23200000000000001</v>
      </c>
      <c r="BY62" s="15">
        <f>ROUND(-0.232,10)</f>
        <v>-0.23200000000000001</v>
      </c>
      <c r="BZ62" s="15">
        <f>ROUND(-0.232,10)</f>
        <v>-0.23200000000000001</v>
      </c>
      <c r="CA62" s="15">
        <f>ROUND(-0.23,10)</f>
        <v>-0.23</v>
      </c>
      <c r="CB62" s="15">
        <f>ROUND(-0.231,10)</f>
        <v>-0.23100000000000001</v>
      </c>
      <c r="CC62" s="15">
        <f>ROUND(-0.23,10)</f>
        <v>-0.23</v>
      </c>
      <c r="CD62" s="15">
        <f>ROUND(-0.229,10)</f>
        <v>-0.22900000000000001</v>
      </c>
      <c r="CE62" s="15">
        <f>ROUND(-0.231,10)</f>
        <v>-0.23100000000000001</v>
      </c>
      <c r="CF62" s="15">
        <f>ROUND(-0.231,10)</f>
        <v>-0.23100000000000001</v>
      </c>
      <c r="CG62" s="15">
        <f>ROUND(-0.232,10)</f>
        <v>-0.23200000000000001</v>
      </c>
      <c r="CH62" s="15">
        <f>ROUND(-0.23,10)</f>
        <v>-0.23</v>
      </c>
      <c r="CI62" s="15">
        <f>ROUND(-0.23,10)</f>
        <v>-0.23</v>
      </c>
      <c r="CJ62" s="15">
        <f>ROUND(-0.229,10)</f>
        <v>-0.22900000000000001</v>
      </c>
      <c r="CK62" s="15">
        <f>ROUND(-0.23,10)</f>
        <v>-0.23</v>
      </c>
      <c r="CL62" s="15">
        <f>ROUND(-0.231,10)</f>
        <v>-0.23100000000000001</v>
      </c>
      <c r="CM62" s="15">
        <f>ROUND(-0.231,10)</f>
        <v>-0.23100000000000001</v>
      </c>
      <c r="CN62" s="15">
        <f>ROUND(-0.231,10)</f>
        <v>-0.23100000000000001</v>
      </c>
      <c r="CO62" s="15">
        <f>ROUND(-0.232,10)</f>
        <v>-0.23200000000000001</v>
      </c>
      <c r="CP62" s="15">
        <f>ROUND(-0.235,10)</f>
        <v>-0.23499999999999999</v>
      </c>
      <c r="CQ62" s="15">
        <f>ROUND(-0.237,10)</f>
        <v>-0.23699999999999999</v>
      </c>
      <c r="CR62" s="15">
        <f>ROUND(-0.24,10)</f>
        <v>-0.24</v>
      </c>
      <c r="CS62" s="15">
        <f>ROUND(-0.241,10)</f>
        <v>-0.24099999999999999</v>
      </c>
      <c r="CT62" s="15">
        <f>ROUND(-0.244,10)</f>
        <v>-0.24399999999999999</v>
      </c>
      <c r="CU62" s="15">
        <f>ROUND(-0.242,10)</f>
        <v>-0.24199999999999999</v>
      </c>
      <c r="CV62" s="15">
        <f>ROUND(-0.242,10)</f>
        <v>-0.24199999999999999</v>
      </c>
      <c r="CW62" s="15">
        <f>ROUND(-0.241,10)</f>
        <v>-0.24099999999999999</v>
      </c>
      <c r="CX62" s="15">
        <f>ROUND(-0.24,10)</f>
        <v>-0.24</v>
      </c>
      <c r="CY62" s="15">
        <f>ROUND(-0.242,10)</f>
        <v>-0.24199999999999999</v>
      </c>
      <c r="CZ62" s="15">
        <f>ROUND(-0.245,10)</f>
        <v>-0.245</v>
      </c>
      <c r="DA62" s="15">
        <f>ROUND(-0.247,10)</f>
        <v>-0.247</v>
      </c>
      <c r="DB62" s="15">
        <f>ROUND(-0.25,10)</f>
        <v>-0.25</v>
      </c>
      <c r="DC62" s="15">
        <f>ROUND(-0.254,10)</f>
        <v>-0.254</v>
      </c>
      <c r="DD62" s="15">
        <f>ROUND(-0.254,10)</f>
        <v>-0.254</v>
      </c>
      <c r="DE62" s="15">
        <f>ROUND(-0.254,10)</f>
        <v>-0.254</v>
      </c>
      <c r="DF62" s="15">
        <f>ROUND(-0.259,10)</f>
        <v>-0.25900000000000001</v>
      </c>
      <c r="DG62" s="15">
        <f>ROUND(-0.256,10)</f>
        <v>-0.25600000000000001</v>
      </c>
      <c r="DH62" s="15">
        <f>ROUND(-0.258,10)</f>
        <v>-0.25800000000000001</v>
      </c>
      <c r="DI62" s="15">
        <f>ROUND(-0.258,10)</f>
        <v>-0.25800000000000001</v>
      </c>
      <c r="DJ62" s="15">
        <f>ROUND(-0.259,10)</f>
        <v>-0.25900000000000001</v>
      </c>
      <c r="DK62" s="15">
        <f>ROUND(-0.259,10)</f>
        <v>-0.25900000000000001</v>
      </c>
      <c r="DL62" s="15">
        <f>ROUND(-0.261,10)</f>
        <v>-0.26100000000000001</v>
      </c>
      <c r="DM62" s="15">
        <f>ROUND(-0.268,10)</f>
        <v>-0.26800000000000002</v>
      </c>
      <c r="DN62" s="15">
        <f>ROUND(-0.276,10)</f>
        <v>-0.27600000000000002</v>
      </c>
      <c r="DO62" s="15">
        <f>ROUND(-0.299,10)</f>
        <v>-0.29899999999999999</v>
      </c>
      <c r="DP62" s="15">
        <f>ROUND(-0.303,10)</f>
        <v>-0.30299999999999999</v>
      </c>
      <c r="DQ62" s="15">
        <f>ROUND(-0.308,10)</f>
        <v>-0.308</v>
      </c>
      <c r="DR62" s="15">
        <f>ROUND(-0.308,10)</f>
        <v>-0.308</v>
      </c>
      <c r="DS62" s="15">
        <f>ROUND(-0.311,10)</f>
        <v>-0.311</v>
      </c>
      <c r="DT62" s="15">
        <f>ROUND(-0.311,10)</f>
        <v>-0.311</v>
      </c>
      <c r="DU62" s="15">
        <f>ROUND(-0.313,10)</f>
        <v>-0.313</v>
      </c>
      <c r="DV62" s="15">
        <f>ROUND(-0.311,10)</f>
        <v>-0.311</v>
      </c>
      <c r="DW62" s="15">
        <f>ROUND(-0.313,10)</f>
        <v>-0.313</v>
      </c>
      <c r="DX62" s="15">
        <f>ROUND(-0.327,10)</f>
        <v>-0.32700000000000001</v>
      </c>
      <c r="DY62" s="15">
        <f>ROUND(-0.335,10)</f>
        <v>-0.33500000000000002</v>
      </c>
      <c r="DZ62" s="15">
        <f>ROUND(-0.338,10)</f>
        <v>-0.33800000000000002</v>
      </c>
      <c r="EA62" s="15">
        <f>ROUND(-0.344,10)</f>
        <v>-0.34399999999999997</v>
      </c>
      <c r="EB62" s="15">
        <f>ROUND(-0.338,10)</f>
        <v>-0.33800000000000002</v>
      </c>
      <c r="EC62" s="15">
        <f>ROUND(-0.336,10)</f>
        <v>-0.33600000000000002</v>
      </c>
      <c r="ED62" s="15">
        <f>ROUND(-0.329,10)</f>
        <v>-0.32900000000000001</v>
      </c>
      <c r="EE62" s="15">
        <f>ROUND(-0.342,10)</f>
        <v>-0.34200000000000003</v>
      </c>
      <c r="EF62" s="15">
        <f>ROUND(-0.342,10)</f>
        <v>-0.34200000000000003</v>
      </c>
      <c r="EG62" s="15">
        <f>ROUND(-0.343,10)</f>
        <v>-0.34300000000000003</v>
      </c>
      <c r="EH62" s="15">
        <f>ROUND(-0.35,10)</f>
        <v>-0.35</v>
      </c>
      <c r="EI62" s="15">
        <f>ROUND(-0.357,10)</f>
        <v>-0.35699999999999998</v>
      </c>
      <c r="EJ62" s="15">
        <f>ROUND(-0.353,10)</f>
        <v>-0.35299999999999998</v>
      </c>
      <c r="EK62" s="15">
        <f>ROUND(-0.354,10)</f>
        <v>-0.35399999999999998</v>
      </c>
      <c r="EL62" s="15">
        <f>ROUND(-0.361,10)</f>
        <v>-0.36099999999999999</v>
      </c>
      <c r="EM62" s="15">
        <f>ROUND(-0.362,10)</f>
        <v>-0.36199999999999999</v>
      </c>
      <c r="EN62" s="15">
        <f>ROUND(-0.368,10)</f>
        <v>-0.36799999999999999</v>
      </c>
      <c r="EO62" s="15">
        <f>ROUND(-0.368,10)</f>
        <v>-0.36799999999999999</v>
      </c>
      <c r="EP62" s="15">
        <f>ROUND(-0.362,10)</f>
        <v>-0.36199999999999999</v>
      </c>
      <c r="EQ62" s="15">
        <f>ROUND(-0.351,10)</f>
        <v>-0.35099999999999998</v>
      </c>
      <c r="ER62" s="15">
        <f>ROUND(-0.355,10)</f>
        <v>-0.35499999999999998</v>
      </c>
      <c r="ES62" s="15">
        <f>ROUND(-0.362,10)</f>
        <v>-0.36199999999999999</v>
      </c>
      <c r="ET62" s="15">
        <f>ROUND(-0.363,10)</f>
        <v>-0.36299999999999999</v>
      </c>
      <c r="EU62" s="15">
        <f>ROUND(-0.367,10)</f>
        <v>-0.36699999999999999</v>
      </c>
      <c r="EV62" s="15">
        <f>ROUND(-0.369,10)</f>
        <v>-0.36899999999999999</v>
      </c>
      <c r="EW62" s="15">
        <f>ROUND(-0.383,10)</f>
        <v>-0.38300000000000001</v>
      </c>
      <c r="EX62" s="15">
        <f>ROUND(-0.389,10)</f>
        <v>-0.38900000000000001</v>
      </c>
      <c r="EY62" s="15">
        <f>ROUND(-0.393,10)</f>
        <v>-0.39300000000000002</v>
      </c>
      <c r="EZ62" s="15">
        <f>ROUND(-0.396,10)</f>
        <v>-0.39600000000000002</v>
      </c>
      <c r="FA62" s="15">
        <f>ROUND(-0.4,10)</f>
        <v>-0.4</v>
      </c>
      <c r="FB62" s="15">
        <f>ROUND(-0.401,10)</f>
        <v>-0.40100000000000002</v>
      </c>
      <c r="FC62" s="15">
        <f>ROUND(-0.406,10)</f>
        <v>-0.40600000000000003</v>
      </c>
      <c r="FD62" s="15">
        <f>ROUND(-0.409,10)</f>
        <v>-0.40899999999999997</v>
      </c>
      <c r="FE62" s="15">
        <f>ROUND(-0.427,10)</f>
        <v>-0.42699999999999999</v>
      </c>
      <c r="FF62" s="15">
        <f>ROUND(-0.423,10)</f>
        <v>-0.42299999999999999</v>
      </c>
      <c r="FG62" s="15">
        <f>ROUND(-0.425,10)</f>
        <v>-0.42499999999999999</v>
      </c>
      <c r="FH62" s="15">
        <f>ROUND(-0.424,10)</f>
        <v>-0.42399999999999999</v>
      </c>
      <c r="FI62" s="15">
        <f>ROUND(-0.418,10)</f>
        <v>-0.41799999999999998</v>
      </c>
      <c r="FJ62" s="15">
        <f>ROUND(-0.408,10)</f>
        <v>-0.40799999999999997</v>
      </c>
      <c r="FK62" s="15">
        <f>ROUND(-0.415,10)</f>
        <v>-0.41499999999999998</v>
      </c>
      <c r="FL62" s="15">
        <f>ROUND(-0.415,10)</f>
        <v>-0.41499999999999998</v>
      </c>
      <c r="FM62" s="15">
        <f>ROUND(-0.427,10)</f>
        <v>-0.42699999999999999</v>
      </c>
      <c r="FN62" s="15">
        <f>ROUND(-0.423,10)</f>
        <v>-0.42299999999999999</v>
      </c>
      <c r="FO62" s="15">
        <f>ROUND(-0.428,10)</f>
        <v>-0.42799999999999999</v>
      </c>
      <c r="FP62" s="15">
        <f>ROUND(-0.439,10)</f>
        <v>-0.439</v>
      </c>
      <c r="FQ62" s="15">
        <f>ROUND(-0.448,10)</f>
        <v>-0.44800000000000001</v>
      </c>
      <c r="FR62" s="15">
        <f>ROUND(-0.439,10)</f>
        <v>-0.439</v>
      </c>
      <c r="FS62" s="15">
        <f>ROUND(-0.431,10)</f>
        <v>-0.43099999999999999</v>
      </c>
      <c r="FT62" s="15">
        <f>ROUND(-0.423,10)</f>
        <v>-0.42299999999999999</v>
      </c>
      <c r="FU62" s="15">
        <f>ROUND(-0.413,10)</f>
        <v>-0.41299999999999998</v>
      </c>
      <c r="FV62" s="15">
        <f>ROUND(-0.414,10)</f>
        <v>-0.41399999999999998</v>
      </c>
      <c r="FW62" s="15">
        <f>ROUND(-0.408,10)</f>
        <v>-0.40799999999999997</v>
      </c>
      <c r="FX62" s="15">
        <f>ROUND(-0.408,10)</f>
        <v>-0.40799999999999997</v>
      </c>
      <c r="FY62" s="15">
        <f>ROUND(-0.377,10)</f>
        <v>-0.377</v>
      </c>
      <c r="FZ62" s="15">
        <f>ROUND(-0.361,10)</f>
        <v>-0.36099999999999999</v>
      </c>
      <c r="GA62" s="15">
        <f>ROUND(-0.365,10)</f>
        <v>-0.36499999999999999</v>
      </c>
      <c r="GB62" s="15">
        <f>ROUND(-0.369,10)</f>
        <v>-0.36899999999999999</v>
      </c>
      <c r="GC62" s="15">
        <f>ROUND(-0.368,10)</f>
        <v>-0.36799999999999999</v>
      </c>
      <c r="GD62" s="15">
        <f>ROUND(-0.358,10)</f>
        <v>-0.35799999999999998</v>
      </c>
      <c r="GE62" s="15">
        <f>ROUND(-0.363,10)</f>
        <v>-0.36299999999999999</v>
      </c>
      <c r="GF62" s="15">
        <f>ROUND(-0.373,10)</f>
        <v>-0.373</v>
      </c>
      <c r="GG62" s="15">
        <f>ROUND(-0.375,10)</f>
        <v>-0.375</v>
      </c>
      <c r="GH62" s="15">
        <f>ROUND(-0.376,10)</f>
        <v>-0.376</v>
      </c>
      <c r="GI62" s="15">
        <f>ROUND(-0.377,10)</f>
        <v>-0.377</v>
      </c>
      <c r="GJ62" s="15">
        <f>ROUND(-0.386,10)</f>
        <v>-0.38600000000000001</v>
      </c>
      <c r="GK62" s="15">
        <f>ROUND(-0.387,10)</f>
        <v>-0.38700000000000001</v>
      </c>
      <c r="GL62" s="15">
        <f>ROUND(-0.384,10)</f>
        <v>-0.38400000000000001</v>
      </c>
      <c r="GM62" s="15">
        <f>ROUND(-0.387,10)</f>
        <v>-0.38700000000000001</v>
      </c>
      <c r="GN62" s="15">
        <f>ROUND(-0.389,10)</f>
        <v>-0.38900000000000001</v>
      </c>
      <c r="GO62" s="15">
        <f>ROUND(-0.389,10)</f>
        <v>-0.38900000000000001</v>
      </c>
      <c r="GP62" s="15">
        <f>ROUND(-0.387,10)</f>
        <v>-0.38700000000000001</v>
      </c>
      <c r="GQ62" s="15">
        <f>ROUND(-0.384,10)</f>
        <v>-0.38400000000000001</v>
      </c>
      <c r="GR62" s="15">
        <f>ROUND(-0.375,10)</f>
        <v>-0.375</v>
      </c>
      <c r="GS62" s="15">
        <f>ROUND(-0.358,10)</f>
        <v>-0.35799999999999998</v>
      </c>
      <c r="GT62" s="15">
        <f>ROUND(-0.353,10)</f>
        <v>-0.35299999999999998</v>
      </c>
      <c r="GU62" s="15">
        <f>ROUND(-0.358,10)</f>
        <v>-0.35799999999999998</v>
      </c>
      <c r="GV62" s="15">
        <f>ROUND(-0.354,10)</f>
        <v>-0.35399999999999998</v>
      </c>
      <c r="GW62" s="15">
        <f>ROUND(-0.349,10)</f>
        <v>-0.34899999999999998</v>
      </c>
      <c r="GX62" s="15">
        <f>ROUND(-0.351,10)</f>
        <v>-0.35099999999999998</v>
      </c>
      <c r="GY62" s="15">
        <f>ROUND(-0.349,10)</f>
        <v>-0.34899999999999998</v>
      </c>
      <c r="GZ62" s="15">
        <f>ROUND(-0.348,10)</f>
        <v>-0.34799999999999998</v>
      </c>
      <c r="HA62" s="15">
        <f>ROUND(-0.351,10)</f>
        <v>-0.35099999999999998</v>
      </c>
      <c r="HB62" s="15">
        <f>ROUND(-0.348,10)</f>
        <v>-0.34799999999999998</v>
      </c>
      <c r="HC62" s="15">
        <f>ROUND(-0.35,10)</f>
        <v>-0.35</v>
      </c>
      <c r="HD62" s="15">
        <f>ROUND(-0.346,10)</f>
        <v>-0.34599999999999997</v>
      </c>
      <c r="HE62" s="15">
        <f>ROUND(-0.343,10)</f>
        <v>-0.34300000000000003</v>
      </c>
      <c r="HF62" s="15">
        <f>ROUND(-0.339,10)</f>
        <v>-0.33900000000000002</v>
      </c>
      <c r="HG62" s="15">
        <f>ROUND(-0.337,10)</f>
        <v>-0.33700000000000002</v>
      </c>
      <c r="HH62" s="15">
        <f>ROUND(-0.348,10)</f>
        <v>-0.34799999999999998</v>
      </c>
      <c r="HI62" s="15">
        <f>ROUND(-0.343,10)</f>
        <v>-0.34300000000000003</v>
      </c>
      <c r="HJ62" s="15">
        <f>ROUND(-0.344,10)</f>
        <v>-0.34399999999999997</v>
      </c>
      <c r="HK62" s="15">
        <f>ROUND(-0.339,10)</f>
        <v>-0.33900000000000002</v>
      </c>
      <c r="HL62" s="15">
        <f>ROUND(-0.334,10)</f>
        <v>-0.33400000000000002</v>
      </c>
      <c r="HM62" s="15">
        <f>ROUND(-0.324,10)</f>
        <v>-0.32400000000000001</v>
      </c>
      <c r="HN62" s="15">
        <f>ROUND(-0.331,10)</f>
        <v>-0.33100000000000002</v>
      </c>
      <c r="HO62" s="15">
        <f>ROUND(-0.328,10)</f>
        <v>-0.32800000000000001</v>
      </c>
      <c r="HP62" s="15">
        <f>ROUND(-0.336,10)</f>
        <v>-0.33600000000000002</v>
      </c>
      <c r="HQ62" s="15">
        <f>ROUND(-0.33,10)</f>
        <v>-0.33</v>
      </c>
      <c r="HR62" s="15">
        <f>ROUND(-0.333,10)</f>
        <v>-0.33300000000000002</v>
      </c>
      <c r="HS62" s="15">
        <f>ROUND(-0.338,10)</f>
        <v>-0.33800000000000002</v>
      </c>
      <c r="HT62" s="15">
        <f>ROUND(-0.336,10)</f>
        <v>-0.33600000000000002</v>
      </c>
      <c r="HU62" s="15">
        <f>ROUND(-0.338,10)</f>
        <v>-0.33800000000000002</v>
      </c>
      <c r="HV62" s="15">
        <f>ROUND(-0.34,10)</f>
        <v>-0.34</v>
      </c>
      <c r="HW62" s="15">
        <f>ROUND(-0.335,10)</f>
        <v>-0.33500000000000002</v>
      </c>
      <c r="HX62" s="15">
        <f>ROUND(-0.338,10)</f>
        <v>-0.33800000000000002</v>
      </c>
      <c r="HY62" s="15">
        <f>ROUND(-0.338,10)</f>
        <v>-0.33800000000000002</v>
      </c>
      <c r="HZ62" s="15">
        <f>ROUND(-0.342,10)</f>
        <v>-0.34200000000000003</v>
      </c>
      <c r="IA62" s="15">
        <f>ROUND(-0.347,10)</f>
        <v>-0.34699999999999998</v>
      </c>
      <c r="IB62" s="15">
        <f>ROUND(-0.343,10)</f>
        <v>-0.34300000000000003</v>
      </c>
      <c r="IC62" s="15">
        <f>ROUND(-0.345,10)</f>
        <v>-0.34499999999999997</v>
      </c>
      <c r="ID62" s="15">
        <f>ROUND(-0.333,10)</f>
        <v>-0.33300000000000002</v>
      </c>
      <c r="IE62" s="15">
        <f>ROUND(-0.335,10)</f>
        <v>-0.33500000000000002</v>
      </c>
      <c r="IF62" s="15">
        <f>ROUND(-0.336,10)</f>
        <v>-0.33600000000000002</v>
      </c>
      <c r="IG62" s="15">
        <f>ROUND(-0.333,10)</f>
        <v>-0.33300000000000002</v>
      </c>
      <c r="IH62" s="15">
        <f>ROUND(-0.332,10)</f>
        <v>-0.33200000000000002</v>
      </c>
      <c r="II62" s="15">
        <f>ROUND(-0.333,10)</f>
        <v>-0.33300000000000002</v>
      </c>
      <c r="IJ62" s="15">
        <f>ROUND(-0.338,10)</f>
        <v>-0.33800000000000002</v>
      </c>
      <c r="IK62" s="15">
        <f>ROUND(-0.34,10)</f>
        <v>-0.34</v>
      </c>
      <c r="IL62" s="15">
        <f>ROUND(-0.34,10)</f>
        <v>-0.34</v>
      </c>
      <c r="IM62" s="15">
        <f>ROUND(-0.34,10)</f>
        <v>-0.34</v>
      </c>
      <c r="IN62" s="15">
        <f>ROUND(-0.342,10)</f>
        <v>-0.34200000000000003</v>
      </c>
      <c r="IO62" s="15">
        <f>ROUND(-0.348,10)</f>
        <v>-0.34799999999999998</v>
      </c>
      <c r="IP62" s="15">
        <f>ROUND(-0.342,10)</f>
        <v>-0.34200000000000003</v>
      </c>
      <c r="IQ62" s="15">
        <f>ROUND(-0.33,10)</f>
        <v>-0.33</v>
      </c>
      <c r="IR62" s="15">
        <f>ROUND(-0.339,10)</f>
        <v>-0.33900000000000002</v>
      </c>
      <c r="IS62" s="15">
        <f>ROUND(-0.331,10)</f>
        <v>-0.33100000000000002</v>
      </c>
      <c r="IT62" s="15">
        <f>ROUND(-0.325,10)</f>
        <v>-0.32500000000000001</v>
      </c>
      <c r="IU62" s="15">
        <f>ROUND(-0.325,10)</f>
        <v>-0.32500000000000001</v>
      </c>
      <c r="IV62" s="15">
        <f>ROUND(-0.324,10)</f>
        <v>-0.32400000000000001</v>
      </c>
    </row>
    <row r="63" spans="1:256">
      <c r="A63" s="6" t="s">
        <v>41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</row>
    <row r="64" spans="1:256">
      <c r="A64" s="6" t="s">
        <v>42</v>
      </c>
      <c r="B64" s="7">
        <f>ROUND(-0.121,10)</f>
        <v>-0.121</v>
      </c>
      <c r="C64" s="7">
        <f>ROUND(-0.119,10)</f>
        <v>-0.11899999999999999</v>
      </c>
      <c r="D64" s="7">
        <f>ROUND(-0.119,10)</f>
        <v>-0.11899999999999999</v>
      </c>
      <c r="E64" s="7">
        <f>ROUND(-0.119,10)</f>
        <v>-0.11899999999999999</v>
      </c>
      <c r="F64" s="7">
        <f>ROUND(-0.118,10)</f>
        <v>-0.11799999999999999</v>
      </c>
      <c r="G64" s="7">
        <f>ROUND(-0.118,10)</f>
        <v>-0.11799999999999999</v>
      </c>
      <c r="H64" s="7">
        <f>ROUND(-0.118,10)</f>
        <v>-0.11799999999999999</v>
      </c>
      <c r="I64" s="7">
        <f>ROUND(-0.117,10)</f>
        <v>-0.11700000000000001</v>
      </c>
      <c r="J64" s="7">
        <f>ROUND(-0.118,10)</f>
        <v>-0.11799999999999999</v>
      </c>
      <c r="K64" s="7">
        <f>ROUND(-0.117,10)</f>
        <v>-0.11700000000000001</v>
      </c>
      <c r="L64" s="7">
        <f>ROUND(-0.117,10)</f>
        <v>-0.11700000000000001</v>
      </c>
      <c r="M64" s="7">
        <f>ROUND(-0.118,10)</f>
        <v>-0.11799999999999999</v>
      </c>
      <c r="N64" s="7">
        <f>ROUND(-0.116,10)</f>
        <v>-0.11600000000000001</v>
      </c>
      <c r="O64" s="7">
        <f>ROUND(-0.115,10)</f>
        <v>-0.115</v>
      </c>
      <c r="P64" s="7">
        <f>ROUND(-0.115,10)</f>
        <v>-0.115</v>
      </c>
      <c r="Q64" s="7">
        <f>ROUND(-0.116,10)</f>
        <v>-0.11600000000000001</v>
      </c>
      <c r="R64" s="7">
        <f>ROUND(-0.115,10)</f>
        <v>-0.115</v>
      </c>
      <c r="S64" s="7">
        <f>ROUND(-0.114,10)</f>
        <v>-0.114</v>
      </c>
      <c r="T64" s="7">
        <f>ROUND(-0.112,10)</f>
        <v>-0.112</v>
      </c>
      <c r="U64" s="7">
        <f>ROUND(-0.109,10)</f>
        <v>-0.109</v>
      </c>
      <c r="V64" s="7">
        <f>ROUND(-0.109,10)</f>
        <v>-0.109</v>
      </c>
      <c r="W64" s="7">
        <f>ROUND(-0.109,10)</f>
        <v>-0.109</v>
      </c>
      <c r="X64" s="7">
        <f>ROUND(-0.11,10)</f>
        <v>-0.11</v>
      </c>
      <c r="Y64" s="7">
        <f>ROUND(-0.109,10)</f>
        <v>-0.109</v>
      </c>
      <c r="Z64" s="7">
        <f>ROUND(-0.109,10)</f>
        <v>-0.109</v>
      </c>
      <c r="AA64" s="7">
        <f>ROUND(-0.108,10)</f>
        <v>-0.108</v>
      </c>
      <c r="AB64" s="7">
        <f>ROUND(-0.108,10)</f>
        <v>-0.108</v>
      </c>
      <c r="AC64" s="7">
        <f>ROUND(-0.109,10)</f>
        <v>-0.109</v>
      </c>
      <c r="AD64" s="7">
        <f>ROUND(-0.109,10)</f>
        <v>-0.109</v>
      </c>
      <c r="AE64" s="7">
        <f>ROUND(-0.11,10)</f>
        <v>-0.11</v>
      </c>
      <c r="AF64" s="7">
        <f t="shared" ref="AF64:AV64" si="180">ROUND(-0.108,10)</f>
        <v>-0.108</v>
      </c>
      <c r="AG64" s="7">
        <f t="shared" si="180"/>
        <v>-0.108</v>
      </c>
      <c r="AH64" s="7">
        <f t="shared" si="180"/>
        <v>-0.108</v>
      </c>
      <c r="AI64" s="7">
        <f t="shared" si="180"/>
        <v>-0.108</v>
      </c>
      <c r="AJ64" s="7">
        <f t="shared" si="180"/>
        <v>-0.108</v>
      </c>
      <c r="AK64" s="7">
        <f t="shared" si="180"/>
        <v>-0.108</v>
      </c>
      <c r="AL64" s="7">
        <f t="shared" si="180"/>
        <v>-0.108</v>
      </c>
      <c r="AM64" s="7">
        <f t="shared" si="180"/>
        <v>-0.108</v>
      </c>
      <c r="AN64" s="7">
        <f t="shared" si="180"/>
        <v>-0.108</v>
      </c>
      <c r="AO64" s="7">
        <f t="shared" si="180"/>
        <v>-0.108</v>
      </c>
      <c r="AP64" s="7">
        <f t="shared" si="180"/>
        <v>-0.108</v>
      </c>
      <c r="AQ64" s="7">
        <f t="shared" si="180"/>
        <v>-0.108</v>
      </c>
      <c r="AR64" s="7">
        <f t="shared" si="180"/>
        <v>-0.108</v>
      </c>
      <c r="AS64" s="7">
        <f t="shared" si="180"/>
        <v>-0.108</v>
      </c>
      <c r="AT64" s="7">
        <f t="shared" si="180"/>
        <v>-0.108</v>
      </c>
      <c r="AU64" s="7">
        <f t="shared" si="180"/>
        <v>-0.108</v>
      </c>
      <c r="AV64" s="7">
        <f t="shared" si="180"/>
        <v>-0.108</v>
      </c>
      <c r="AW64" s="7">
        <f>ROUND(-0.109,10)</f>
        <v>-0.109</v>
      </c>
      <c r="AX64" s="7">
        <f>ROUND(-0.108,10)</f>
        <v>-0.108</v>
      </c>
      <c r="AY64" s="7">
        <f>ROUND(-0.108,10)</f>
        <v>-0.108</v>
      </c>
      <c r="AZ64" s="7">
        <f t="shared" ref="AZ64:BE64" si="181">ROUND(-0.109,10)</f>
        <v>-0.109</v>
      </c>
      <c r="BA64" s="7">
        <f t="shared" si="181"/>
        <v>-0.109</v>
      </c>
      <c r="BB64" s="7">
        <f t="shared" si="181"/>
        <v>-0.109</v>
      </c>
      <c r="BC64" s="7">
        <f t="shared" si="181"/>
        <v>-0.109</v>
      </c>
      <c r="BD64" s="7">
        <f t="shared" si="181"/>
        <v>-0.109</v>
      </c>
      <c r="BE64" s="7">
        <f t="shared" si="181"/>
        <v>-0.109</v>
      </c>
      <c r="BF64" s="7">
        <f>ROUND(-0.108,10)</f>
        <v>-0.108</v>
      </c>
      <c r="BG64" s="7">
        <f>ROUND(-0.108,10)</f>
        <v>-0.108</v>
      </c>
      <c r="BH64" s="7">
        <f>ROUND(-0.108,10)</f>
        <v>-0.108</v>
      </c>
      <c r="BI64" s="7">
        <f>ROUND(-0.108,10)</f>
        <v>-0.108</v>
      </c>
      <c r="BJ64" s="7">
        <f>ROUND(-0.109,10)</f>
        <v>-0.109</v>
      </c>
      <c r="BK64" s="7">
        <f t="shared" ref="BK64:BV64" si="182">ROUND(-0.112,10)</f>
        <v>-0.112</v>
      </c>
      <c r="BL64" s="7">
        <f t="shared" si="182"/>
        <v>-0.112</v>
      </c>
      <c r="BM64" s="7">
        <f t="shared" si="182"/>
        <v>-0.112</v>
      </c>
      <c r="BN64" s="7">
        <f t="shared" si="182"/>
        <v>-0.112</v>
      </c>
      <c r="BO64" s="7">
        <f t="shared" si="182"/>
        <v>-0.112</v>
      </c>
      <c r="BP64" s="7">
        <f t="shared" si="182"/>
        <v>-0.112</v>
      </c>
      <c r="BQ64" s="7">
        <f t="shared" si="182"/>
        <v>-0.112</v>
      </c>
      <c r="BR64" s="7">
        <f t="shared" si="182"/>
        <v>-0.112</v>
      </c>
      <c r="BS64" s="7">
        <f t="shared" si="182"/>
        <v>-0.112</v>
      </c>
      <c r="BT64" s="7">
        <f t="shared" si="182"/>
        <v>-0.112</v>
      </c>
      <c r="BU64" s="7">
        <f t="shared" si="182"/>
        <v>-0.112</v>
      </c>
      <c r="BV64" s="7">
        <f t="shared" si="182"/>
        <v>-0.112</v>
      </c>
      <c r="BW64" s="7">
        <f>ROUND(-0.111,10)</f>
        <v>-0.111</v>
      </c>
      <c r="BX64" s="7">
        <f t="shared" ref="BX64:CC64" si="183">ROUND(-0.112,10)</f>
        <v>-0.112</v>
      </c>
      <c r="BY64" s="7">
        <f t="shared" si="183"/>
        <v>-0.112</v>
      </c>
      <c r="BZ64" s="7">
        <f t="shared" si="183"/>
        <v>-0.112</v>
      </c>
      <c r="CA64" s="7">
        <f t="shared" si="183"/>
        <v>-0.112</v>
      </c>
      <c r="CB64" s="7">
        <f t="shared" si="183"/>
        <v>-0.112</v>
      </c>
      <c r="CC64" s="7">
        <f t="shared" si="183"/>
        <v>-0.112</v>
      </c>
      <c r="CD64" s="7">
        <f>ROUND(-0.113,10)</f>
        <v>-0.113</v>
      </c>
      <c r="CE64" s="7">
        <f>ROUND(-0.114,10)</f>
        <v>-0.114</v>
      </c>
      <c r="CF64" s="7">
        <f>ROUND(-0.114,10)</f>
        <v>-0.114</v>
      </c>
      <c r="CG64" s="7">
        <f>ROUND(-0.114,10)</f>
        <v>-0.114</v>
      </c>
      <c r="CH64" s="7">
        <f>ROUND(-0.114,10)</f>
        <v>-0.114</v>
      </c>
      <c r="CI64" s="7">
        <f>ROUND(-0.114,10)</f>
        <v>-0.114</v>
      </c>
      <c r="CJ64" s="7">
        <f>ROUND(-0.115,10)</f>
        <v>-0.115</v>
      </c>
      <c r="CK64" s="7">
        <f>ROUND(-0.117,10)</f>
        <v>-0.11700000000000001</v>
      </c>
      <c r="CL64" s="7">
        <f>ROUND(-0.118,10)</f>
        <v>-0.11799999999999999</v>
      </c>
      <c r="CM64" s="7">
        <f>ROUND(-0.118,10)</f>
        <v>-0.11799999999999999</v>
      </c>
      <c r="CN64" s="7">
        <f>ROUND(-0.118,10)</f>
        <v>-0.11799999999999999</v>
      </c>
      <c r="CO64" s="7">
        <f>ROUND(-0.121,10)</f>
        <v>-0.121</v>
      </c>
      <c r="CP64" s="7">
        <f>ROUND(-0.125,10)</f>
        <v>-0.125</v>
      </c>
      <c r="CQ64" s="7">
        <f>ROUND(-0.128,10)</f>
        <v>-0.128</v>
      </c>
      <c r="CR64" s="7">
        <f>ROUND(-0.133,10)</f>
        <v>-0.13300000000000001</v>
      </c>
      <c r="CS64" s="7">
        <f>ROUND(-0.135,10)</f>
        <v>-0.13500000000000001</v>
      </c>
      <c r="CT64" s="7">
        <f>ROUND(-0.145,10)</f>
        <v>-0.14499999999999999</v>
      </c>
      <c r="CU64" s="7">
        <f>ROUND(-0.145,10)</f>
        <v>-0.14499999999999999</v>
      </c>
      <c r="CV64" s="7">
        <f>ROUND(-0.148,10)</f>
        <v>-0.14799999999999999</v>
      </c>
      <c r="CW64" s="7">
        <f>ROUND(-0.148,10)</f>
        <v>-0.14799999999999999</v>
      </c>
      <c r="CX64" s="7">
        <f>ROUND(-0.148,10)</f>
        <v>-0.14799999999999999</v>
      </c>
      <c r="CY64" s="7">
        <f>ROUND(-0.153,10)</f>
        <v>-0.153</v>
      </c>
      <c r="CZ64" s="7">
        <f>ROUND(-0.158,10)</f>
        <v>-0.158</v>
      </c>
      <c r="DA64" s="7">
        <f>ROUND(-0.163,10)</f>
        <v>-0.16300000000000001</v>
      </c>
      <c r="DB64" s="7">
        <f>ROUND(-0.168,10)</f>
        <v>-0.16800000000000001</v>
      </c>
      <c r="DC64" s="7">
        <f>ROUND(-0.175,10)</f>
        <v>-0.17499999999999999</v>
      </c>
      <c r="DD64" s="7">
        <f>ROUND(-0.177,10)</f>
        <v>-0.17699999999999999</v>
      </c>
      <c r="DE64" s="7">
        <f>ROUND(-0.177,10)</f>
        <v>-0.17699999999999999</v>
      </c>
      <c r="DF64" s="7">
        <f>ROUND(-0.183,10)</f>
        <v>-0.183</v>
      </c>
      <c r="DG64" s="7">
        <f>ROUND(-0.175,10)</f>
        <v>-0.17499999999999999</v>
      </c>
      <c r="DH64" s="7">
        <f>ROUND(-0.178,10)</f>
        <v>-0.17799999999999999</v>
      </c>
      <c r="DI64" s="7">
        <f>ROUND(-0.178,10)</f>
        <v>-0.17799999999999999</v>
      </c>
      <c r="DJ64" s="7">
        <f>ROUND(-0.173,10)</f>
        <v>-0.17299999999999999</v>
      </c>
      <c r="DK64" s="7">
        <f>ROUND(-0.168,10)</f>
        <v>-0.16800000000000001</v>
      </c>
      <c r="DL64" s="7">
        <f>ROUND(-0.171,10)</f>
        <v>-0.17100000000000001</v>
      </c>
      <c r="DM64" s="7">
        <f>ROUND(-0.177,10)</f>
        <v>-0.17699999999999999</v>
      </c>
      <c r="DN64" s="7">
        <f>ROUND(-0.184,10)</f>
        <v>-0.184</v>
      </c>
      <c r="DO64" s="7">
        <f>ROUND(-0.208,10)</f>
        <v>-0.20799999999999999</v>
      </c>
      <c r="DP64" s="7">
        <f>ROUND(-0.211,10)</f>
        <v>-0.21099999999999999</v>
      </c>
      <c r="DQ64" s="7">
        <f>ROUND(-0.212,10)</f>
        <v>-0.21199999999999999</v>
      </c>
      <c r="DR64" s="7">
        <f>ROUND(-0.21,10)</f>
        <v>-0.21</v>
      </c>
      <c r="DS64" s="7">
        <f>ROUND(-0.21,10)</f>
        <v>-0.21</v>
      </c>
      <c r="DT64" s="7">
        <f>ROUND(-0.211,10)</f>
        <v>-0.21099999999999999</v>
      </c>
      <c r="DU64" s="7">
        <f>ROUND(-0.213,10)</f>
        <v>-0.21299999999999999</v>
      </c>
      <c r="DV64" s="7">
        <f>ROUND(-0.214,10)</f>
        <v>-0.214</v>
      </c>
      <c r="DW64" s="7">
        <f>ROUND(-0.217,10)</f>
        <v>-0.217</v>
      </c>
      <c r="DX64" s="7">
        <f>ROUND(-0.233,10)</f>
        <v>-0.23300000000000001</v>
      </c>
      <c r="DY64" s="7">
        <f>ROUND(-0.243,10)</f>
        <v>-0.24299999999999999</v>
      </c>
      <c r="DZ64" s="7">
        <f>ROUND(-0.258,10)</f>
        <v>-0.25800000000000001</v>
      </c>
      <c r="EA64" s="7">
        <f>ROUND(-0.268,10)</f>
        <v>-0.26800000000000002</v>
      </c>
      <c r="EB64" s="7">
        <f>ROUND(-0.258,10)</f>
        <v>-0.25800000000000001</v>
      </c>
      <c r="EC64" s="7">
        <f>ROUND(-0.258,10)</f>
        <v>-0.25800000000000001</v>
      </c>
      <c r="ED64" s="7">
        <f>ROUND(-0.253,10)</f>
        <v>-0.253</v>
      </c>
      <c r="EE64" s="7">
        <f>ROUND(-0.277,10)</f>
        <v>-0.27700000000000002</v>
      </c>
      <c r="EF64" s="7">
        <f>ROUND(-0.28,10)</f>
        <v>-0.28000000000000003</v>
      </c>
      <c r="EG64" s="7">
        <f>ROUND(-0.287,10)</f>
        <v>-0.28699999999999998</v>
      </c>
      <c r="EH64" s="7">
        <f>ROUND(-0.286,10)</f>
        <v>-0.28599999999999998</v>
      </c>
      <c r="EI64" s="7">
        <f>ROUND(-0.298,10)</f>
        <v>-0.29799999999999999</v>
      </c>
      <c r="EJ64" s="7">
        <f>ROUND(-0.303,10)</f>
        <v>-0.30299999999999999</v>
      </c>
      <c r="EK64" s="7">
        <f>ROUND(-0.308,10)</f>
        <v>-0.308</v>
      </c>
      <c r="EL64" s="7">
        <f>ROUND(-0.307,10)</f>
        <v>-0.307</v>
      </c>
      <c r="EM64" s="7">
        <f>ROUND(-0.311,10)</f>
        <v>-0.311</v>
      </c>
      <c r="EN64" s="7">
        <f>ROUND(-0.321,10)</f>
        <v>-0.32100000000000001</v>
      </c>
      <c r="EO64" s="7">
        <f>ROUND(-0.318,10)</f>
        <v>-0.318</v>
      </c>
      <c r="EP64" s="7">
        <f>ROUND(-0.314,10)</f>
        <v>-0.314</v>
      </c>
      <c r="EQ64" s="7">
        <f>ROUND(-0.314,10)</f>
        <v>-0.314</v>
      </c>
      <c r="ER64" s="7">
        <f>ROUND(-0.301,10)</f>
        <v>-0.30099999999999999</v>
      </c>
      <c r="ES64" s="7">
        <f>ROUND(-0.303,10)</f>
        <v>-0.30299999999999999</v>
      </c>
      <c r="ET64" s="7">
        <f>ROUND(-0.3,10)</f>
        <v>-0.3</v>
      </c>
      <c r="EU64" s="7">
        <f>ROUND(-0.304,10)</f>
        <v>-0.30399999999999999</v>
      </c>
      <c r="EV64" s="7">
        <f>ROUND(-0.308,10)</f>
        <v>-0.308</v>
      </c>
      <c r="EW64" s="7">
        <f>ROUND(-0.319,10)</f>
        <v>-0.31900000000000001</v>
      </c>
      <c r="EX64" s="7">
        <f>ROUND(-0.322,10)</f>
        <v>-0.32200000000000001</v>
      </c>
      <c r="EY64" s="7">
        <f>ROUND(-0.339,10)</f>
        <v>-0.33900000000000002</v>
      </c>
      <c r="EZ64" s="7">
        <f>ROUND(-0.343,10)</f>
        <v>-0.34300000000000003</v>
      </c>
      <c r="FA64" s="7">
        <f>ROUND(-0.352,10)</f>
        <v>-0.35199999999999998</v>
      </c>
      <c r="FB64" s="7">
        <f>ROUND(-0.357,10)</f>
        <v>-0.35699999999999998</v>
      </c>
      <c r="FC64" s="7">
        <f>ROUND(-0.35,10)</f>
        <v>-0.35</v>
      </c>
      <c r="FD64" s="7">
        <f>ROUND(-0.353,10)</f>
        <v>-0.35299999999999998</v>
      </c>
      <c r="FE64" s="7">
        <f>ROUND(-0.385,10)</f>
        <v>-0.38500000000000001</v>
      </c>
      <c r="FF64" s="7">
        <f>ROUND(-0.398,10)</f>
        <v>-0.39800000000000002</v>
      </c>
      <c r="FG64" s="7">
        <f>ROUND(-0.395,10)</f>
        <v>-0.39500000000000002</v>
      </c>
      <c r="FH64" s="7">
        <f>ROUND(-0.399,10)</f>
        <v>-0.39900000000000002</v>
      </c>
      <c r="FI64" s="7">
        <f>ROUND(-0.386,10)</f>
        <v>-0.38600000000000001</v>
      </c>
      <c r="FJ64" s="7">
        <f>ROUND(-0.358,10)</f>
        <v>-0.35799999999999998</v>
      </c>
      <c r="FK64" s="7">
        <f>ROUND(-0.364,10)</f>
        <v>-0.36399999999999999</v>
      </c>
      <c r="FL64" s="7">
        <f>ROUND(-0.369,10)</f>
        <v>-0.36899999999999999</v>
      </c>
      <c r="FM64" s="7">
        <f>ROUND(-0.379,10)</f>
        <v>-0.379</v>
      </c>
      <c r="FN64" s="7">
        <f>ROUND(-0.375,10)</f>
        <v>-0.375</v>
      </c>
      <c r="FO64" s="7">
        <f>ROUND(-0.383,10)</f>
        <v>-0.38300000000000001</v>
      </c>
      <c r="FP64" s="7">
        <f>ROUND(-0.384,10)</f>
        <v>-0.38400000000000001</v>
      </c>
      <c r="FQ64" s="7">
        <f>ROUND(-0.385,10)</f>
        <v>-0.38500000000000001</v>
      </c>
      <c r="FR64" s="7">
        <f>ROUND(-0.379,10)</f>
        <v>-0.379</v>
      </c>
      <c r="FS64" s="7">
        <f>ROUND(-0.373,10)</f>
        <v>-0.373</v>
      </c>
      <c r="FT64" s="7">
        <f>ROUND(-0.358,10)</f>
        <v>-0.35799999999999998</v>
      </c>
      <c r="FU64" s="7">
        <f>ROUND(-0.36,10)</f>
        <v>-0.36</v>
      </c>
      <c r="FV64" s="7">
        <f>ROUND(-0.37,10)</f>
        <v>-0.37</v>
      </c>
      <c r="FW64" s="7">
        <f>ROUND(-0.373,10)</f>
        <v>-0.373</v>
      </c>
      <c r="FX64" s="7">
        <f>ROUND(-0.373,10)</f>
        <v>-0.373</v>
      </c>
      <c r="FY64" s="7">
        <f>ROUND(-0.325,10)</f>
        <v>-0.32500000000000001</v>
      </c>
      <c r="FZ64" s="7">
        <f>ROUND(-0.309,10)</f>
        <v>-0.309</v>
      </c>
      <c r="GA64" s="7">
        <f>ROUND(-0.304,10)</f>
        <v>-0.30399999999999999</v>
      </c>
      <c r="GB64" s="7">
        <f>ROUND(-0.306,10)</f>
        <v>-0.30599999999999999</v>
      </c>
      <c r="GC64" s="7">
        <f>ROUND(-0.303,10)</f>
        <v>-0.30299999999999999</v>
      </c>
      <c r="GD64" s="7">
        <f>ROUND(-0.298,10)</f>
        <v>-0.29799999999999999</v>
      </c>
      <c r="GE64" s="7">
        <f>ROUND(-0.302,10)</f>
        <v>-0.30199999999999999</v>
      </c>
      <c r="GF64" s="7">
        <f>ROUND(-0.316,10)</f>
        <v>-0.316</v>
      </c>
      <c r="GG64" s="7">
        <f>ROUND(-0.325,10)</f>
        <v>-0.32500000000000001</v>
      </c>
      <c r="GH64" s="7">
        <f>ROUND(-0.324,10)</f>
        <v>-0.32400000000000001</v>
      </c>
      <c r="GI64" s="7">
        <f>ROUND(-0.325,10)</f>
        <v>-0.32500000000000001</v>
      </c>
      <c r="GJ64" s="7">
        <f>ROUND(-0.33,10)</f>
        <v>-0.33</v>
      </c>
      <c r="GK64" s="7">
        <f>ROUND(-0.33,10)</f>
        <v>-0.33</v>
      </c>
      <c r="GL64" s="7">
        <f>ROUND(-0.323,10)</f>
        <v>-0.32300000000000001</v>
      </c>
      <c r="GM64" s="7">
        <f>ROUND(-0.328,10)</f>
        <v>-0.32800000000000001</v>
      </c>
      <c r="GN64" s="7">
        <f>ROUND(-0.336,10)</f>
        <v>-0.33600000000000002</v>
      </c>
      <c r="GO64" s="7">
        <f>ROUND(-0.336,10)</f>
        <v>-0.33600000000000002</v>
      </c>
      <c r="GP64" s="7">
        <f>ROUND(-0.33,10)</f>
        <v>-0.33</v>
      </c>
      <c r="GQ64" s="7">
        <f>ROUND(-0.333,10)</f>
        <v>-0.33300000000000002</v>
      </c>
      <c r="GR64" s="7">
        <f>ROUND(-0.326,10)</f>
        <v>-0.32600000000000001</v>
      </c>
      <c r="GS64" s="7">
        <f>ROUND(-0.303,10)</f>
        <v>-0.30299999999999999</v>
      </c>
      <c r="GT64" s="7">
        <f>ROUND(-0.301,10)</f>
        <v>-0.30099999999999999</v>
      </c>
      <c r="GU64" s="7">
        <f>ROUND(-0.303,10)</f>
        <v>-0.30299999999999999</v>
      </c>
      <c r="GV64" s="7">
        <f>ROUND(-0.299,10)</f>
        <v>-0.29899999999999999</v>
      </c>
      <c r="GW64" s="7">
        <f>ROUND(-0.294,10)</f>
        <v>-0.29399999999999998</v>
      </c>
      <c r="GX64" s="7">
        <f>ROUND(-0.298,10)</f>
        <v>-0.29799999999999999</v>
      </c>
      <c r="GY64" s="7">
        <f>ROUND(-0.294,10)</f>
        <v>-0.29399999999999998</v>
      </c>
      <c r="GZ64" s="7">
        <f>ROUND(-0.284,10)</f>
        <v>-0.28399999999999997</v>
      </c>
      <c r="HA64" s="7">
        <f>ROUND(-0.288,10)</f>
        <v>-0.28799999999999998</v>
      </c>
      <c r="HB64" s="7">
        <f>ROUND(-0.288,10)</f>
        <v>-0.28799999999999998</v>
      </c>
      <c r="HC64" s="7">
        <f>ROUND(-0.293,10)</f>
        <v>-0.29299999999999998</v>
      </c>
      <c r="HD64" s="7">
        <f>ROUND(-0.281,10)</f>
        <v>-0.28100000000000003</v>
      </c>
      <c r="HE64" s="7">
        <f>ROUND(-0.28,10)</f>
        <v>-0.28000000000000003</v>
      </c>
      <c r="HF64" s="7">
        <f>ROUND(-0.276,10)</f>
        <v>-0.27600000000000002</v>
      </c>
      <c r="HG64" s="7">
        <f>ROUND(-0.273,10)</f>
        <v>-0.27300000000000002</v>
      </c>
      <c r="HH64" s="7">
        <f>ROUND(-0.281,10)</f>
        <v>-0.28100000000000003</v>
      </c>
      <c r="HI64" s="7">
        <f>ROUND(-0.276,10)</f>
        <v>-0.27600000000000002</v>
      </c>
      <c r="HJ64" s="7">
        <f>ROUND(-0.278,10)</f>
        <v>-0.27800000000000002</v>
      </c>
      <c r="HK64" s="7">
        <f>ROUND(-0.269,10)</f>
        <v>-0.26900000000000002</v>
      </c>
      <c r="HL64" s="7">
        <f>ROUND(-0.27,10)</f>
        <v>-0.27</v>
      </c>
      <c r="HM64" s="7">
        <f>ROUND(-0.262,10)</f>
        <v>-0.26200000000000001</v>
      </c>
      <c r="HN64" s="7">
        <f>ROUND(-0.263,10)</f>
        <v>-0.26300000000000001</v>
      </c>
      <c r="HO64" s="7">
        <f>ROUND(-0.255,10)</f>
        <v>-0.255</v>
      </c>
      <c r="HP64" s="7">
        <f>ROUND(-0.261,10)</f>
        <v>-0.26100000000000001</v>
      </c>
      <c r="HQ64" s="7">
        <f>ROUND(-0.266,10)</f>
        <v>-0.26600000000000001</v>
      </c>
      <c r="HR64" s="7">
        <f>ROUND(-0.269,10)</f>
        <v>-0.26900000000000002</v>
      </c>
      <c r="HS64" s="7">
        <f>ROUND(-0.267,10)</f>
        <v>-0.26700000000000002</v>
      </c>
      <c r="HT64" s="7">
        <f>ROUND(-0.271,10)</f>
        <v>-0.27100000000000002</v>
      </c>
      <c r="HU64" s="7">
        <f>ROUND(-0.273,10)</f>
        <v>-0.27300000000000002</v>
      </c>
      <c r="HV64" s="7">
        <f>ROUND(-0.28,10)</f>
        <v>-0.28000000000000003</v>
      </c>
      <c r="HW64" s="7">
        <f>ROUND(-0.277,10)</f>
        <v>-0.27700000000000002</v>
      </c>
      <c r="HX64" s="7">
        <f>ROUND(-0.28,10)</f>
        <v>-0.28000000000000003</v>
      </c>
      <c r="HY64" s="7">
        <f>ROUND(-0.279,10)</f>
        <v>-0.27900000000000003</v>
      </c>
      <c r="HZ64" s="7">
        <f>ROUND(-0.278,10)</f>
        <v>-0.27800000000000002</v>
      </c>
      <c r="IA64" s="7">
        <f>ROUND(-0.283,10)</f>
        <v>-0.28299999999999997</v>
      </c>
      <c r="IB64" s="7">
        <f>ROUND(-0.273,10)</f>
        <v>-0.27300000000000002</v>
      </c>
      <c r="IC64" s="7">
        <f>ROUND(-0.27,10)</f>
        <v>-0.27</v>
      </c>
      <c r="ID64" s="7">
        <f>ROUND(-0.263,10)</f>
        <v>-0.26300000000000001</v>
      </c>
      <c r="IE64" s="7">
        <f>ROUND(-0.267,10)</f>
        <v>-0.26700000000000002</v>
      </c>
      <c r="IF64" s="7">
        <f>ROUND(-0.269,10)</f>
        <v>-0.26900000000000002</v>
      </c>
      <c r="IG64" s="7">
        <f>ROUND(-0.269,10)</f>
        <v>-0.26900000000000002</v>
      </c>
      <c r="IH64" s="7">
        <f>ROUND(-0.277,10)</f>
        <v>-0.27700000000000002</v>
      </c>
      <c r="II64" s="7">
        <f>ROUND(-0.269,10)</f>
        <v>-0.26900000000000002</v>
      </c>
      <c r="IJ64" s="7">
        <f>ROUND(-0.272,10)</f>
        <v>-0.27200000000000002</v>
      </c>
      <c r="IK64" s="7">
        <f>ROUND(-0.266,10)</f>
        <v>-0.26600000000000001</v>
      </c>
      <c r="IL64" s="7">
        <f>ROUND(-0.263,10)</f>
        <v>-0.26300000000000001</v>
      </c>
      <c r="IM64" s="7">
        <f>ROUND(-0.262,10)</f>
        <v>-0.26200000000000001</v>
      </c>
      <c r="IN64" s="7">
        <f>ROUND(-0.263,10)</f>
        <v>-0.26300000000000001</v>
      </c>
      <c r="IO64" s="7">
        <f>ROUND(-0.269,10)</f>
        <v>-0.26900000000000002</v>
      </c>
      <c r="IP64" s="7">
        <f>ROUND(-0.262,10)</f>
        <v>-0.26200000000000001</v>
      </c>
      <c r="IQ64" s="7">
        <f>ROUND(-0.253,10)</f>
        <v>-0.253</v>
      </c>
      <c r="IR64" s="7">
        <f>ROUND(-0.25,10)</f>
        <v>-0.25</v>
      </c>
      <c r="IS64" s="7">
        <f>ROUND(-0.248,10)</f>
        <v>-0.248</v>
      </c>
      <c r="IT64" s="7">
        <f>ROUND(-0.247,10)</f>
        <v>-0.247</v>
      </c>
      <c r="IU64" s="7">
        <f>ROUND(-0.24,10)</f>
        <v>-0.24</v>
      </c>
      <c r="IV64" s="7">
        <f>ROUND(-0.249,10)</f>
        <v>-0.249</v>
      </c>
    </row>
    <row r="67" spans="1:58">
      <c r="A67" s="8">
        <v>2020</v>
      </c>
      <c r="B67" s="5">
        <v>43832</v>
      </c>
      <c r="C67" s="5">
        <v>43833</v>
      </c>
      <c r="D67" s="5">
        <v>43836</v>
      </c>
      <c r="E67" s="5">
        <v>43837</v>
      </c>
      <c r="F67" s="5">
        <v>43838</v>
      </c>
      <c r="G67" s="5">
        <v>43839</v>
      </c>
      <c r="H67" s="5">
        <v>43840</v>
      </c>
      <c r="I67" s="5">
        <v>43843</v>
      </c>
      <c r="J67" s="5">
        <v>43844</v>
      </c>
      <c r="K67" s="5">
        <v>43845</v>
      </c>
      <c r="L67" s="5">
        <v>43846</v>
      </c>
      <c r="M67" s="5">
        <v>43847</v>
      </c>
      <c r="N67" s="5">
        <v>43850</v>
      </c>
      <c r="O67" s="5">
        <v>43851</v>
      </c>
      <c r="P67" s="5">
        <v>43852</v>
      </c>
      <c r="Q67" s="5">
        <v>43853</v>
      </c>
      <c r="R67" s="5">
        <v>43854</v>
      </c>
      <c r="S67" s="5">
        <v>43857</v>
      </c>
      <c r="T67" s="5">
        <v>43858</v>
      </c>
      <c r="U67" s="5">
        <v>43859</v>
      </c>
      <c r="V67" s="5">
        <v>43860</v>
      </c>
      <c r="W67" s="5">
        <v>43861</v>
      </c>
      <c r="X67" s="5">
        <v>43864</v>
      </c>
      <c r="Y67" s="5">
        <v>43865</v>
      </c>
      <c r="Z67" s="5">
        <v>43866</v>
      </c>
      <c r="AA67" s="5">
        <v>43867</v>
      </c>
      <c r="AB67" s="5">
        <v>43868</v>
      </c>
      <c r="AC67" s="5">
        <v>43871</v>
      </c>
      <c r="AD67" s="5">
        <v>43872</v>
      </c>
      <c r="AE67" s="5">
        <v>43873</v>
      </c>
      <c r="AF67" s="5">
        <v>43874</v>
      </c>
      <c r="AG67" s="5">
        <v>43875</v>
      </c>
      <c r="AH67" s="5">
        <v>43878</v>
      </c>
      <c r="AI67" s="5">
        <v>43879</v>
      </c>
      <c r="AJ67" s="5">
        <v>43880</v>
      </c>
      <c r="AK67" s="5">
        <v>43881</v>
      </c>
      <c r="AL67" s="5">
        <v>43882</v>
      </c>
      <c r="AM67" s="5">
        <v>43885</v>
      </c>
      <c r="AN67" s="5">
        <v>43886</v>
      </c>
      <c r="AO67" s="5">
        <v>43887</v>
      </c>
      <c r="AP67" s="5">
        <v>43888</v>
      </c>
      <c r="AQ67" s="5">
        <v>43889</v>
      </c>
      <c r="AR67" s="5">
        <v>43892</v>
      </c>
      <c r="AS67" s="5">
        <v>43893</v>
      </c>
      <c r="AT67" s="5">
        <v>43894</v>
      </c>
      <c r="AU67" s="5">
        <v>43895</v>
      </c>
      <c r="AV67" s="5">
        <v>43896</v>
      </c>
      <c r="AW67" s="5">
        <v>43899</v>
      </c>
      <c r="AX67" s="5">
        <v>43900</v>
      </c>
      <c r="AY67" s="5">
        <v>43901</v>
      </c>
      <c r="AZ67" s="5">
        <v>43902</v>
      </c>
      <c r="BA67" s="5">
        <v>43903</v>
      </c>
      <c r="BB67" s="5">
        <v>43906</v>
      </c>
      <c r="BC67" s="5">
        <v>43907</v>
      </c>
      <c r="BD67" s="5">
        <v>43908</v>
      </c>
      <c r="BE67" s="5">
        <v>43909</v>
      </c>
      <c r="BF67" s="5">
        <v>43910</v>
      </c>
    </row>
    <row r="68" spans="1:58">
      <c r="A68" s="6" t="s">
        <v>35</v>
      </c>
      <c r="B68" s="7">
        <f>ROUND(-0.491, 10)</f>
        <v>-0.49099999999999999</v>
      </c>
      <c r="C68" s="7">
        <f>ROUND(-0.503, 10)</f>
        <v>-0.503</v>
      </c>
      <c r="D68" s="7">
        <f>ROUND(-0.506, 10)</f>
        <v>-0.50600000000000001</v>
      </c>
      <c r="E68" s="7">
        <f>ROUND(-0.504, 10)</f>
        <v>-0.504</v>
      </c>
      <c r="F68" s="7">
        <f>ROUND(-0.511, 10)</f>
        <v>-0.51100000000000001</v>
      </c>
      <c r="G68" s="7">
        <f>ROUND(-0.518, 10)</f>
        <v>-0.51800000000000002</v>
      </c>
      <c r="H68" s="7">
        <f>ROUND(-0.514, 10)</f>
        <v>-0.51400000000000001</v>
      </c>
      <c r="I68" s="7">
        <f>ROUND(-0.498, 10)</f>
        <v>-0.498</v>
      </c>
      <c r="J68" s="7">
        <f>ROUND(-0.503, 10)</f>
        <v>-0.503</v>
      </c>
      <c r="K68" s="7">
        <f>ROUND(-0.505, 10)</f>
        <v>-0.505</v>
      </c>
      <c r="L68" s="7">
        <f>ROUND(-0.51, 10)</f>
        <v>-0.51</v>
      </c>
      <c r="M68" s="7">
        <f>ROUND(-0.505, 10)</f>
        <v>-0.505</v>
      </c>
      <c r="N68" s="7">
        <f>ROUND(-0.501, 10)</f>
        <v>-0.501</v>
      </c>
      <c r="O68" s="7">
        <f>ROUND(-0.5, 10)</f>
        <v>-0.5</v>
      </c>
      <c r="P68" s="7">
        <f>ROUND(-0.503, 10)</f>
        <v>-0.503</v>
      </c>
      <c r="Q68" s="7">
        <f>ROUND(-0.498, 10)</f>
        <v>-0.498</v>
      </c>
      <c r="R68" s="7">
        <f>ROUND(-0.503, 10)</f>
        <v>-0.503</v>
      </c>
      <c r="S68" s="7">
        <f>ROUND(-0.506, 10)</f>
        <v>-0.50600000000000001</v>
      </c>
      <c r="T68" s="7">
        <f>ROUND(-0.499, 10)</f>
        <v>-0.499</v>
      </c>
      <c r="U68" s="7">
        <f>ROUND(-0.503, 10)</f>
        <v>-0.503</v>
      </c>
      <c r="V68" s="7">
        <f>ROUND(-0.508, 10)</f>
        <v>-0.50800000000000001</v>
      </c>
      <c r="W68" s="7">
        <f>ROUND(-0.506, 10)</f>
        <v>-0.50600000000000001</v>
      </c>
      <c r="X68" s="7">
        <f>ROUND(-0.51, 10)</f>
        <v>-0.51</v>
      </c>
      <c r="Y68" s="7">
        <f>ROUND(-0.509, 10)</f>
        <v>-0.50900000000000001</v>
      </c>
      <c r="Z68" s="7">
        <f>ROUND(-0.508, 10)</f>
        <v>-0.50800000000000001</v>
      </c>
      <c r="AA68" s="7">
        <f>ROUND(-0.503, 10)</f>
        <v>-0.503</v>
      </c>
      <c r="AB68" s="7">
        <f>ROUND(-0.509, 10)</f>
        <v>-0.50900000000000001</v>
      </c>
      <c r="AC68" s="7">
        <f>ROUND(-0.508, 10)</f>
        <v>-0.50800000000000001</v>
      </c>
      <c r="AD68" s="7">
        <f>ROUND(-0.515, 10)</f>
        <v>-0.51500000000000001</v>
      </c>
      <c r="AE68" s="7">
        <f>ROUND(-0.518, 10)</f>
        <v>-0.51800000000000002</v>
      </c>
      <c r="AF68" s="7">
        <f>ROUND(-0.509, 10)</f>
        <v>-0.50900000000000001</v>
      </c>
      <c r="AG68" s="7">
        <f>ROUND(-0.509, 10)</f>
        <v>-0.50900000000000001</v>
      </c>
      <c r="AH68" s="7">
        <f>ROUND(-0.504, 10)</f>
        <v>-0.504</v>
      </c>
      <c r="AI68" s="7">
        <f>ROUND(-0.523, 10)</f>
        <v>-0.52300000000000002</v>
      </c>
      <c r="AJ68" s="7">
        <f>ROUND(-0.509, 10)</f>
        <v>-0.50900000000000001</v>
      </c>
      <c r="AK68" s="7">
        <f>ROUND(-0.521, 10)</f>
        <v>-0.52100000000000002</v>
      </c>
      <c r="AL68" s="7">
        <f>ROUND(-0.517, 10)</f>
        <v>-0.51700000000000002</v>
      </c>
      <c r="AM68" s="7">
        <f>ROUND(-0.508, 10)</f>
        <v>-0.50800000000000001</v>
      </c>
      <c r="AN68" s="7">
        <f>ROUND(-0.509, 10)</f>
        <v>-0.50900000000000001</v>
      </c>
      <c r="AO68" s="7">
        <f>ROUND(-0.509, 10)</f>
        <v>-0.50900000000000001</v>
      </c>
      <c r="AP68" s="7">
        <f>ROUND(-0.521, 10)</f>
        <v>-0.52100000000000002</v>
      </c>
      <c r="AQ68" s="7">
        <f>ROUND(-0.518, 10)</f>
        <v>-0.51800000000000002</v>
      </c>
      <c r="AR68" s="7">
        <f>ROUND(-0.52, 10)</f>
        <v>-0.52</v>
      </c>
      <c r="AS68" s="7">
        <f>ROUND(-0.516, 10)</f>
        <v>-0.51600000000000001</v>
      </c>
      <c r="AT68" s="7">
        <f>ROUND(-0.507, 10)</f>
        <v>-0.50700000000000001</v>
      </c>
      <c r="AU68" s="7">
        <f>ROUND(-0.517, 10)</f>
        <v>-0.51700000000000002</v>
      </c>
      <c r="AV68" s="7">
        <f>ROUND(-0.52, 10)</f>
        <v>-0.52</v>
      </c>
      <c r="AW68" s="7">
        <f>ROUND(-0.516, 10)</f>
        <v>-0.51600000000000001</v>
      </c>
      <c r="AX68" s="7">
        <f>ROUND(-0.524, 10)</f>
        <v>-0.52400000000000002</v>
      </c>
      <c r="AY68" s="7">
        <f>ROUND(-0.523, 10)</f>
        <v>-0.52300000000000002</v>
      </c>
      <c r="AZ68" s="7">
        <f>ROUND(-0.528, 10)</f>
        <v>-0.52800000000000002</v>
      </c>
      <c r="BA68" s="7">
        <f>ROUND(-0.527, 10)</f>
        <v>-0.52700000000000002</v>
      </c>
      <c r="BB68" s="7">
        <f>ROUND(-0.507, 10)</f>
        <v>-0.50700000000000001</v>
      </c>
      <c r="BC68" s="7">
        <f>ROUND(-0.513, 10)</f>
        <v>-0.51300000000000001</v>
      </c>
      <c r="BD68" s="7">
        <f>ROUND(-0.501, 10)</f>
        <v>-0.501</v>
      </c>
      <c r="BE68" s="7">
        <f>ROUND(-0.503, 10)</f>
        <v>-0.503</v>
      </c>
      <c r="BF68" s="7">
        <f>ROUND(-0.496, 10)</f>
        <v>-0.496</v>
      </c>
    </row>
    <row r="69" spans="1:58">
      <c r="A69" s="6" t="s">
        <v>36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</row>
    <row r="70" spans="1:58">
      <c r="A70" s="6" t="s">
        <v>37</v>
      </c>
      <c r="B70" s="7">
        <f>ROUND(-0.436, 10)</f>
        <v>-0.436</v>
      </c>
      <c r="C70" s="7">
        <f>ROUND(-0.443, 10)</f>
        <v>-0.443</v>
      </c>
      <c r="D70" s="7">
        <f>ROUND(-0.45, 10)</f>
        <v>-0.45</v>
      </c>
      <c r="E70" s="7">
        <f>ROUND(-0.452, 10)</f>
        <v>-0.45200000000000001</v>
      </c>
      <c r="F70" s="7">
        <f>ROUND(-0.448, 10)</f>
        <v>-0.44800000000000001</v>
      </c>
      <c r="G70" s="7">
        <f>ROUND(-0.456, 10)</f>
        <v>-0.45600000000000002</v>
      </c>
      <c r="H70" s="7">
        <f>ROUND(-0.463, 10)</f>
        <v>-0.46300000000000002</v>
      </c>
      <c r="I70" s="7">
        <f>ROUND(-0.46, 10)</f>
        <v>-0.46</v>
      </c>
      <c r="J70" s="7">
        <f>ROUND(-0.46, 10)</f>
        <v>-0.46</v>
      </c>
      <c r="K70" s="7">
        <f>ROUND(-0.458, 10)</f>
        <v>-0.45800000000000002</v>
      </c>
      <c r="L70" s="7">
        <f>ROUND(-0.466, 10)</f>
        <v>-0.46600000000000003</v>
      </c>
      <c r="M70" s="7">
        <f>ROUND(-0.462, 10)</f>
        <v>-0.46200000000000002</v>
      </c>
      <c r="N70" s="7">
        <f>ROUND(-0.463, 10)</f>
        <v>-0.46300000000000002</v>
      </c>
      <c r="O70" s="7">
        <f>ROUND(-0.47, 10)</f>
        <v>-0.47</v>
      </c>
      <c r="P70" s="7">
        <f>ROUND(-0.466, 10)</f>
        <v>-0.46600000000000003</v>
      </c>
      <c r="Q70" s="7">
        <f>ROUND(-0.467, 10)</f>
        <v>-0.46700000000000003</v>
      </c>
      <c r="R70" s="7">
        <f>ROUND(-0.451, 10)</f>
        <v>-0.45100000000000001</v>
      </c>
      <c r="S70" s="7">
        <f>ROUND(-0.453, 10)</f>
        <v>-0.45300000000000001</v>
      </c>
      <c r="T70" s="7">
        <f>ROUND(-0.457, 10)</f>
        <v>-0.45700000000000002</v>
      </c>
      <c r="U70" s="7">
        <f>ROUND(-0.458, 10)</f>
        <v>-0.45800000000000002</v>
      </c>
      <c r="V70" s="7">
        <f>ROUND(-0.458, 10)</f>
        <v>-0.45800000000000002</v>
      </c>
      <c r="W70" s="7">
        <f>ROUND(-0.454, 10)</f>
        <v>-0.45400000000000001</v>
      </c>
      <c r="X70" s="7">
        <f>ROUND(-0.455, 10)</f>
        <v>-0.45500000000000002</v>
      </c>
      <c r="Y70" s="7">
        <f>ROUND(-0.46, 10)</f>
        <v>-0.46</v>
      </c>
      <c r="Z70" s="7">
        <f>ROUND(-0.459, 10)</f>
        <v>-0.45900000000000002</v>
      </c>
      <c r="AA70" s="7">
        <f>ROUND(-0.459, 10)</f>
        <v>-0.45900000000000002</v>
      </c>
      <c r="AB70" s="7">
        <f>ROUND(-0.458, 10)</f>
        <v>-0.45800000000000002</v>
      </c>
      <c r="AC70" s="7">
        <f>ROUND(-0.471, 10)</f>
        <v>-0.47099999999999997</v>
      </c>
      <c r="AD70" s="7">
        <f>ROUND(-0.477, 10)</f>
        <v>-0.47699999999999998</v>
      </c>
      <c r="AE70" s="7">
        <f>ROUND(-0.47, 10)</f>
        <v>-0.47</v>
      </c>
      <c r="AF70" s="7">
        <f>ROUND(-0.48, 10)</f>
        <v>-0.48</v>
      </c>
      <c r="AG70" s="7">
        <f>ROUND(-0.48, 10)</f>
        <v>-0.48</v>
      </c>
      <c r="AH70" s="7">
        <f>ROUND(-0.48, 10)</f>
        <v>-0.48</v>
      </c>
      <c r="AI70" s="7">
        <f>ROUND(-0.48, 10)</f>
        <v>-0.48</v>
      </c>
      <c r="AJ70" s="7">
        <f>ROUND(-0.467, 10)</f>
        <v>-0.46700000000000003</v>
      </c>
      <c r="AK70" s="7">
        <f>ROUND(-0.483, 10)</f>
        <v>-0.48299999999999998</v>
      </c>
      <c r="AL70" s="7">
        <f>ROUND(-0.478, 10)</f>
        <v>-0.47799999999999998</v>
      </c>
      <c r="AM70" s="7">
        <f>ROUND(-0.477, 10)</f>
        <v>-0.47699999999999998</v>
      </c>
      <c r="AN70" s="7">
        <f>ROUND(-0.474, 10)</f>
        <v>-0.47399999999999998</v>
      </c>
      <c r="AO70" s="7">
        <f>ROUND(-0.479, 10)</f>
        <v>-0.47899999999999998</v>
      </c>
      <c r="AP70" s="7">
        <f>ROUND(-0.488, 10)</f>
        <v>-0.48799999999999999</v>
      </c>
      <c r="AQ70" s="7">
        <f>ROUND(-0.488, 10)</f>
        <v>-0.48799999999999999</v>
      </c>
      <c r="AR70" s="7">
        <f>ROUND(-0.488, 10)</f>
        <v>-0.48799999999999999</v>
      </c>
      <c r="AS70" s="7">
        <f>ROUND(-0.508, 10)</f>
        <v>-0.50800000000000001</v>
      </c>
      <c r="AT70" s="7">
        <f>ROUND(-0.502, 10)</f>
        <v>-0.502</v>
      </c>
      <c r="AU70" s="7">
        <f>ROUND(-0.513, 10)</f>
        <v>-0.51300000000000001</v>
      </c>
      <c r="AV70" s="7">
        <f>ROUND(-0.501, 10)</f>
        <v>-0.501</v>
      </c>
      <c r="AW70" s="7">
        <f>ROUND(-0.496, 10)</f>
        <v>-0.496</v>
      </c>
      <c r="AX70" s="7">
        <f>ROUND(-0.513, 10)</f>
        <v>-0.51300000000000001</v>
      </c>
      <c r="AY70" s="7">
        <f>ROUND(-0.503, 10)</f>
        <v>-0.503</v>
      </c>
      <c r="AZ70" s="7">
        <f>ROUND(-0.52, 10)</f>
        <v>-0.52</v>
      </c>
      <c r="BA70" s="7">
        <f>ROUND(-0.48, 10)</f>
        <v>-0.48</v>
      </c>
      <c r="BB70" s="7">
        <f>ROUND(-0.488, 10)</f>
        <v>-0.48799999999999999</v>
      </c>
      <c r="BC70" s="7">
        <f>ROUND(-0.495, 10)</f>
        <v>-0.495</v>
      </c>
      <c r="BD70" s="7">
        <f>ROUND(-0.478, 10)</f>
        <v>-0.47799999999999998</v>
      </c>
      <c r="BE70" s="7">
        <f>ROUND(-0.474, 10)</f>
        <v>-0.47399999999999998</v>
      </c>
      <c r="BF70" s="7">
        <f>ROUND(-0.45, 10)</f>
        <v>-0.45</v>
      </c>
    </row>
    <row r="71" spans="1:58">
      <c r="A71" s="6" t="s">
        <v>38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</row>
    <row r="72" spans="1:58">
      <c r="A72" s="6" t="s">
        <v>39</v>
      </c>
      <c r="B72" s="7">
        <f>ROUND(-0.379, 10)</f>
        <v>-0.379</v>
      </c>
      <c r="C72" s="7">
        <f>ROUND(-0.384, 10)</f>
        <v>-0.38400000000000001</v>
      </c>
      <c r="D72" s="7">
        <f>ROUND(-0.385, 10)</f>
        <v>-0.38500000000000001</v>
      </c>
      <c r="E72" s="7">
        <f>ROUND(-0.387, 10)</f>
        <v>-0.38700000000000001</v>
      </c>
      <c r="F72" s="7">
        <f>ROUND(-0.39, 10)</f>
        <v>-0.39</v>
      </c>
      <c r="G72" s="7">
        <f>ROUND(-0.393, 10)</f>
        <v>-0.39300000000000002</v>
      </c>
      <c r="H72" s="7">
        <f>ROUND(-0.395, 10)</f>
        <v>-0.39500000000000002</v>
      </c>
      <c r="I72" s="7">
        <f>ROUND(-0.389, 10)</f>
        <v>-0.38900000000000001</v>
      </c>
      <c r="J72" s="7">
        <f>ROUND(-0.391, 10)</f>
        <v>-0.39100000000000001</v>
      </c>
      <c r="K72" s="7">
        <f>ROUND(-0.393, 10)</f>
        <v>-0.39300000000000002</v>
      </c>
      <c r="L72" s="7">
        <f>ROUND(-0.393, 10)</f>
        <v>-0.39300000000000002</v>
      </c>
      <c r="M72" s="7">
        <f>ROUND(-0.391, 10)</f>
        <v>-0.39100000000000001</v>
      </c>
      <c r="N72" s="7">
        <f>ROUND(-0.392, 10)</f>
        <v>-0.39200000000000002</v>
      </c>
      <c r="O72" s="7">
        <f>ROUND(-0.392, 10)</f>
        <v>-0.39200000000000002</v>
      </c>
      <c r="P72" s="7">
        <f>ROUND(-0.39, 10)</f>
        <v>-0.39</v>
      </c>
      <c r="Q72" s="7">
        <f>ROUND(-0.386, 10)</f>
        <v>-0.38600000000000001</v>
      </c>
      <c r="R72" s="7">
        <f>ROUND(-0.386, 10)</f>
        <v>-0.38600000000000001</v>
      </c>
      <c r="S72" s="7">
        <f>ROUND(-0.398, 10)</f>
        <v>-0.39800000000000002</v>
      </c>
      <c r="T72" s="7">
        <f>ROUND(-0.401, 10)</f>
        <v>-0.40100000000000002</v>
      </c>
      <c r="U72" s="7">
        <f>ROUND(-0.399, 10)</f>
        <v>-0.39900000000000002</v>
      </c>
      <c r="V72" s="7">
        <f>ROUND(-0.398, 10)</f>
        <v>-0.39800000000000002</v>
      </c>
      <c r="W72" s="7">
        <f>ROUND(-0.393, 10)</f>
        <v>-0.39300000000000002</v>
      </c>
      <c r="X72" s="7">
        <f>ROUND(-0.393, 10)</f>
        <v>-0.39300000000000002</v>
      </c>
      <c r="Y72" s="7">
        <f>ROUND(-0.396, 10)</f>
        <v>-0.39600000000000002</v>
      </c>
      <c r="Z72" s="7">
        <f>ROUND(-0.4, 10)</f>
        <v>-0.4</v>
      </c>
      <c r="AA72" s="7">
        <f>ROUND(-0.399, 10)</f>
        <v>-0.39900000000000002</v>
      </c>
      <c r="AB72" s="7">
        <f>ROUND(-0.4, 10)</f>
        <v>-0.4</v>
      </c>
      <c r="AC72" s="7">
        <f>ROUND(-0.397, 10)</f>
        <v>-0.39700000000000002</v>
      </c>
      <c r="AD72" s="7">
        <f>ROUND(-0.409, 10)</f>
        <v>-0.40899999999999997</v>
      </c>
      <c r="AE72" s="7">
        <f>ROUND(-0.413, 10)</f>
        <v>-0.41299999999999998</v>
      </c>
      <c r="AF72" s="7">
        <f>ROUND(-0.411, 10)</f>
        <v>-0.41099999999999998</v>
      </c>
      <c r="AG72" s="7">
        <f>ROUND(-0.413, 10)</f>
        <v>-0.41299999999999998</v>
      </c>
      <c r="AH72" s="7">
        <f>ROUND(-0.413, 10)</f>
        <v>-0.41299999999999998</v>
      </c>
      <c r="AI72" s="7">
        <f>ROUND(-0.403, 10)</f>
        <v>-0.40300000000000002</v>
      </c>
      <c r="AJ72" s="7">
        <f>ROUND(-0.402, 10)</f>
        <v>-0.40200000000000002</v>
      </c>
      <c r="AK72" s="7">
        <f>ROUND(-0.41, 10)</f>
        <v>-0.41</v>
      </c>
      <c r="AL72" s="7">
        <f>ROUND(-0.415, 10)</f>
        <v>-0.41499999999999998</v>
      </c>
      <c r="AM72" s="7">
        <f>ROUND(-0.414, 10)</f>
        <v>-0.41399999999999998</v>
      </c>
      <c r="AN72" s="7">
        <f>ROUND(-0.417, 10)</f>
        <v>-0.41699999999999998</v>
      </c>
      <c r="AO72" s="7">
        <f>ROUND(-0.423, 10)</f>
        <v>-0.42299999999999999</v>
      </c>
      <c r="AP72" s="7">
        <f>ROUND(-0.425, 10)</f>
        <v>-0.42499999999999999</v>
      </c>
      <c r="AQ72" s="7">
        <f>ROUND(-0.424, 10)</f>
        <v>-0.42399999999999999</v>
      </c>
      <c r="AR72" s="7">
        <f>ROUND(-0.434, 10)</f>
        <v>-0.434</v>
      </c>
      <c r="AS72" s="7">
        <f>ROUND(-0.463, 10)</f>
        <v>-0.46300000000000002</v>
      </c>
      <c r="AT72" s="7">
        <f>ROUND(-0.468, 10)</f>
        <v>-0.46800000000000003</v>
      </c>
      <c r="AU72" s="7">
        <f>ROUND(-0.469, 10)</f>
        <v>-0.46899999999999997</v>
      </c>
      <c r="AV72" s="7">
        <f>ROUND(-0.473, 10)</f>
        <v>-0.47299999999999998</v>
      </c>
      <c r="AW72" s="7">
        <f>ROUND(-0.468, 10)</f>
        <v>-0.46800000000000003</v>
      </c>
      <c r="AX72" s="7">
        <f>ROUND(-0.482, 10)</f>
        <v>-0.48199999999999998</v>
      </c>
      <c r="AY72" s="7">
        <f>ROUND(-0.473, 10)</f>
        <v>-0.47299999999999998</v>
      </c>
      <c r="AZ72" s="7">
        <f>ROUND(-0.489, 10)</f>
        <v>-0.48899999999999999</v>
      </c>
      <c r="BA72" s="7">
        <f>ROUND(-0.428, 10)</f>
        <v>-0.42799999999999999</v>
      </c>
      <c r="BB72" s="7">
        <f>ROUND(-0.41, 10)</f>
        <v>-0.41</v>
      </c>
      <c r="BC72" s="7">
        <f>ROUND(-0.408, 10)</f>
        <v>-0.40799999999999997</v>
      </c>
      <c r="BD72" s="7">
        <f>ROUND(-0.408, 10)</f>
        <v>-0.40799999999999997</v>
      </c>
      <c r="BE72" s="7">
        <f>ROUND(-0.393, 10)</f>
        <v>-0.39300000000000002</v>
      </c>
      <c r="BF72" s="7">
        <f>ROUND(-0.371, 10)</f>
        <v>-0.371</v>
      </c>
    </row>
    <row r="73" spans="1:58" s="16" customFormat="1">
      <c r="A73" s="14" t="s">
        <v>40</v>
      </c>
      <c r="B73" s="17">
        <f>ROUND(-0.323, 10)</f>
        <v>-0.32300000000000001</v>
      </c>
      <c r="C73" s="15">
        <f>ROUND(-0.323, 10)</f>
        <v>-0.32300000000000001</v>
      </c>
      <c r="D73" s="15">
        <f>ROUND(-0.325, 10)</f>
        <v>-0.32500000000000001</v>
      </c>
      <c r="E73" s="15">
        <f>ROUND(-0.323, 10)</f>
        <v>-0.32300000000000001</v>
      </c>
      <c r="F73" s="15">
        <f>ROUND(-0.332, 10)</f>
        <v>-0.33200000000000002</v>
      </c>
      <c r="G73" s="15">
        <f>ROUND(-0.333, 10)</f>
        <v>-0.33300000000000002</v>
      </c>
      <c r="H73" s="15">
        <f>ROUND(-0.334, 10)</f>
        <v>-0.33400000000000002</v>
      </c>
      <c r="I73" s="15">
        <f>ROUND(-0.324, 10)</f>
        <v>-0.32400000000000001</v>
      </c>
      <c r="J73" s="15">
        <f>ROUND(-0.329, 10)</f>
        <v>-0.32900000000000001</v>
      </c>
      <c r="K73" s="15">
        <f>ROUND(-0.334, 10)</f>
        <v>-0.33400000000000002</v>
      </c>
      <c r="L73" s="15">
        <f>ROUND(-0.33, 10)</f>
        <v>-0.33</v>
      </c>
      <c r="M73" s="15">
        <f>ROUND(-0.332, 10)</f>
        <v>-0.33200000000000002</v>
      </c>
      <c r="N73" s="15">
        <f>ROUND(-0.333, 10)</f>
        <v>-0.33300000000000002</v>
      </c>
      <c r="O73" s="15">
        <f>ROUND(-0.334, 10)</f>
        <v>-0.33400000000000002</v>
      </c>
      <c r="P73" s="15">
        <f>ROUND(-0.329, 10)</f>
        <v>-0.32900000000000001</v>
      </c>
      <c r="Q73" s="15">
        <f>ROUND(-0.32, 10)</f>
        <v>-0.32</v>
      </c>
      <c r="R73" s="15">
        <f>ROUND(-0.323, 10)</f>
        <v>-0.32300000000000001</v>
      </c>
      <c r="S73" s="15">
        <f>ROUND(-0.333, 10)</f>
        <v>-0.33300000000000002</v>
      </c>
      <c r="T73" s="15">
        <f>ROUND(-0.337, 10)</f>
        <v>-0.33700000000000002</v>
      </c>
      <c r="U73" s="15">
        <f>ROUND(-0.336, 10)</f>
        <v>-0.33600000000000002</v>
      </c>
      <c r="V73" s="15">
        <f>ROUND(-0.337, 10)</f>
        <v>-0.33700000000000002</v>
      </c>
      <c r="W73" s="15">
        <f>ROUND(-0.338, 10)</f>
        <v>-0.33800000000000002</v>
      </c>
      <c r="X73" s="15">
        <f>ROUND(-0.338, 10)</f>
        <v>-0.33800000000000002</v>
      </c>
      <c r="Y73" s="15">
        <f>ROUND(-0.34, 10)</f>
        <v>-0.34</v>
      </c>
      <c r="Z73" s="15">
        <f>ROUND(-0.346, 10)</f>
        <v>-0.34599999999999997</v>
      </c>
      <c r="AA73" s="15">
        <f>ROUND(-0.343, 10)</f>
        <v>-0.34300000000000003</v>
      </c>
      <c r="AB73" s="15">
        <f>ROUND(-0.339, 10)</f>
        <v>-0.33900000000000002</v>
      </c>
      <c r="AC73" s="15">
        <f>ROUND(-0.346, 10)</f>
        <v>-0.34599999999999997</v>
      </c>
      <c r="AD73" s="15">
        <f>ROUND(-0.35, 10)</f>
        <v>-0.35</v>
      </c>
      <c r="AE73" s="15">
        <f>ROUND(-0.362, 10)</f>
        <v>-0.36199999999999999</v>
      </c>
      <c r="AF73" s="15">
        <f>ROUND(-0.357, 10)</f>
        <v>-0.35699999999999998</v>
      </c>
      <c r="AG73" s="15">
        <f>ROUND(-0.359, 10)</f>
        <v>-0.35899999999999999</v>
      </c>
      <c r="AH73" s="15">
        <f>ROUND(-0.353, 10)</f>
        <v>-0.35299999999999998</v>
      </c>
      <c r="AI73" s="15">
        <f>ROUND(-0.358, 10)</f>
        <v>-0.35799999999999998</v>
      </c>
      <c r="AJ73" s="15">
        <f>ROUND(-0.353, 10)</f>
        <v>-0.35299999999999998</v>
      </c>
      <c r="AK73" s="15">
        <f>ROUND(-0.358, 10)</f>
        <v>-0.35799999999999998</v>
      </c>
      <c r="AL73" s="15">
        <f>ROUND(-0.356, 10)</f>
        <v>-0.35599999999999998</v>
      </c>
      <c r="AM73" s="15">
        <f>ROUND(-0.357, 10)</f>
        <v>-0.35699999999999998</v>
      </c>
      <c r="AN73" s="15">
        <f>ROUND(-0.358, 10)</f>
        <v>-0.35799999999999998</v>
      </c>
      <c r="AO73" s="15">
        <f>ROUND(-0.371, 10)</f>
        <v>-0.371</v>
      </c>
      <c r="AP73" s="15">
        <f>ROUND(-0.375, 10)</f>
        <v>-0.375</v>
      </c>
      <c r="AQ73" s="15">
        <f>ROUND(-0.386, 10)</f>
        <v>-0.38600000000000001</v>
      </c>
      <c r="AR73" s="15">
        <f>ROUND(-0.4, 10)</f>
        <v>-0.4</v>
      </c>
      <c r="AS73" s="15">
        <f>ROUND(-0.422, 10)</f>
        <v>-0.42199999999999999</v>
      </c>
      <c r="AT73" s="15">
        <f>ROUND(-0.418, 10)</f>
        <v>-0.41799999999999998</v>
      </c>
      <c r="AU73" s="15">
        <f>ROUND(-0.432, 10)</f>
        <v>-0.432</v>
      </c>
      <c r="AV73" s="15">
        <f>ROUND(-0.427, 10)</f>
        <v>-0.42699999999999999</v>
      </c>
      <c r="AW73" s="15">
        <f>ROUND(-0.421, 10)</f>
        <v>-0.42099999999999999</v>
      </c>
      <c r="AX73" s="15">
        <f>ROUND(-0.438, 10)</f>
        <v>-0.438</v>
      </c>
      <c r="AY73" s="15">
        <f>ROUND(-0.429, 10)</f>
        <v>-0.42899999999999999</v>
      </c>
      <c r="AZ73" s="15">
        <f>ROUND(-0.447, 10)</f>
        <v>-0.44700000000000001</v>
      </c>
      <c r="BA73" s="15">
        <f>ROUND(-0.397, 10)</f>
        <v>-0.39700000000000002</v>
      </c>
      <c r="BB73" s="15">
        <f>ROUND(-0.372, 10)</f>
        <v>-0.372</v>
      </c>
      <c r="BC73" s="15">
        <f>ROUND(-0.373, 10)</f>
        <v>-0.373</v>
      </c>
      <c r="BD73" s="15">
        <f>ROUND(-0.36, 10)</f>
        <v>-0.36</v>
      </c>
      <c r="BE73" s="15">
        <f>ROUND(-0.345, 10)</f>
        <v>-0.34499999999999997</v>
      </c>
      <c r="BF73" s="15">
        <f>ROUND(-0.313, 10)</f>
        <v>-0.313</v>
      </c>
    </row>
    <row r="74" spans="1:58">
      <c r="A74" s="6" t="s">
        <v>41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</row>
    <row r="75" spans="1:58">
      <c r="A75" s="6" t="s">
        <v>42</v>
      </c>
      <c r="B75" s="7">
        <f>ROUND(-0.248, 10)</f>
        <v>-0.248</v>
      </c>
      <c r="C75" s="7">
        <f>ROUND(-0.238, 10)</f>
        <v>-0.23799999999999999</v>
      </c>
      <c r="D75" s="7">
        <f>ROUND(-0.248, 10)</f>
        <v>-0.248</v>
      </c>
      <c r="E75" s="7">
        <f>ROUND(-0.248, 10)</f>
        <v>-0.248</v>
      </c>
      <c r="F75" s="7">
        <f>ROUND(-0.251, 10)</f>
        <v>-0.251</v>
      </c>
      <c r="G75" s="7">
        <f>ROUND(-0.26, 10)</f>
        <v>-0.26</v>
      </c>
      <c r="H75" s="7">
        <f>ROUND(-0.253, 10)</f>
        <v>-0.253</v>
      </c>
      <c r="I75" s="7">
        <f>ROUND(-0.246, 10)</f>
        <v>-0.246</v>
      </c>
      <c r="J75" s="7">
        <f>ROUND(-0.243, 10)</f>
        <v>-0.24299999999999999</v>
      </c>
      <c r="K75" s="7">
        <f>ROUND(-0.252, 10)</f>
        <v>-0.252</v>
      </c>
      <c r="L75" s="7">
        <f>ROUND(-0.251, 10)</f>
        <v>-0.251</v>
      </c>
      <c r="M75" s="7">
        <f>ROUND(-0.242, 10)</f>
        <v>-0.24199999999999999</v>
      </c>
      <c r="N75" s="7">
        <f>ROUND(-0.244, 10)</f>
        <v>-0.24399999999999999</v>
      </c>
      <c r="O75" s="7">
        <f>ROUND(-0.243, 10)</f>
        <v>-0.24299999999999999</v>
      </c>
      <c r="P75" s="7">
        <f>ROUND(-0.242, 10)</f>
        <v>-0.24199999999999999</v>
      </c>
      <c r="Q75" s="7">
        <f>ROUND(-0.247, 10)</f>
        <v>-0.247</v>
      </c>
      <c r="R75" s="7">
        <f>ROUND(-0.258, 10)</f>
        <v>-0.25800000000000001</v>
      </c>
      <c r="S75" s="7">
        <f>ROUND(-0.26, 10)</f>
        <v>-0.26</v>
      </c>
      <c r="T75" s="7">
        <f>ROUND(-0.27, 10)</f>
        <v>-0.27</v>
      </c>
      <c r="U75" s="7">
        <f>ROUND(-0.269, 10)</f>
        <v>-0.26900000000000002</v>
      </c>
      <c r="V75" s="7">
        <f>ROUND(-0.278, 10)</f>
        <v>-0.27800000000000002</v>
      </c>
      <c r="W75" s="7">
        <f>ROUND(-0.284, 10)</f>
        <v>-0.28399999999999997</v>
      </c>
      <c r="X75" s="7">
        <f>ROUND(-0.29, 10)</f>
        <v>-0.28999999999999998</v>
      </c>
      <c r="Y75" s="7">
        <f>ROUND(-0.288, 10)</f>
        <v>-0.28799999999999998</v>
      </c>
      <c r="Z75" s="7">
        <f>ROUND(-0.278, 10)</f>
        <v>-0.27800000000000002</v>
      </c>
      <c r="AA75" s="7">
        <f>ROUND(-0.27, 10)</f>
        <v>-0.27</v>
      </c>
      <c r="AB75" s="7">
        <f>ROUND(-0.269, 10)</f>
        <v>-0.26900000000000002</v>
      </c>
      <c r="AC75" s="7">
        <f>ROUND(-0.269, 10)</f>
        <v>-0.26900000000000002</v>
      </c>
      <c r="AD75" s="7">
        <f>ROUND(-0.276, 10)</f>
        <v>-0.27600000000000002</v>
      </c>
      <c r="AE75" s="7">
        <f>ROUND(-0.288, 10)</f>
        <v>-0.28799999999999998</v>
      </c>
      <c r="AF75" s="7">
        <f>ROUND(-0.287, 10)</f>
        <v>-0.28699999999999998</v>
      </c>
      <c r="AG75" s="7">
        <f>ROUND(-0.293, 10)</f>
        <v>-0.29299999999999998</v>
      </c>
      <c r="AH75" s="7">
        <f>ROUND(-0.294, 10)</f>
        <v>-0.29399999999999998</v>
      </c>
      <c r="AI75" s="7">
        <f>ROUND(-0.292, 10)</f>
        <v>-0.29199999999999998</v>
      </c>
      <c r="AJ75" s="7">
        <f>ROUND(-0.288, 10)</f>
        <v>-0.28799999999999998</v>
      </c>
      <c r="AK75" s="7">
        <f>ROUND(-0.294, 10)</f>
        <v>-0.29399999999999998</v>
      </c>
      <c r="AL75" s="7">
        <f>ROUND(-0.287, 10)</f>
        <v>-0.28699999999999998</v>
      </c>
      <c r="AM75" s="7">
        <f>ROUND(-0.284, 10)</f>
        <v>-0.28399999999999997</v>
      </c>
      <c r="AN75" s="7">
        <f>ROUND(-0.295, 10)</f>
        <v>-0.29499999999999998</v>
      </c>
      <c r="AO75" s="7">
        <f>ROUND(-0.306, 10)</f>
        <v>-0.30599999999999999</v>
      </c>
      <c r="AP75" s="7">
        <f>ROUND(-0.303, 10)</f>
        <v>-0.30299999999999999</v>
      </c>
      <c r="AQ75" s="7">
        <f>ROUND(-0.311, 10)</f>
        <v>-0.311</v>
      </c>
      <c r="AR75" s="7">
        <f>ROUND(-0.327, 10)</f>
        <v>-0.32700000000000001</v>
      </c>
      <c r="AS75" s="7">
        <f>ROUND(-0.362, 10)</f>
        <v>-0.36199999999999999</v>
      </c>
      <c r="AT75" s="7">
        <f>ROUND(-0.359, 10)</f>
        <v>-0.35899999999999999</v>
      </c>
      <c r="AU75" s="7">
        <f>ROUND(-0.362, 10)</f>
        <v>-0.36199999999999999</v>
      </c>
      <c r="AV75" s="7">
        <f>ROUND(-0.348, 10)</f>
        <v>-0.34799999999999998</v>
      </c>
      <c r="AW75" s="7">
        <f>ROUND(-0.352, 10)</f>
        <v>-0.35199999999999998</v>
      </c>
      <c r="AX75" s="7">
        <f>ROUND(-0.358, 10)</f>
        <v>-0.35799999999999998</v>
      </c>
      <c r="AY75" s="7">
        <f>ROUND(-0.339, 10)</f>
        <v>-0.33900000000000002</v>
      </c>
      <c r="AZ75" s="7">
        <f>ROUND(-0.368, 10)</f>
        <v>-0.36799999999999999</v>
      </c>
      <c r="BA75" s="7">
        <f>ROUND(-0.287, 10)</f>
        <v>-0.28699999999999998</v>
      </c>
      <c r="BB75" s="7">
        <f>ROUND(-0.268, 10)</f>
        <v>-0.26800000000000002</v>
      </c>
      <c r="BC75" s="7">
        <f>ROUND(-0.263, 10)</f>
        <v>-0.26300000000000001</v>
      </c>
      <c r="BD75" s="7">
        <f>ROUND(-0.253, 10)</f>
        <v>-0.253</v>
      </c>
      <c r="BE75" s="7">
        <f>ROUND(-0.221, 10)</f>
        <v>-0.221</v>
      </c>
      <c r="BF75" s="7">
        <f>ROUND(-0.186, 10)</f>
        <v>-0.186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D9862-E66F-49DD-8259-1C0C23D83992}">
  <sheetPr codeName="Sheet4"/>
  <dimension ref="A1:BI126"/>
  <sheetViews>
    <sheetView zoomScale="64" zoomScaleNormal="64" workbookViewId="0">
      <selection activeCell="R8" sqref="R8"/>
    </sheetView>
  </sheetViews>
  <sheetFormatPr defaultRowHeight="14.5"/>
  <cols>
    <col min="1" max="3" width="8.7265625" style="90"/>
    <col min="4" max="4" width="9.6328125" style="90" customWidth="1"/>
    <col min="5" max="5" width="8.7265625" style="90"/>
    <col min="6" max="7" width="12.6328125" style="90" bestFit="1" customWidth="1"/>
    <col min="8" max="8" width="8.7265625" style="90"/>
    <col min="9" max="9" width="9.81640625" style="90" bestFit="1" customWidth="1"/>
    <col min="10" max="10" width="10.453125" style="90" bestFit="1" customWidth="1"/>
    <col min="11" max="11" width="10.6328125" style="90" bestFit="1" customWidth="1"/>
    <col min="12" max="12" width="12.54296875" style="90" bestFit="1" customWidth="1"/>
    <col min="13" max="13" width="8.7265625" style="90"/>
    <col min="14" max="14" width="9.26953125" style="90" bestFit="1" customWidth="1"/>
    <col min="15" max="15" width="11.6328125" style="90" bestFit="1" customWidth="1"/>
    <col min="16" max="17" width="8.7265625" style="90"/>
    <col min="18" max="18" width="9.1796875" style="90" bestFit="1" customWidth="1"/>
    <col min="19" max="61" width="8.7265625" style="90"/>
  </cols>
  <sheetData>
    <row r="1" spans="1:21">
      <c r="A1" s="90" t="s">
        <v>313</v>
      </c>
    </row>
    <row r="2" spans="1:21" ht="15" thickBot="1"/>
    <row r="3" spans="1:21" ht="15" thickBot="1">
      <c r="A3" s="90" t="s">
        <v>314</v>
      </c>
      <c r="B3" s="90" t="s">
        <v>316</v>
      </c>
      <c r="J3" s="91"/>
      <c r="K3" s="92"/>
      <c r="L3" s="92" t="s">
        <v>329</v>
      </c>
      <c r="M3" s="92" t="s">
        <v>328</v>
      </c>
      <c r="N3" s="93" t="s">
        <v>330</v>
      </c>
    </row>
    <row r="4" spans="1:21">
      <c r="B4" s="90" t="s">
        <v>315</v>
      </c>
      <c r="J4" s="94" t="s">
        <v>327</v>
      </c>
      <c r="K4" s="95">
        <f>'NOTE 1 (Q1 to Q5)'!B18</f>
        <v>43873</v>
      </c>
      <c r="L4" s="96">
        <f>DAY(K4)</f>
        <v>12</v>
      </c>
      <c r="M4" s="96">
        <f>MONTH(K4)</f>
        <v>2</v>
      </c>
      <c r="N4" s="97">
        <f>YEAR(K4)</f>
        <v>2020</v>
      </c>
    </row>
    <row r="5" spans="1:21" ht="15" thickBot="1"/>
    <row r="6" spans="1:21" ht="15" thickBot="1">
      <c r="B6" s="90" t="s">
        <v>30</v>
      </c>
      <c r="C6" s="90" t="s">
        <v>359</v>
      </c>
      <c r="D6" s="90" t="s">
        <v>317</v>
      </c>
      <c r="F6" s="98"/>
      <c r="J6" s="92" t="s">
        <v>332</v>
      </c>
      <c r="K6" s="92"/>
      <c r="L6" s="92" t="s">
        <v>331</v>
      </c>
      <c r="M6" s="99" t="s">
        <v>33</v>
      </c>
      <c r="N6" s="99" t="s">
        <v>333</v>
      </c>
      <c r="O6" s="99" t="s">
        <v>365</v>
      </c>
      <c r="P6" s="92" t="s">
        <v>392</v>
      </c>
      <c r="Q6" s="92" t="s">
        <v>318</v>
      </c>
      <c r="R6" s="92" t="s">
        <v>319</v>
      </c>
      <c r="S6" s="92" t="s">
        <v>320</v>
      </c>
      <c r="T6" s="92" t="s">
        <v>321</v>
      </c>
      <c r="U6" s="92" t="s">
        <v>344</v>
      </c>
    </row>
    <row r="7" spans="1:21">
      <c r="A7" s="90" t="s">
        <v>363</v>
      </c>
      <c r="B7" s="90">
        <v>1</v>
      </c>
      <c r="C7" s="90" t="s">
        <v>360</v>
      </c>
      <c r="D7" s="100">
        <f>EURIBOR!AE68/100</f>
        <v>-5.1800000000000006E-3</v>
      </c>
      <c r="E7" s="90">
        <f>7/360</f>
        <v>1.9444444444444445E-2</v>
      </c>
      <c r="G7" s="100"/>
      <c r="H7" s="90" t="s">
        <v>363</v>
      </c>
      <c r="I7" s="90">
        <v>1</v>
      </c>
      <c r="J7" s="101">
        <f>K4+7</f>
        <v>43880</v>
      </c>
      <c r="K7" s="90" t="str">
        <f>VLOOKUP(WEEKDAY(J7),Auxiliar!$A$1:$B$7,2)</f>
        <v>Wednesday</v>
      </c>
      <c r="L7" s="101">
        <f>IF(K7="Saturday",J7+2,IF(K7="Sunday",J7+1,J7))</f>
        <v>43880</v>
      </c>
      <c r="M7" s="90">
        <f>L7-K4</f>
        <v>7</v>
      </c>
      <c r="N7" s="90">
        <f>M7</f>
        <v>7</v>
      </c>
      <c r="O7" s="102">
        <f>N7/360</f>
        <v>1.9444444444444445E-2</v>
      </c>
      <c r="P7" s="100" cm="1">
        <f t="array" ref="P7">lininterp(O7,$B$7:$B$25,$D$7:$D$25)</f>
        <v>-5.1800000000000006E-3</v>
      </c>
      <c r="Q7" s="103" t="s">
        <v>305</v>
      </c>
      <c r="R7" s="100">
        <f>1/(1+P7*O7)</f>
        <v>1.0001007323682103</v>
      </c>
      <c r="S7" s="104" t="s">
        <v>305</v>
      </c>
      <c r="T7" s="100" t="s">
        <v>305</v>
      </c>
      <c r="U7" s="100">
        <f t="shared" ref="U7:U40" si="0">-LN(R7)/O7</f>
        <v>-5.1802608880784718E-3</v>
      </c>
    </row>
    <row r="8" spans="1:21">
      <c r="A8" s="90" t="s">
        <v>12</v>
      </c>
      <c r="B8" s="90">
        <v>1</v>
      </c>
      <c r="C8" s="90" t="s">
        <v>360</v>
      </c>
      <c r="D8" s="100">
        <f>EURIBOR!AE70/100</f>
        <v>-4.6999999999999993E-3</v>
      </c>
      <c r="E8" s="90">
        <f>30/360</f>
        <v>8.3333333333333329E-2</v>
      </c>
      <c r="G8" s="100"/>
      <c r="H8" s="90" t="s">
        <v>12</v>
      </c>
      <c r="I8" s="90">
        <v>1</v>
      </c>
      <c r="J8" s="101">
        <f>EDATE($K$4,1)</f>
        <v>43902</v>
      </c>
      <c r="K8" s="90" t="str">
        <f>VLOOKUP(WEEKDAY(J8),Auxiliar!$A$1:$B$7,2)</f>
        <v>Thursday</v>
      </c>
      <c r="L8" s="101">
        <f t="shared" ref="L8:L40" si="1">IF(K8="Saturday",J8+2,IF(K8="Sunday",J8+1,J8))</f>
        <v>43902</v>
      </c>
      <c r="M8" s="90">
        <f t="shared" ref="M8:M40" si="2">L8-L7</f>
        <v>22</v>
      </c>
      <c r="N8" s="90">
        <f t="shared" ref="N8:N40" si="3">N7+M8</f>
        <v>29</v>
      </c>
      <c r="O8" s="102">
        <f t="shared" ref="O8:O40" si="4">N8/360</f>
        <v>8.0555555555555561E-2</v>
      </c>
      <c r="P8" s="100" cm="1">
        <f t="array" ref="P8">lininterp(O8,$B$7:$B$25,$D$7:$D$25)</f>
        <v>-5.1800000000000006E-3</v>
      </c>
      <c r="Q8" s="103" t="s">
        <v>305</v>
      </c>
      <c r="R8" s="100">
        <f>1/(1+P8*O8)</f>
        <v>1.0004174519712086</v>
      </c>
      <c r="S8" s="104" t="s">
        <v>305</v>
      </c>
      <c r="T8" s="100" t="s">
        <v>305</v>
      </c>
      <c r="U8" s="100">
        <f t="shared" si="0"/>
        <v>-5.1810810501860391E-3</v>
      </c>
    </row>
    <row r="9" spans="1:21">
      <c r="A9" s="90" t="s">
        <v>12</v>
      </c>
      <c r="B9" s="90">
        <v>3</v>
      </c>
      <c r="C9" s="90" t="s">
        <v>360</v>
      </c>
      <c r="D9" s="100">
        <f>EURIBOR!AE72/100</f>
        <v>-4.13E-3</v>
      </c>
      <c r="E9" s="90">
        <f>90/360</f>
        <v>0.25</v>
      </c>
      <c r="G9" s="100"/>
      <c r="H9" s="90" t="s">
        <v>12</v>
      </c>
      <c r="I9" s="90">
        <v>3</v>
      </c>
      <c r="J9" s="101">
        <f>EDATE($K$4,3)</f>
        <v>43963</v>
      </c>
      <c r="K9" s="90" t="str">
        <f>VLOOKUP(WEEKDAY(J9),Auxiliar!$A$1:$B$7,2)</f>
        <v>Tuesday</v>
      </c>
      <c r="L9" s="101">
        <f t="shared" si="1"/>
        <v>43963</v>
      </c>
      <c r="M9" s="90">
        <f t="shared" si="2"/>
        <v>61</v>
      </c>
      <c r="N9" s="90">
        <f t="shared" si="3"/>
        <v>90</v>
      </c>
      <c r="O9" s="102">
        <f t="shared" si="4"/>
        <v>0.25</v>
      </c>
      <c r="P9" s="100" cm="1">
        <f t="array" ref="P9">lininterp(O9,$B$7:$B$25,$D$7:$D$25)</f>
        <v>-5.1800000000000006E-3</v>
      </c>
      <c r="Q9" s="103" t="s">
        <v>305</v>
      </c>
      <c r="R9" s="100">
        <f>1/(1+P9*O9)</f>
        <v>1.0012966791995634</v>
      </c>
      <c r="S9" s="104" t="s">
        <v>305</v>
      </c>
      <c r="T9" s="100" t="s">
        <v>305</v>
      </c>
      <c r="U9" s="100">
        <f t="shared" si="0"/>
        <v>-5.1833569484785345E-3</v>
      </c>
    </row>
    <row r="10" spans="1:21">
      <c r="A10" s="90" t="s">
        <v>364</v>
      </c>
      <c r="B10" s="90">
        <v>6</v>
      </c>
      <c r="C10" s="90" t="s">
        <v>360</v>
      </c>
      <c r="D10" s="100">
        <f>EURIBOR!AE73/100</f>
        <v>-3.62E-3</v>
      </c>
      <c r="E10" s="90">
        <f>180/360</f>
        <v>0.5</v>
      </c>
      <c r="G10" s="100"/>
      <c r="H10" s="90" t="s">
        <v>12</v>
      </c>
      <c r="I10" s="90">
        <v>6</v>
      </c>
      <c r="J10" s="101">
        <f>EDATE($K$4,6)</f>
        <v>44055</v>
      </c>
      <c r="K10" s="90" t="str">
        <f>VLOOKUP(WEEKDAY(J10),Auxiliar!$A$1:$B$7,2)</f>
        <v>Wednesday</v>
      </c>
      <c r="L10" s="101">
        <f t="shared" si="1"/>
        <v>44055</v>
      </c>
      <c r="M10" s="90">
        <f t="shared" si="2"/>
        <v>92</v>
      </c>
      <c r="N10" s="90">
        <f t="shared" si="3"/>
        <v>182</v>
      </c>
      <c r="O10" s="102">
        <f t="shared" si="4"/>
        <v>0.50555555555555554</v>
      </c>
      <c r="P10" s="100" cm="1">
        <f t="array" ref="P10">lininterp(O10,$B$7:$B$25,$D$7:$D$25)</f>
        <v>-5.1800000000000006E-3</v>
      </c>
      <c r="Q10" s="103" t="s">
        <v>305</v>
      </c>
      <c r="R10" s="100">
        <f>1/(1+P10*O10)</f>
        <v>1.002625653781553</v>
      </c>
      <c r="S10" s="104">
        <f>R10*O10</f>
        <v>0.50688296941178512</v>
      </c>
      <c r="T10" s="100" t="s">
        <v>305</v>
      </c>
      <c r="U10" s="100">
        <f t="shared" si="0"/>
        <v>-5.1867944992257213E-3</v>
      </c>
    </row>
    <row r="11" spans="1:21">
      <c r="A11" s="90" t="s">
        <v>362</v>
      </c>
      <c r="B11" s="90">
        <v>1</v>
      </c>
      <c r="C11" s="90" t="s">
        <v>360</v>
      </c>
      <c r="D11" s="100">
        <f>EURIBOR!AE75/100</f>
        <v>-2.8799999999999997E-3</v>
      </c>
      <c r="E11" s="90">
        <f>360/360</f>
        <v>1</v>
      </c>
      <c r="G11" s="100"/>
      <c r="H11" s="90" t="s">
        <v>362</v>
      </c>
      <c r="I11" s="96">
        <v>1</v>
      </c>
      <c r="J11" s="95">
        <f>EDATE(J10,6)</f>
        <v>44239</v>
      </c>
      <c r="K11" s="96" t="str">
        <f>VLOOKUP(WEEKDAY(J11),Auxiliar!$A$1:$B$7,2)</f>
        <v>Friday</v>
      </c>
      <c r="L11" s="95">
        <f t="shared" si="1"/>
        <v>44239</v>
      </c>
      <c r="M11" s="96">
        <f t="shared" si="2"/>
        <v>184</v>
      </c>
      <c r="N11" s="96">
        <f t="shared" si="3"/>
        <v>366</v>
      </c>
      <c r="O11" s="105">
        <f t="shared" si="4"/>
        <v>1.0166666666666666</v>
      </c>
      <c r="P11" s="106" cm="1">
        <f t="array" ref="P11">lininterp(O11,$B$7:$B$25,$D$7:$D$25)</f>
        <v>-2.8924999999999997E-3</v>
      </c>
      <c r="Q11" s="107">
        <f>N11/360</f>
        <v>1.0166666666666666</v>
      </c>
      <c r="R11" s="106">
        <f>1/(1+P11*O11)</f>
        <v>1.0029493816043955</v>
      </c>
      <c r="S11" s="108">
        <f>S10+R11*M11/N11</f>
        <v>1.0110979590708253</v>
      </c>
      <c r="T11" s="106">
        <f>(1/R11-1)/O11</f>
        <v>-2.892499999999932E-3</v>
      </c>
      <c r="U11" s="106">
        <f t="shared" si="0"/>
        <v>-2.8967613557471096E-3</v>
      </c>
    </row>
    <row r="12" spans="1:21">
      <c r="A12" s="90" t="s">
        <v>362</v>
      </c>
      <c r="B12" s="90">
        <v>2</v>
      </c>
      <c r="C12" s="90" t="s">
        <v>361</v>
      </c>
      <c r="D12" s="100">
        <v>-3.63E-3</v>
      </c>
      <c r="E12" s="90">
        <f>B12*360/360</f>
        <v>2</v>
      </c>
      <c r="G12" s="100"/>
      <c r="H12" s="90" t="s">
        <v>362</v>
      </c>
      <c r="I12" s="90">
        <v>1.5</v>
      </c>
      <c r="J12" s="101">
        <f>EDATE(J11,6)</f>
        <v>44420</v>
      </c>
      <c r="K12" s="90" t="str">
        <f>VLOOKUP(WEEKDAY(J12),Auxiliar!$A$1:$B$7,2)</f>
        <v>Thursday</v>
      </c>
      <c r="L12" s="101">
        <f t="shared" si="1"/>
        <v>44420</v>
      </c>
      <c r="M12" s="90">
        <f t="shared" si="2"/>
        <v>181</v>
      </c>
      <c r="N12" s="90">
        <f t="shared" si="3"/>
        <v>547</v>
      </c>
      <c r="O12" s="102">
        <f t="shared" si="4"/>
        <v>1.5194444444444444</v>
      </c>
      <c r="P12" s="100" cm="1">
        <f t="array" ref="P12">lininterp(O12,$B$7:$B$25,$D$7:$D$25)</f>
        <v>-3.2695833333333331E-3</v>
      </c>
      <c r="Q12" s="103">
        <f t="shared" ref="Q12:Q40" si="5">M12/360</f>
        <v>0.50277777777777777</v>
      </c>
      <c r="R12" s="100">
        <f>(1-P12*S11)/(1+P12*Q12)</f>
        <v>1.0049578930286021</v>
      </c>
      <c r="S12" s="104">
        <f t="shared" ref="S12:S36" si="6">S11+R12*Q12</f>
        <v>1.5163684552879837</v>
      </c>
      <c r="T12" s="100">
        <f>(R11/R12-1)/Q12</f>
        <v>-3.975121126691258E-3</v>
      </c>
      <c r="U12" s="100">
        <f t="shared" si="0"/>
        <v>-3.2549022555051041E-3</v>
      </c>
    </row>
    <row r="13" spans="1:21">
      <c r="A13" s="90" t="s">
        <v>362</v>
      </c>
      <c r="B13" s="90">
        <v>3</v>
      </c>
      <c r="C13" s="90" t="s">
        <v>361</v>
      </c>
      <c r="D13" s="100">
        <v>-3.3899999999999998E-3</v>
      </c>
      <c r="E13" s="90">
        <f t="shared" ref="E13:E24" si="7">B13*360/360</f>
        <v>3</v>
      </c>
      <c r="G13" s="100"/>
      <c r="H13" s="90" t="s">
        <v>362</v>
      </c>
      <c r="I13" s="90">
        <v>2</v>
      </c>
      <c r="J13" s="101">
        <f>EDATE(J12,6)</f>
        <v>44604</v>
      </c>
      <c r="K13" s="90" t="str">
        <f>VLOOKUP(WEEKDAY(J13),Auxiliar!$A$1:$B$7,2)</f>
        <v>Saturday</v>
      </c>
      <c r="L13" s="101">
        <f t="shared" si="1"/>
        <v>44606</v>
      </c>
      <c r="M13" s="90">
        <f t="shared" si="2"/>
        <v>186</v>
      </c>
      <c r="N13" s="90">
        <f t="shared" si="3"/>
        <v>733</v>
      </c>
      <c r="O13" s="102">
        <f t="shared" si="4"/>
        <v>2.036111111111111</v>
      </c>
      <c r="P13" s="100" cm="1">
        <f t="array" ref="P13">lininterp(O13,$B$7:$B$25,$D$7:$D$25)</f>
        <v>-3.6213333333333332E-3</v>
      </c>
      <c r="Q13" s="103">
        <f t="shared" si="5"/>
        <v>0.51666666666666672</v>
      </c>
      <c r="R13" s="100">
        <f>(1-P13*S12)/(1+P13*Q13)</f>
        <v>1.0073760986995521</v>
      </c>
      <c r="S13" s="104">
        <f t="shared" si="6"/>
        <v>2.0368461062827521</v>
      </c>
      <c r="T13" s="100">
        <f>(R12/R13-1)/Q13</f>
        <v>-4.6461277757619199E-3</v>
      </c>
      <c r="U13" s="100">
        <f t="shared" si="0"/>
        <v>-3.609345422164898E-3</v>
      </c>
    </row>
    <row r="14" spans="1:21">
      <c r="A14" s="90" t="s">
        <v>362</v>
      </c>
      <c r="B14" s="90">
        <v>4</v>
      </c>
      <c r="C14" s="90" t="s">
        <v>361</v>
      </c>
      <c r="D14" s="100">
        <v>-3.0500000000000002E-3</v>
      </c>
      <c r="E14" s="90">
        <f t="shared" si="7"/>
        <v>4</v>
      </c>
      <c r="G14" s="100"/>
      <c r="H14" s="90" t="s">
        <v>362</v>
      </c>
      <c r="I14" s="90">
        <v>2.5</v>
      </c>
      <c r="J14" s="101">
        <f t="shared" ref="J14:J69" si="8">EDATE(J13,6)</f>
        <v>44785</v>
      </c>
      <c r="K14" s="90" t="str">
        <f>VLOOKUP(WEEKDAY(J14),Auxiliar!$A$1:$B$7,2)</f>
        <v>Friday</v>
      </c>
      <c r="L14" s="101">
        <f t="shared" si="1"/>
        <v>44785</v>
      </c>
      <c r="M14" s="90">
        <f t="shared" si="2"/>
        <v>179</v>
      </c>
      <c r="N14" s="90">
        <f t="shared" si="3"/>
        <v>912</v>
      </c>
      <c r="O14" s="102">
        <f t="shared" si="4"/>
        <v>2.5333333333333332</v>
      </c>
      <c r="P14" s="100" cm="1">
        <f t="array" ref="P14">lininterp(O14,$B$7:$B$25,$D$7:$D$25)</f>
        <v>-3.5019999999999999E-3</v>
      </c>
      <c r="Q14" s="103">
        <f t="shared" si="5"/>
        <v>0.49722222222222223</v>
      </c>
      <c r="R14" s="100">
        <f>(1-P14*S13)/(1+P14*Q14)</f>
        <v>1.0088897868252849</v>
      </c>
      <c r="S14" s="104">
        <f t="shared" si="6"/>
        <v>2.5384885280653244</v>
      </c>
      <c r="T14" s="100">
        <f t="shared" ref="T14:T40" si="9">(R13/R14-1)/Q14</f>
        <v>-3.01746435310201E-3</v>
      </c>
      <c r="U14" s="100">
        <f t="shared" si="0"/>
        <v>-3.4936205138086374E-3</v>
      </c>
    </row>
    <row r="15" spans="1:21">
      <c r="A15" s="90" t="s">
        <v>362</v>
      </c>
      <c r="B15" s="90">
        <v>5</v>
      </c>
      <c r="C15" s="90" t="s">
        <v>361</v>
      </c>
      <c r="D15" s="100">
        <v>-2.66E-3</v>
      </c>
      <c r="E15" s="90">
        <f t="shared" si="7"/>
        <v>5</v>
      </c>
      <c r="G15" s="100"/>
      <c r="H15" s="90" t="s">
        <v>362</v>
      </c>
      <c r="I15" s="90">
        <v>3</v>
      </c>
      <c r="J15" s="101">
        <f t="shared" si="8"/>
        <v>44969</v>
      </c>
      <c r="K15" s="90" t="str">
        <f>VLOOKUP(WEEKDAY(J15),Auxiliar!$A$1:$B$7,2)</f>
        <v>Sunday</v>
      </c>
      <c r="L15" s="101">
        <f t="shared" si="1"/>
        <v>44970</v>
      </c>
      <c r="M15" s="90">
        <f t="shared" si="2"/>
        <v>185</v>
      </c>
      <c r="N15" s="90">
        <f t="shared" si="3"/>
        <v>1097</v>
      </c>
      <c r="O15" s="102">
        <f t="shared" si="4"/>
        <v>3.0472222222222221</v>
      </c>
      <c r="P15" s="100" cm="1">
        <f t="array" ref="P15">lininterp(O15,$B$7:$B$25,$D$7:$D$25)</f>
        <v>-3.3739444444444442E-3</v>
      </c>
      <c r="Q15" s="103">
        <f t="shared" si="5"/>
        <v>0.51388888888888884</v>
      </c>
      <c r="R15" s="100">
        <f t="shared" ref="R15:R36" si="10">(1-P15*S14)/(1+P15*Q15)</f>
        <v>1.0103164388058028</v>
      </c>
      <c r="S15" s="104">
        <f t="shared" si="6"/>
        <v>3.0576789202294172</v>
      </c>
      <c r="T15" s="100">
        <f t="shared" si="9"/>
        <v>-2.747839717471114E-3</v>
      </c>
      <c r="U15" s="100">
        <f t="shared" si="0"/>
        <v>-3.3681782236432648E-3</v>
      </c>
    </row>
    <row r="16" spans="1:21">
      <c r="A16" s="90" t="s">
        <v>362</v>
      </c>
      <c r="B16" s="90">
        <v>6</v>
      </c>
      <c r="C16" s="90" t="s">
        <v>361</v>
      </c>
      <c r="D16" s="100">
        <v>-2.2200000000000002E-3</v>
      </c>
      <c r="E16" s="90">
        <f t="shared" si="7"/>
        <v>6</v>
      </c>
      <c r="G16" s="100"/>
      <c r="H16" s="90" t="s">
        <v>362</v>
      </c>
      <c r="I16" s="90">
        <v>3.5</v>
      </c>
      <c r="J16" s="101">
        <f t="shared" si="8"/>
        <v>45150</v>
      </c>
      <c r="K16" s="90" t="str">
        <f>VLOOKUP(WEEKDAY(J16),Auxiliar!$A$1:$B$7,2)</f>
        <v>Saturday</v>
      </c>
      <c r="L16" s="101">
        <f t="shared" si="1"/>
        <v>45152</v>
      </c>
      <c r="M16" s="90">
        <f t="shared" si="2"/>
        <v>182</v>
      </c>
      <c r="N16" s="90">
        <f t="shared" si="3"/>
        <v>1279</v>
      </c>
      <c r="O16" s="102">
        <f t="shared" si="4"/>
        <v>3.5527777777777776</v>
      </c>
      <c r="P16" s="100" cm="1">
        <f t="array" ref="P16">lininterp(O16,$B$7:$B$25,$D$7:$D$25)</f>
        <v>-3.2020555555555556E-3</v>
      </c>
      <c r="Q16" s="103">
        <f t="shared" si="5"/>
        <v>0.50555555555555554</v>
      </c>
      <c r="R16" s="100">
        <f t="shared" si="10"/>
        <v>1.0114281748724145</v>
      </c>
      <c r="S16" s="104">
        <f t="shared" si="6"/>
        <v>3.5690120530815825</v>
      </c>
      <c r="T16" s="100">
        <f t="shared" si="9"/>
        <v>-2.1741913347382981E-3</v>
      </c>
      <c r="U16" s="100">
        <f t="shared" si="0"/>
        <v>-3.1984456348546314E-3</v>
      </c>
    </row>
    <row r="17" spans="1:21">
      <c r="A17" s="90" t="s">
        <v>362</v>
      </c>
      <c r="B17" s="90">
        <v>7</v>
      </c>
      <c r="C17" s="90" t="s">
        <v>361</v>
      </c>
      <c r="D17" s="100">
        <v>-1.73E-3</v>
      </c>
      <c r="E17" s="90">
        <f t="shared" si="7"/>
        <v>7</v>
      </c>
      <c r="G17" s="100"/>
      <c r="H17" s="90" t="s">
        <v>362</v>
      </c>
      <c r="I17" s="90">
        <v>4</v>
      </c>
      <c r="J17" s="101">
        <f t="shared" si="8"/>
        <v>45334</v>
      </c>
      <c r="K17" s="90" t="str">
        <f>VLOOKUP(WEEKDAY(J17),Auxiliar!$A$1:$B$7,2)</f>
        <v>Monday</v>
      </c>
      <c r="L17" s="101">
        <f t="shared" si="1"/>
        <v>45334</v>
      </c>
      <c r="M17" s="90">
        <f t="shared" si="2"/>
        <v>182</v>
      </c>
      <c r="N17" s="90">
        <f t="shared" si="3"/>
        <v>1461</v>
      </c>
      <c r="O17" s="102">
        <f t="shared" si="4"/>
        <v>4.0583333333333336</v>
      </c>
      <c r="P17" s="100" cm="1">
        <f t="array" ref="P17">lininterp(O17,$B$7:$B$25,$D$7:$D$25)</f>
        <v>-3.02725E-3</v>
      </c>
      <c r="Q17" s="103">
        <f t="shared" si="5"/>
        <v>0.50555555555555554</v>
      </c>
      <c r="R17" s="100">
        <f>(1-P17*S16)/(1+P17*Q17)</f>
        <v>1.0123536413378431</v>
      </c>
      <c r="S17" s="104">
        <f t="shared" si="6"/>
        <v>4.0808130606468254</v>
      </c>
      <c r="T17" s="100">
        <f>(R16/R17-1)/Q17</f>
        <v>-1.8082544812314406E-3</v>
      </c>
      <c r="U17" s="100">
        <f t="shared" si="0"/>
        <v>-3.0253694747065167E-3</v>
      </c>
    </row>
    <row r="18" spans="1:21">
      <c r="A18" s="90" t="s">
        <v>362</v>
      </c>
      <c r="B18" s="90">
        <v>8</v>
      </c>
      <c r="C18" s="90" t="s">
        <v>361</v>
      </c>
      <c r="D18" s="100">
        <v>-1.1900000000000001E-3</v>
      </c>
      <c r="E18" s="90">
        <f t="shared" si="7"/>
        <v>8</v>
      </c>
      <c r="G18" s="100"/>
      <c r="H18" s="90" t="s">
        <v>362</v>
      </c>
      <c r="I18" s="90">
        <v>4.5</v>
      </c>
      <c r="J18" s="101">
        <f t="shared" si="8"/>
        <v>45516</v>
      </c>
      <c r="K18" s="90" t="str">
        <f>VLOOKUP(WEEKDAY(J18),Auxiliar!$A$1:$B$7,2)</f>
        <v>Monday</v>
      </c>
      <c r="L18" s="101">
        <f t="shared" si="1"/>
        <v>45516</v>
      </c>
      <c r="M18" s="90">
        <f t="shared" si="2"/>
        <v>182</v>
      </c>
      <c r="N18" s="90">
        <f t="shared" si="3"/>
        <v>1643</v>
      </c>
      <c r="O18" s="102">
        <f t="shared" si="4"/>
        <v>4.5638888888888891</v>
      </c>
      <c r="P18" s="100" cm="1">
        <f t="array" ref="P18">lininterp(O18,$B$7:$B$25,$D$7:$D$25)</f>
        <v>-2.8300833333333333E-3</v>
      </c>
      <c r="Q18" s="103">
        <f t="shared" si="5"/>
        <v>0.50555555555555554</v>
      </c>
      <c r="R18" s="100">
        <f t="shared" si="10"/>
        <v>1.0129984030329278</v>
      </c>
      <c r="S18" s="104">
        <f t="shared" si="6"/>
        <v>4.5929400310690278</v>
      </c>
      <c r="T18" s="100">
        <f t="shared" si="9"/>
        <v>-1.2589879704110747E-3</v>
      </c>
      <c r="U18" s="100">
        <f t="shared" si="0"/>
        <v>-2.8297465400222823E-3</v>
      </c>
    </row>
    <row r="19" spans="1:21">
      <c r="A19" s="90" t="s">
        <v>362</v>
      </c>
      <c r="B19" s="90">
        <v>9</v>
      </c>
      <c r="C19" s="90" t="s">
        <v>361</v>
      </c>
      <c r="D19" s="100">
        <v>-6.4000000000000005E-4</v>
      </c>
      <c r="E19" s="90">
        <f t="shared" si="7"/>
        <v>9</v>
      </c>
      <c r="G19" s="100"/>
      <c r="H19" s="90" t="s">
        <v>362</v>
      </c>
      <c r="I19" s="90">
        <v>5</v>
      </c>
      <c r="J19" s="101">
        <f t="shared" si="8"/>
        <v>45700</v>
      </c>
      <c r="K19" s="90" t="str">
        <f>VLOOKUP(WEEKDAY(J19),Auxiliar!$A$1:$B$7,2)</f>
        <v>Wednesday</v>
      </c>
      <c r="L19" s="101">
        <f t="shared" si="1"/>
        <v>45700</v>
      </c>
      <c r="M19" s="90">
        <f t="shared" si="2"/>
        <v>184</v>
      </c>
      <c r="N19" s="90">
        <f t="shared" si="3"/>
        <v>1827</v>
      </c>
      <c r="O19" s="102">
        <f t="shared" si="4"/>
        <v>5.0750000000000002</v>
      </c>
      <c r="P19" s="100" cm="1">
        <f t="array" ref="P19">lininterp(O19,$B$7:$B$25,$D$7:$D$25)</f>
        <v>-2.627E-3</v>
      </c>
      <c r="Q19" s="103">
        <f t="shared" si="5"/>
        <v>0.51111111111111107</v>
      </c>
      <c r="R19" s="100">
        <f t="shared" si="10"/>
        <v>1.0134263697880397</v>
      </c>
      <c r="S19" s="104">
        <f t="shared" si="6"/>
        <v>5.1109135089606923</v>
      </c>
      <c r="T19" s="100">
        <f t="shared" si="9"/>
        <v>-8.2623295087202531E-4</v>
      </c>
      <c r="U19" s="100">
        <f t="shared" si="0"/>
        <v>-2.6279871579032231E-3</v>
      </c>
    </row>
    <row r="20" spans="1:21">
      <c r="A20" s="90" t="s">
        <v>362</v>
      </c>
      <c r="B20" s="90">
        <v>10</v>
      </c>
      <c r="C20" s="90" t="s">
        <v>361</v>
      </c>
      <c r="D20" s="100">
        <v>-8.0000000000000007E-5</v>
      </c>
      <c r="E20" s="90">
        <f t="shared" si="7"/>
        <v>10</v>
      </c>
      <c r="G20" s="100"/>
      <c r="H20" s="90" t="s">
        <v>362</v>
      </c>
      <c r="I20" s="90">
        <v>5.5</v>
      </c>
      <c r="J20" s="101">
        <f t="shared" si="8"/>
        <v>45881</v>
      </c>
      <c r="K20" s="90" t="str">
        <f>VLOOKUP(WEEKDAY(J20),Auxiliar!$A$1:$B$7,2)</f>
        <v>Tuesday</v>
      </c>
      <c r="L20" s="101">
        <f t="shared" si="1"/>
        <v>45881</v>
      </c>
      <c r="M20" s="90">
        <f t="shared" si="2"/>
        <v>181</v>
      </c>
      <c r="N20" s="90">
        <f t="shared" si="3"/>
        <v>2008</v>
      </c>
      <c r="O20" s="102">
        <f t="shared" si="4"/>
        <v>5.5777777777777775</v>
      </c>
      <c r="P20" s="100" cm="1">
        <f t="array" ref="P20">lininterp(O20,$B$7:$B$25,$D$7:$D$25)</f>
        <v>-2.4057777777777779E-3</v>
      </c>
      <c r="Q20" s="103">
        <f t="shared" si="5"/>
        <v>0.50277777777777777</v>
      </c>
      <c r="R20" s="100">
        <f t="shared" si="10"/>
        <v>1.0135216491518062</v>
      </c>
      <c r="S20" s="104">
        <f t="shared" si="6"/>
        <v>5.6204896714509056</v>
      </c>
      <c r="T20" s="100">
        <f t="shared" si="9"/>
        <v>-1.8697767042486917E-4</v>
      </c>
      <c r="U20" s="100">
        <f t="shared" si="0"/>
        <v>-2.4079567164810309E-3</v>
      </c>
    </row>
    <row r="21" spans="1:21">
      <c r="A21" s="90" t="s">
        <v>362</v>
      </c>
      <c r="B21" s="90">
        <v>12</v>
      </c>
      <c r="C21" s="90" t="s">
        <v>361</v>
      </c>
      <c r="D21" s="100">
        <v>1E-3</v>
      </c>
      <c r="E21" s="90">
        <f t="shared" si="7"/>
        <v>12</v>
      </c>
      <c r="G21" s="100"/>
      <c r="H21" s="90" t="s">
        <v>362</v>
      </c>
      <c r="I21" s="90">
        <v>6</v>
      </c>
      <c r="J21" s="101">
        <f t="shared" si="8"/>
        <v>46065</v>
      </c>
      <c r="K21" s="90" t="str">
        <f>VLOOKUP(WEEKDAY(J21),Auxiliar!$A$1:$B$7,2)</f>
        <v>Thursday</v>
      </c>
      <c r="L21" s="101">
        <f t="shared" si="1"/>
        <v>46065</v>
      </c>
      <c r="M21" s="90">
        <f t="shared" si="2"/>
        <v>184</v>
      </c>
      <c r="N21" s="90">
        <f t="shared" si="3"/>
        <v>2192</v>
      </c>
      <c r="O21" s="102">
        <f t="shared" si="4"/>
        <v>6.0888888888888886</v>
      </c>
      <c r="P21" s="100" cm="1">
        <f t="array" ref="P21">lininterp(O21,$B$7:$B$25,$D$7:$D$25)</f>
        <v>-2.1764444444444448E-3</v>
      </c>
      <c r="Q21" s="103">
        <f t="shared" si="5"/>
        <v>0.51111111111111107</v>
      </c>
      <c r="R21" s="100">
        <f t="shared" si="10"/>
        <v>1.0133599501332615</v>
      </c>
      <c r="S21" s="104">
        <f t="shared" si="6"/>
        <v>6.1384292015190169</v>
      </c>
      <c r="T21" s="100">
        <f t="shared" si="9"/>
        <v>3.1219671246848166E-4</v>
      </c>
      <c r="U21" s="100">
        <f t="shared" si="0"/>
        <v>-2.1796247601355728E-3</v>
      </c>
    </row>
    <row r="22" spans="1:21">
      <c r="A22" s="90" t="s">
        <v>362</v>
      </c>
      <c r="B22" s="90">
        <v>15</v>
      </c>
      <c r="C22" s="90" t="s">
        <v>361</v>
      </c>
      <c r="D22" s="100">
        <v>2.3600000000000001E-3</v>
      </c>
      <c r="E22" s="90">
        <f t="shared" si="7"/>
        <v>15</v>
      </c>
      <c r="G22" s="100"/>
      <c r="H22" s="90" t="s">
        <v>362</v>
      </c>
      <c r="I22" s="90">
        <v>6.5</v>
      </c>
      <c r="J22" s="101">
        <f t="shared" si="8"/>
        <v>46246</v>
      </c>
      <c r="K22" s="90" t="str">
        <f>VLOOKUP(WEEKDAY(J22),Auxiliar!$A$1:$B$7,2)</f>
        <v>Wednesday</v>
      </c>
      <c r="L22" s="101">
        <f t="shared" si="1"/>
        <v>46246</v>
      </c>
      <c r="M22" s="90">
        <f t="shared" si="2"/>
        <v>181</v>
      </c>
      <c r="N22" s="90">
        <f t="shared" si="3"/>
        <v>2373</v>
      </c>
      <c r="O22" s="102">
        <f t="shared" si="4"/>
        <v>6.5916666666666668</v>
      </c>
      <c r="P22" s="100" cm="1">
        <f t="array" ref="P22">lininterp(O22,$B$7:$B$25,$D$7:$D$25)</f>
        <v>-1.9300833333333333E-3</v>
      </c>
      <c r="Q22" s="103">
        <f t="shared" si="5"/>
        <v>0.50277777777777777</v>
      </c>
      <c r="R22" s="100">
        <f t="shared" si="10"/>
        <v>1.0128305336924632</v>
      </c>
      <c r="S22" s="104">
        <f t="shared" si="6"/>
        <v>6.647657886514394</v>
      </c>
      <c r="T22" s="100">
        <f t="shared" si="9"/>
        <v>1.0396437914786808E-3</v>
      </c>
      <c r="U22" s="100">
        <f t="shared" si="0"/>
        <v>-1.9340965492724504E-3</v>
      </c>
    </row>
    <row r="23" spans="1:21">
      <c r="A23" s="90" t="s">
        <v>362</v>
      </c>
      <c r="B23" s="90">
        <v>20</v>
      </c>
      <c r="C23" s="90" t="s">
        <v>361</v>
      </c>
      <c r="D23" s="100">
        <v>3.6900000000000001E-3</v>
      </c>
      <c r="E23" s="90">
        <f t="shared" si="7"/>
        <v>20</v>
      </c>
      <c r="G23" s="100"/>
      <c r="H23" s="90" t="s">
        <v>362</v>
      </c>
      <c r="I23" s="90">
        <v>7</v>
      </c>
      <c r="J23" s="101">
        <f t="shared" si="8"/>
        <v>46430</v>
      </c>
      <c r="K23" s="90" t="str">
        <f>VLOOKUP(WEEKDAY(J23),Auxiliar!$A$1:$B$7,2)</f>
        <v>Friday</v>
      </c>
      <c r="L23" s="101">
        <f t="shared" si="1"/>
        <v>46430</v>
      </c>
      <c r="M23" s="90">
        <f t="shared" si="2"/>
        <v>184</v>
      </c>
      <c r="N23" s="90">
        <f t="shared" si="3"/>
        <v>2557</v>
      </c>
      <c r="O23" s="102">
        <f t="shared" si="4"/>
        <v>7.1027777777777779</v>
      </c>
      <c r="P23" s="100" cm="1">
        <f t="array" ref="P23">lininterp(O23,$B$7:$B$25,$D$7:$D$25)</f>
        <v>-1.6745E-3</v>
      </c>
      <c r="Q23" s="103">
        <f t="shared" si="5"/>
        <v>0.51111111111111107</v>
      </c>
      <c r="R23" s="100">
        <f t="shared" si="10"/>
        <v>1.0119976269221789</v>
      </c>
      <c r="S23" s="104">
        <f t="shared" si="6"/>
        <v>7.1649011180523967</v>
      </c>
      <c r="T23" s="100">
        <f t="shared" si="9"/>
        <v>1.6102806561772891E-3</v>
      </c>
      <c r="U23" s="100">
        <f t="shared" si="0"/>
        <v>-1.6790932079107396E-3</v>
      </c>
    </row>
    <row r="24" spans="1:21">
      <c r="A24" s="90" t="s">
        <v>362</v>
      </c>
      <c r="B24" s="90">
        <v>25</v>
      </c>
      <c r="C24" s="90" t="s">
        <v>361</v>
      </c>
      <c r="D24" s="100">
        <v>4.1000000000000003E-3</v>
      </c>
      <c r="E24" s="90">
        <f t="shared" si="7"/>
        <v>25</v>
      </c>
      <c r="G24" s="100"/>
      <c r="H24" s="90" t="s">
        <v>362</v>
      </c>
      <c r="I24" s="90">
        <v>7.5</v>
      </c>
      <c r="J24" s="101">
        <f t="shared" si="8"/>
        <v>46611</v>
      </c>
      <c r="K24" s="90" t="str">
        <f>VLOOKUP(WEEKDAY(J24),Auxiliar!$A$1:$B$7,2)</f>
        <v>Thursday</v>
      </c>
      <c r="L24" s="101">
        <f t="shared" si="1"/>
        <v>46611</v>
      </c>
      <c r="M24" s="90">
        <f t="shared" si="2"/>
        <v>181</v>
      </c>
      <c r="N24" s="90">
        <f t="shared" si="3"/>
        <v>2738</v>
      </c>
      <c r="O24" s="102">
        <f t="shared" si="4"/>
        <v>7.6055555555555552</v>
      </c>
      <c r="P24" s="100" cm="1">
        <f t="array" ref="P24">lininterp(O24,$B$7:$B$25,$D$7:$D$25)</f>
        <v>-1.4030000000000002E-3</v>
      </c>
      <c r="Q24" s="103">
        <f t="shared" si="5"/>
        <v>0.50277777777777777</v>
      </c>
      <c r="R24" s="100">
        <f t="shared" si="10"/>
        <v>1.0107653473369573</v>
      </c>
      <c r="S24" s="104">
        <f t="shared" si="6"/>
        <v>7.6730914732412554</v>
      </c>
      <c r="T24" s="100">
        <f t="shared" si="9"/>
        <v>2.4248385917586849E-3</v>
      </c>
      <c r="U24" s="100">
        <f t="shared" si="0"/>
        <v>-1.4078936710208722E-3</v>
      </c>
    </row>
    <row r="25" spans="1:21">
      <c r="A25" s="90" t="s">
        <v>362</v>
      </c>
      <c r="B25" s="90">
        <v>30</v>
      </c>
      <c r="C25" s="90" t="s">
        <v>361</v>
      </c>
      <c r="D25" s="100">
        <v>4.0600000000000002E-3</v>
      </c>
      <c r="E25" s="90">
        <f>B25*360/360</f>
        <v>30</v>
      </c>
      <c r="G25" s="100"/>
      <c r="H25" s="90" t="s">
        <v>362</v>
      </c>
      <c r="I25" s="90">
        <v>8</v>
      </c>
      <c r="J25" s="101">
        <f t="shared" si="8"/>
        <v>46795</v>
      </c>
      <c r="K25" s="90" t="str">
        <f>VLOOKUP(WEEKDAY(J25),Auxiliar!$A$1:$B$7,2)</f>
        <v>Saturday</v>
      </c>
      <c r="L25" s="101">
        <f t="shared" si="1"/>
        <v>46797</v>
      </c>
      <c r="M25" s="90">
        <f t="shared" si="2"/>
        <v>186</v>
      </c>
      <c r="N25" s="90">
        <f t="shared" si="3"/>
        <v>2924</v>
      </c>
      <c r="O25" s="102">
        <f t="shared" si="4"/>
        <v>8.1222222222222218</v>
      </c>
      <c r="P25" s="100" cm="1">
        <f t="array" ref="P25">lininterp(O25,$B$7:$B$25,$D$7:$D$25)</f>
        <v>-1.1227777777777781E-3</v>
      </c>
      <c r="Q25" s="103">
        <f t="shared" si="5"/>
        <v>0.51666666666666672</v>
      </c>
      <c r="R25" s="100">
        <f t="shared" si="10"/>
        <v>1.0092006157390916</v>
      </c>
      <c r="S25" s="104">
        <f t="shared" si="6"/>
        <v>8.1945117913731202</v>
      </c>
      <c r="T25" s="100">
        <f t="shared" si="9"/>
        <v>3.0009026182020006E-3</v>
      </c>
      <c r="U25" s="100">
        <f t="shared" si="0"/>
        <v>-1.1275913980111159E-3</v>
      </c>
    </row>
    <row r="26" spans="1:21">
      <c r="G26" s="100"/>
      <c r="H26" s="90" t="s">
        <v>362</v>
      </c>
      <c r="I26" s="90">
        <v>8.5</v>
      </c>
      <c r="J26" s="101">
        <f t="shared" si="8"/>
        <v>46977</v>
      </c>
      <c r="K26" s="90" t="str">
        <f>VLOOKUP(WEEKDAY(J26),Auxiliar!$A$1:$B$7,2)</f>
        <v>Saturday</v>
      </c>
      <c r="L26" s="101">
        <f t="shared" si="1"/>
        <v>46979</v>
      </c>
      <c r="M26" s="90">
        <f t="shared" si="2"/>
        <v>182</v>
      </c>
      <c r="N26" s="90">
        <f t="shared" si="3"/>
        <v>3106</v>
      </c>
      <c r="O26" s="102">
        <f t="shared" si="4"/>
        <v>8.6277777777777782</v>
      </c>
      <c r="P26" s="100" cm="1">
        <f t="array" ref="P26">lininterp(O26,$B$7:$B$25,$D$7:$D$25)</f>
        <v>-8.4472222222222197E-4</v>
      </c>
      <c r="Q26" s="103">
        <f t="shared" si="5"/>
        <v>0.50555555555555554</v>
      </c>
      <c r="R26" s="100">
        <f t="shared" si="10"/>
        <v>1.0073522800434731</v>
      </c>
      <c r="S26" s="104">
        <f t="shared" si="6"/>
        <v>8.7037843329506543</v>
      </c>
      <c r="T26" s="100">
        <f t="shared" si="9"/>
        <v>3.6293645243332942E-3</v>
      </c>
      <c r="U26" s="100">
        <f t="shared" si="0"/>
        <v>-8.4904641418976419E-4</v>
      </c>
    </row>
    <row r="27" spans="1:21">
      <c r="G27" s="100"/>
      <c r="H27" s="90" t="s">
        <v>362</v>
      </c>
      <c r="I27" s="90">
        <v>9</v>
      </c>
      <c r="J27" s="101">
        <f t="shared" si="8"/>
        <v>47161</v>
      </c>
      <c r="K27" s="90" t="str">
        <f>VLOOKUP(WEEKDAY(J27),Auxiliar!$A$1:$B$7,2)</f>
        <v>Monday</v>
      </c>
      <c r="L27" s="101">
        <f t="shared" si="1"/>
        <v>47161</v>
      </c>
      <c r="M27" s="90">
        <f t="shared" si="2"/>
        <v>182</v>
      </c>
      <c r="N27" s="90">
        <f t="shared" si="3"/>
        <v>3288</v>
      </c>
      <c r="O27" s="102">
        <f t="shared" si="4"/>
        <v>9.1333333333333329</v>
      </c>
      <c r="P27" s="100" cm="1">
        <f t="array" ref="P27">lininterp(O27,$B$7:$B$25,$D$7:$D$25)</f>
        <v>-5.653333333333337E-4</v>
      </c>
      <c r="Q27" s="103">
        <f t="shared" si="5"/>
        <v>0.50555555555555554</v>
      </c>
      <c r="R27" s="100">
        <f t="shared" si="10"/>
        <v>1.0052078352548612</v>
      </c>
      <c r="S27" s="104">
        <f t="shared" si="6"/>
        <v>9.2119727385517223</v>
      </c>
      <c r="T27" s="100">
        <f t="shared" si="9"/>
        <v>4.2197829879166834E-3</v>
      </c>
      <c r="U27" s="100">
        <f t="shared" si="0"/>
        <v>-5.6872131889342567E-4</v>
      </c>
    </row>
    <row r="28" spans="1:21">
      <c r="G28" s="100"/>
      <c r="H28" s="90" t="s">
        <v>362</v>
      </c>
      <c r="I28" s="90">
        <v>9.5</v>
      </c>
      <c r="J28" s="101">
        <f t="shared" si="8"/>
        <v>47342</v>
      </c>
      <c r="K28" s="90" t="str">
        <f>VLOOKUP(WEEKDAY(J28),Auxiliar!$A$1:$B$7,2)</f>
        <v>Sunday</v>
      </c>
      <c r="L28" s="101">
        <f t="shared" si="1"/>
        <v>47343</v>
      </c>
      <c r="M28" s="90">
        <f t="shared" si="2"/>
        <v>182</v>
      </c>
      <c r="N28" s="90">
        <f t="shared" si="3"/>
        <v>3470</v>
      </c>
      <c r="O28" s="102">
        <f t="shared" si="4"/>
        <v>9.6388888888888893</v>
      </c>
      <c r="P28" s="100" cm="1">
        <f t="array" ref="P28">lininterp(O28,$B$7:$B$25,$D$7:$D$25)</f>
        <v>-2.8222222222222201E-4</v>
      </c>
      <c r="Q28" s="103">
        <f t="shared" si="5"/>
        <v>0.50555555555555554</v>
      </c>
      <c r="R28" s="100">
        <f t="shared" si="10"/>
        <v>1.0027428937830463</v>
      </c>
      <c r="S28" s="104">
        <f t="shared" si="6"/>
        <v>9.7189149792975957</v>
      </c>
      <c r="T28" s="100">
        <f t="shared" si="9"/>
        <v>4.8623714374014786E-3</v>
      </c>
      <c r="U28" s="100">
        <f t="shared" si="0"/>
        <v>-2.8417579516050136E-4</v>
      </c>
    </row>
    <row r="29" spans="1:21">
      <c r="G29" s="100"/>
      <c r="H29" s="90" t="s">
        <v>362</v>
      </c>
      <c r="I29" s="90">
        <v>10</v>
      </c>
      <c r="J29" s="101">
        <f t="shared" si="8"/>
        <v>47526</v>
      </c>
      <c r="K29" s="90" t="str">
        <f>VLOOKUP(WEEKDAY(J29),Auxiliar!$A$1:$B$7,2)</f>
        <v>Tuesday</v>
      </c>
      <c r="L29" s="101">
        <f t="shared" si="1"/>
        <v>47526</v>
      </c>
      <c r="M29" s="90">
        <f t="shared" si="2"/>
        <v>183</v>
      </c>
      <c r="N29" s="90">
        <f t="shared" si="3"/>
        <v>3653</v>
      </c>
      <c r="O29" s="102">
        <f t="shared" si="4"/>
        <v>10.147222222222222</v>
      </c>
      <c r="P29" s="100" cm="1">
        <f t="array" ref="P29">lininterp(O29,$B$7:$B$25,$D$7:$D$25)</f>
        <v>-5.0000000000005281E-7</v>
      </c>
      <c r="Q29" s="103">
        <f t="shared" si="5"/>
        <v>0.5083333333333333</v>
      </c>
      <c r="R29" s="100">
        <f t="shared" si="10"/>
        <v>1.0000051136254562</v>
      </c>
      <c r="S29" s="104">
        <f t="shared" si="6"/>
        <v>10.227250912057203</v>
      </c>
      <c r="T29" s="100">
        <f t="shared" si="9"/>
        <v>5.3857694905166346E-3</v>
      </c>
      <c r="U29" s="100">
        <f t="shared" si="0"/>
        <v>-5.0394209071829353E-7</v>
      </c>
    </row>
    <row r="30" spans="1:21">
      <c r="G30" s="100"/>
      <c r="H30" s="90" t="s">
        <v>362</v>
      </c>
      <c r="I30" s="90">
        <v>10.5</v>
      </c>
      <c r="J30" s="101">
        <f t="shared" si="8"/>
        <v>47707</v>
      </c>
      <c r="K30" s="90" t="str">
        <f>VLOOKUP(WEEKDAY(J30),Auxiliar!$A$1:$B$7,2)</f>
        <v>Monday</v>
      </c>
      <c r="L30" s="101">
        <f t="shared" si="1"/>
        <v>47707</v>
      </c>
      <c r="M30" s="90">
        <f t="shared" si="2"/>
        <v>181</v>
      </c>
      <c r="N30" s="90">
        <f t="shared" si="3"/>
        <v>3834</v>
      </c>
      <c r="O30" s="102">
        <f t="shared" si="4"/>
        <v>10.65</v>
      </c>
      <c r="P30" s="100" cm="1">
        <f t="array" ref="P30">lininterp(O30,$B$7:$B$25,$D$7:$D$25)</f>
        <v>2.7100000000000019E-4</v>
      </c>
      <c r="Q30" s="103">
        <f t="shared" si="5"/>
        <v>0.50277777777777777</v>
      </c>
      <c r="R30" s="100">
        <f t="shared" si="10"/>
        <v>0.9970925583720528</v>
      </c>
      <c r="S30" s="104">
        <f t="shared" si="6"/>
        <v>10.728566892794262</v>
      </c>
      <c r="T30" s="100">
        <f t="shared" si="9"/>
        <v>5.8098192862738223E-3</v>
      </c>
      <c r="U30" s="100">
        <f t="shared" si="0"/>
        <v>2.733968494530072E-4</v>
      </c>
    </row>
    <row r="31" spans="1:21">
      <c r="G31" s="100"/>
      <c r="H31" s="90" t="s">
        <v>362</v>
      </c>
      <c r="I31" s="90">
        <v>11</v>
      </c>
      <c r="J31" s="101">
        <f t="shared" si="8"/>
        <v>47891</v>
      </c>
      <c r="K31" s="90" t="str">
        <f>VLOOKUP(WEEKDAY(J31),Auxiliar!$A$1:$B$7,2)</f>
        <v>Wednesday</v>
      </c>
      <c r="L31" s="101">
        <f t="shared" si="1"/>
        <v>47891</v>
      </c>
      <c r="M31" s="90">
        <f t="shared" si="2"/>
        <v>184</v>
      </c>
      <c r="N31" s="90">
        <f t="shared" si="3"/>
        <v>4018</v>
      </c>
      <c r="O31" s="102">
        <f t="shared" si="4"/>
        <v>11.161111111111111</v>
      </c>
      <c r="P31" s="100" cm="1">
        <f t="array" ref="P31">lininterp(O31,$B$7:$B$25,$D$7:$D$25)</f>
        <v>5.4700000000000018E-4</v>
      </c>
      <c r="Q31" s="103">
        <f t="shared" si="5"/>
        <v>0.51111111111111107</v>
      </c>
      <c r="R31" s="100">
        <f t="shared" si="10"/>
        <v>0.99385361452465637</v>
      </c>
      <c r="S31" s="104">
        <f t="shared" si="6"/>
        <v>11.236536517995754</v>
      </c>
      <c r="T31" s="100">
        <f t="shared" si="9"/>
        <v>6.3762549701895663E-3</v>
      </c>
      <c r="U31" s="100">
        <f t="shared" si="0"/>
        <v>5.5239592180615529E-4</v>
      </c>
    </row>
    <row r="32" spans="1:21">
      <c r="G32" s="100"/>
      <c r="H32" s="90" t="s">
        <v>362</v>
      </c>
      <c r="I32" s="90">
        <v>11.5</v>
      </c>
      <c r="J32" s="101">
        <f t="shared" si="8"/>
        <v>48072</v>
      </c>
      <c r="K32" s="90" t="str">
        <f>VLOOKUP(WEEKDAY(J32),Auxiliar!$A$1:$B$7,2)</f>
        <v>Tuesday</v>
      </c>
      <c r="L32" s="101">
        <f t="shared" si="1"/>
        <v>48072</v>
      </c>
      <c r="M32" s="90">
        <f t="shared" si="2"/>
        <v>181</v>
      </c>
      <c r="N32" s="90">
        <f t="shared" si="3"/>
        <v>4199</v>
      </c>
      <c r="O32" s="102">
        <f t="shared" si="4"/>
        <v>11.66388888888889</v>
      </c>
      <c r="P32" s="100" cm="1">
        <f t="array" ref="P32">lininterp(O32,$B$7:$B$25,$D$7:$D$25)</f>
        <v>8.1850000000000043E-4</v>
      </c>
      <c r="Q32" s="103">
        <f t="shared" si="5"/>
        <v>0.50277777777777777</v>
      </c>
      <c r="R32" s="100">
        <f t="shared" si="10"/>
        <v>0.99039532379994277</v>
      </c>
      <c r="S32" s="104">
        <f t="shared" si="6"/>
        <v>11.734485278017392</v>
      </c>
      <c r="T32" s="100">
        <f t="shared" si="9"/>
        <v>6.9450734741529924E-3</v>
      </c>
      <c r="U32" s="100">
        <f t="shared" si="0"/>
        <v>8.2743403007372839E-4</v>
      </c>
    </row>
    <row r="33" spans="7:21">
      <c r="G33" s="100"/>
      <c r="H33" s="90" t="s">
        <v>362</v>
      </c>
      <c r="I33" s="90">
        <v>12</v>
      </c>
      <c r="J33" s="101">
        <f t="shared" si="8"/>
        <v>48256</v>
      </c>
      <c r="K33" s="90" t="str">
        <f>VLOOKUP(WEEKDAY(J33),Auxiliar!$A$1:$B$7,2)</f>
        <v>Thursday</v>
      </c>
      <c r="L33" s="101">
        <f t="shared" si="1"/>
        <v>48256</v>
      </c>
      <c r="M33" s="90">
        <f t="shared" si="2"/>
        <v>184</v>
      </c>
      <c r="N33" s="90">
        <f t="shared" si="3"/>
        <v>4383</v>
      </c>
      <c r="O33" s="102">
        <f t="shared" si="4"/>
        <v>12.175000000000001</v>
      </c>
      <c r="P33" s="100" cm="1">
        <f t="array" ref="P33">lininterp(O33,$B$7:$B$25,$D$7:$D$25)</f>
        <v>1.0793333333333336E-3</v>
      </c>
      <c r="Q33" s="103">
        <f t="shared" si="5"/>
        <v>0.51111111111111107</v>
      </c>
      <c r="R33" s="100">
        <f t="shared" si="10"/>
        <v>0.98679020693532449</v>
      </c>
      <c r="S33" s="104">
        <f t="shared" si="6"/>
        <v>12.238844717117669</v>
      </c>
      <c r="T33" s="100">
        <f t="shared" si="9"/>
        <v>7.1479119555082644E-3</v>
      </c>
      <c r="U33" s="100">
        <f t="shared" si="0"/>
        <v>1.0922232803677284E-3</v>
      </c>
    </row>
    <row r="34" spans="7:21">
      <c r="G34" s="100"/>
      <c r="H34" s="90" t="s">
        <v>362</v>
      </c>
      <c r="I34" s="90">
        <v>12.5</v>
      </c>
      <c r="J34" s="101">
        <f t="shared" si="8"/>
        <v>48438</v>
      </c>
      <c r="K34" s="90" t="str">
        <f>VLOOKUP(WEEKDAY(J34),Auxiliar!$A$1:$B$7,2)</f>
        <v>Thursday</v>
      </c>
      <c r="L34" s="101">
        <f t="shared" si="1"/>
        <v>48438</v>
      </c>
      <c r="M34" s="90">
        <f t="shared" si="2"/>
        <v>182</v>
      </c>
      <c r="N34" s="90">
        <f t="shared" si="3"/>
        <v>4565</v>
      </c>
      <c r="O34" s="102">
        <f t="shared" si="4"/>
        <v>12.680555555555555</v>
      </c>
      <c r="P34" s="100" cm="1">
        <f t="array" ref="P34">lininterp(O34,$B$7:$B$25,$D$7:$D$25)</f>
        <v>1.3085185185185185E-3</v>
      </c>
      <c r="Q34" s="103">
        <f t="shared" si="5"/>
        <v>0.50555555555555554</v>
      </c>
      <c r="R34" s="100">
        <f t="shared" si="10"/>
        <v>0.98333474078483463</v>
      </c>
      <c r="S34" s="104">
        <f t="shared" si="6"/>
        <v>12.735975058292224</v>
      </c>
      <c r="T34" s="100">
        <f t="shared" si="9"/>
        <v>6.9508252952853716E-3</v>
      </c>
      <c r="U34" s="100">
        <f t="shared" si="0"/>
        <v>1.3253115714974512E-3</v>
      </c>
    </row>
    <row r="35" spans="7:21">
      <c r="G35" s="100"/>
      <c r="H35" s="90" t="s">
        <v>362</v>
      </c>
      <c r="I35" s="90">
        <v>13</v>
      </c>
      <c r="J35" s="101">
        <f t="shared" si="8"/>
        <v>48622</v>
      </c>
      <c r="K35" s="90" t="str">
        <f>VLOOKUP(WEEKDAY(J35),Auxiliar!$A$1:$B$7,2)</f>
        <v>Saturday</v>
      </c>
      <c r="L35" s="101">
        <f t="shared" si="1"/>
        <v>48624</v>
      </c>
      <c r="M35" s="90">
        <f t="shared" si="2"/>
        <v>186</v>
      </c>
      <c r="N35" s="90">
        <f t="shared" si="3"/>
        <v>4751</v>
      </c>
      <c r="O35" s="102">
        <f t="shared" si="4"/>
        <v>13.197222222222223</v>
      </c>
      <c r="P35" s="100" cm="1">
        <f t="array" ref="P35">lininterp(O35,$B$7:$B$25,$D$7:$D$25)</f>
        <v>1.5427407407407412E-3</v>
      </c>
      <c r="Q35" s="103">
        <f t="shared" si="5"/>
        <v>0.51666666666666672</v>
      </c>
      <c r="R35" s="100">
        <f t="shared" si="10"/>
        <v>0.97957089337625958</v>
      </c>
      <c r="S35" s="104">
        <f t="shared" si="6"/>
        <v>13.242086686536625</v>
      </c>
      <c r="T35" s="100">
        <f t="shared" si="9"/>
        <v>7.4367929889913361E-3</v>
      </c>
      <c r="U35" s="100">
        <f t="shared" si="0"/>
        <v>1.5640160302014187E-3</v>
      </c>
    </row>
    <row r="36" spans="7:21">
      <c r="G36" s="100"/>
      <c r="H36" s="90" t="s">
        <v>362</v>
      </c>
      <c r="I36" s="90">
        <v>13.5</v>
      </c>
      <c r="J36" s="101">
        <f t="shared" si="8"/>
        <v>48803</v>
      </c>
      <c r="K36" s="90" t="str">
        <f>VLOOKUP(WEEKDAY(J36),Auxiliar!$A$1:$B$7,2)</f>
        <v>Friday</v>
      </c>
      <c r="L36" s="101">
        <f t="shared" si="1"/>
        <v>48803</v>
      </c>
      <c r="M36" s="90">
        <f t="shared" si="2"/>
        <v>179</v>
      </c>
      <c r="N36" s="90">
        <f t="shared" si="3"/>
        <v>4930</v>
      </c>
      <c r="O36" s="102">
        <f t="shared" si="4"/>
        <v>13.694444444444445</v>
      </c>
      <c r="P36" s="100" cm="1">
        <f t="array" ref="P36">lininterp(O36,$B$7:$B$25,$D$7:$D$25)</f>
        <v>1.7681481481481485E-3</v>
      </c>
      <c r="Q36" s="103">
        <f t="shared" si="5"/>
        <v>0.49722222222222223</v>
      </c>
      <c r="R36" s="100">
        <f t="shared" si="10"/>
        <v>0.97572820524914383</v>
      </c>
      <c r="S36" s="104">
        <f t="shared" si="6"/>
        <v>13.727240433035504</v>
      </c>
      <c r="T36" s="100">
        <f t="shared" si="9"/>
        <v>7.9205574621376736E-3</v>
      </c>
      <c r="U36" s="100">
        <f t="shared" si="0"/>
        <v>1.7942465413126594E-3</v>
      </c>
    </row>
    <row r="37" spans="7:21">
      <c r="H37" s="90" t="s">
        <v>362</v>
      </c>
      <c r="I37" s="90">
        <v>14</v>
      </c>
      <c r="J37" s="101">
        <f t="shared" si="8"/>
        <v>48987</v>
      </c>
      <c r="K37" s="90" t="str">
        <f>VLOOKUP(WEEKDAY(J37),Auxiliar!$A$1:$B$7,2)</f>
        <v>Sunday</v>
      </c>
      <c r="L37" s="101">
        <f t="shared" si="1"/>
        <v>48988</v>
      </c>
      <c r="M37" s="90">
        <f t="shared" si="2"/>
        <v>185</v>
      </c>
      <c r="N37" s="90">
        <f t="shared" si="3"/>
        <v>5115</v>
      </c>
      <c r="O37" s="102">
        <f t="shared" si="4"/>
        <v>14.208333333333334</v>
      </c>
      <c r="P37" s="100" cm="1">
        <f t="array" ref="P37">lininterp(O37,$B$7:$B$25,$D$7:$D$25)</f>
        <v>2.0011111111111115E-3</v>
      </c>
      <c r="Q37" s="103">
        <f t="shared" si="5"/>
        <v>0.51388888888888884</v>
      </c>
      <c r="R37" s="100">
        <f>(1-P37*S36)/(1+P37*Q37)</f>
        <v>0.9715311937408968</v>
      </c>
      <c r="S37" s="104">
        <f>S36+R37*Q37</f>
        <v>14.226499518707909</v>
      </c>
      <c r="T37" s="100">
        <f t="shared" si="9"/>
        <v>8.4064799794167748E-3</v>
      </c>
      <c r="U37" s="100">
        <f t="shared" si="0"/>
        <v>2.0327438243190697E-3</v>
      </c>
    </row>
    <row r="38" spans="7:21">
      <c r="H38" s="90" t="s">
        <v>362</v>
      </c>
      <c r="I38" s="90">
        <v>14.5</v>
      </c>
      <c r="J38" s="101">
        <f t="shared" si="8"/>
        <v>49168</v>
      </c>
      <c r="K38" s="90" t="str">
        <f>VLOOKUP(WEEKDAY(J38),Auxiliar!$A$1:$B$7,2)</f>
        <v>Saturday</v>
      </c>
      <c r="L38" s="101">
        <f t="shared" si="1"/>
        <v>49170</v>
      </c>
      <c r="M38" s="90">
        <f t="shared" si="2"/>
        <v>182</v>
      </c>
      <c r="N38" s="90">
        <f t="shared" si="3"/>
        <v>5297</v>
      </c>
      <c r="O38" s="102">
        <f t="shared" si="4"/>
        <v>14.713888888888889</v>
      </c>
      <c r="P38" s="100" cm="1">
        <f t="array" ref="P38">lininterp(O38,$B$7:$B$25,$D$7:$D$25)</f>
        <v>2.2302962962962962E-3</v>
      </c>
      <c r="Q38" s="103">
        <f t="shared" si="5"/>
        <v>0.50555555555555554</v>
      </c>
      <c r="R38" s="100">
        <f>(1-P38*S37)/(1+P38*Q38)</f>
        <v>0.96718015777272259</v>
      </c>
      <c r="S38" s="104">
        <f>S37+R38*Q38</f>
        <v>14.715462820693007</v>
      </c>
      <c r="T38" s="100">
        <f t="shared" si="9"/>
        <v>8.8984918714960538E-3</v>
      </c>
      <c r="U38" s="100">
        <f t="shared" si="0"/>
        <v>2.2679588834270781E-3</v>
      </c>
    </row>
    <row r="39" spans="7:21">
      <c r="H39" s="90" t="s">
        <v>362</v>
      </c>
      <c r="I39" s="90">
        <v>15</v>
      </c>
      <c r="J39" s="101">
        <f t="shared" si="8"/>
        <v>49352</v>
      </c>
      <c r="K39" s="90" t="str">
        <f>VLOOKUP(WEEKDAY(J39),Auxiliar!$A$1:$B$7,2)</f>
        <v>Monday</v>
      </c>
      <c r="L39" s="101">
        <f t="shared" si="1"/>
        <v>49352</v>
      </c>
      <c r="M39" s="90">
        <f t="shared" si="2"/>
        <v>182</v>
      </c>
      <c r="N39" s="90">
        <f t="shared" si="3"/>
        <v>5479</v>
      </c>
      <c r="O39" s="102">
        <f t="shared" si="4"/>
        <v>15.219444444444445</v>
      </c>
      <c r="P39" s="100" cm="1">
        <f t="array" ref="P39">lininterp(O39,$B$7:$B$25,$D$7:$D$25)</f>
        <v>2.4183722222222226E-3</v>
      </c>
      <c r="Q39" s="103">
        <f t="shared" si="5"/>
        <v>0.50555555555555554</v>
      </c>
      <c r="R39" s="100">
        <f>(1-P39*S38)/(1+P39*Q39)</f>
        <v>0.96323486181379736</v>
      </c>
      <c r="S39" s="104">
        <f>S38+R39*Q39</f>
        <v>15.20243155638776</v>
      </c>
      <c r="T39" s="100">
        <f t="shared" si="9"/>
        <v>8.1017438487022836E-3</v>
      </c>
      <c r="U39" s="100">
        <f t="shared" si="0"/>
        <v>2.4611943935096206E-3</v>
      </c>
    </row>
    <row r="40" spans="7:21">
      <c r="H40" s="90" t="s">
        <v>362</v>
      </c>
      <c r="I40" s="90">
        <v>15.5</v>
      </c>
      <c r="J40" s="101">
        <f t="shared" si="8"/>
        <v>49533</v>
      </c>
      <c r="K40" s="90" t="str">
        <f>VLOOKUP(WEEKDAY(J40),Auxiliar!$A$1:$B$7,2)</f>
        <v>Sunday</v>
      </c>
      <c r="L40" s="101">
        <f t="shared" si="1"/>
        <v>49534</v>
      </c>
      <c r="M40" s="90">
        <f t="shared" si="2"/>
        <v>182</v>
      </c>
      <c r="N40" s="90">
        <f t="shared" si="3"/>
        <v>5661</v>
      </c>
      <c r="O40" s="102">
        <f t="shared" si="4"/>
        <v>15.725</v>
      </c>
      <c r="P40" s="100" cm="1">
        <f t="array" ref="P40">lininterp(O40,$B$7:$B$25,$D$7:$D$25)</f>
        <v>2.5528500000000002E-3</v>
      </c>
      <c r="Q40" s="103">
        <f t="shared" si="5"/>
        <v>0.50555555555555554</v>
      </c>
      <c r="R40" s="100">
        <f>(1-P40*S39)/(1+P40*Q40)</f>
        <v>0.95995155192871962</v>
      </c>
      <c r="S40" s="104">
        <f>S39+R40*Q40</f>
        <v>15.687740396529501</v>
      </c>
      <c r="T40" s="100">
        <f t="shared" si="9"/>
        <v>6.7654030042369959E-3</v>
      </c>
      <c r="U40" s="100">
        <f t="shared" si="0"/>
        <v>2.5992027049069008E-3</v>
      </c>
    </row>
    <row r="41" spans="7:21">
      <c r="H41" s="90" t="s">
        <v>362</v>
      </c>
      <c r="I41" s="90">
        <v>16</v>
      </c>
      <c r="J41" s="101">
        <f t="shared" si="8"/>
        <v>49717</v>
      </c>
      <c r="K41" s="90" t="str">
        <f>VLOOKUP(WEEKDAY(J41),Auxiliar!$A$1:$B$7,2)</f>
        <v>Tuesday</v>
      </c>
      <c r="L41" s="101">
        <f t="shared" ref="L41:L69" si="11">IF(K41="Saturday",J41+2,IF(K41="Sunday",J41+1,J41))</f>
        <v>49717</v>
      </c>
      <c r="M41" s="90">
        <f t="shared" ref="M41:M69" si="12">L41-L40</f>
        <v>183</v>
      </c>
      <c r="N41" s="90">
        <f t="shared" ref="N41:N69" si="13">N40+M41</f>
        <v>5844</v>
      </c>
      <c r="O41" s="102">
        <f t="shared" ref="O41:O69" si="14">N41/360</f>
        <v>16.233333333333334</v>
      </c>
      <c r="P41" s="100" cm="1">
        <f t="array" ref="P41">lininterp(O41,$B$7:$B$25,$D$7:$D$25)</f>
        <v>2.688066666666667E-3</v>
      </c>
      <c r="Q41" s="103">
        <f t="shared" ref="Q41:Q69" si="15">M41/360</f>
        <v>0.5083333333333333</v>
      </c>
      <c r="R41" s="100">
        <f t="shared" ref="R41:R68" si="16">(1-P41*S40)/(1+P41*Q41)</f>
        <v>0.95652328213654647</v>
      </c>
      <c r="S41" s="104">
        <f t="shared" ref="S41:S69" si="17">S40+R41*Q41</f>
        <v>16.17397306494891</v>
      </c>
      <c r="T41" s="100">
        <f t="shared" ref="T41:T69" si="18">(R40/R41-1)/Q41</f>
        <v>7.0506776176052994E-3</v>
      </c>
      <c r="U41" s="100">
        <f t="shared" ref="U41:U69" si="19">-LN(R41)/O41</f>
        <v>2.7382022235758821E-3</v>
      </c>
    </row>
    <row r="42" spans="7:21">
      <c r="H42" s="90" t="s">
        <v>362</v>
      </c>
      <c r="I42" s="90">
        <v>16.5</v>
      </c>
      <c r="J42" s="101">
        <f t="shared" si="8"/>
        <v>49899</v>
      </c>
      <c r="K42" s="90" t="str">
        <f>VLOOKUP(WEEKDAY(J42),Auxiliar!$A$1:$B$7,2)</f>
        <v>Tuesday</v>
      </c>
      <c r="L42" s="101">
        <f t="shared" si="11"/>
        <v>49899</v>
      </c>
      <c r="M42" s="90">
        <f t="shared" si="12"/>
        <v>182</v>
      </c>
      <c r="N42" s="90">
        <f t="shared" si="13"/>
        <v>6026</v>
      </c>
      <c r="O42" s="102">
        <f t="shared" si="14"/>
        <v>16.738888888888887</v>
      </c>
      <c r="P42" s="100" cm="1">
        <f t="array" ref="P42">lininterp(O42,$B$7:$B$25,$D$7:$D$25)</f>
        <v>2.8225444444444441E-3</v>
      </c>
      <c r="Q42" s="103">
        <f t="shared" si="15"/>
        <v>0.50555555555555554</v>
      </c>
      <c r="R42" s="100">
        <f t="shared" si="16"/>
        <v>0.95298837254024249</v>
      </c>
      <c r="S42" s="104">
        <f t="shared" si="17"/>
        <v>16.655761631066479</v>
      </c>
      <c r="T42" s="100">
        <f t="shared" si="18"/>
        <v>7.3370558060139321E-3</v>
      </c>
      <c r="U42" s="100">
        <f t="shared" si="19"/>
        <v>2.8766889262577485E-3</v>
      </c>
    </row>
    <row r="43" spans="7:21">
      <c r="H43" s="90" t="s">
        <v>362</v>
      </c>
      <c r="I43" s="90">
        <v>17</v>
      </c>
      <c r="J43" s="101">
        <f t="shared" si="8"/>
        <v>50083</v>
      </c>
      <c r="K43" s="90" t="str">
        <f>VLOOKUP(WEEKDAY(J43),Auxiliar!$A$1:$B$7,2)</f>
        <v>Thursday</v>
      </c>
      <c r="L43" s="101">
        <f t="shared" si="11"/>
        <v>50083</v>
      </c>
      <c r="M43" s="90">
        <f t="shared" si="12"/>
        <v>184</v>
      </c>
      <c r="N43" s="90">
        <f t="shared" si="13"/>
        <v>6210</v>
      </c>
      <c r="O43" s="102">
        <f t="shared" si="14"/>
        <v>17.25</v>
      </c>
      <c r="P43" s="100" cm="1">
        <f t="array" ref="P43">lininterp(O43,$B$7:$B$25,$D$7:$D$25)</f>
        <v>2.9585000000000002E-3</v>
      </c>
      <c r="Q43" s="103">
        <f t="shared" si="15"/>
        <v>0.51111111111111107</v>
      </c>
      <c r="R43" s="100">
        <f t="shared" si="16"/>
        <v>0.94928848899498064</v>
      </c>
      <c r="S43" s="104">
        <f t="shared" si="17"/>
        <v>17.140953525441692</v>
      </c>
      <c r="T43" s="100">
        <f t="shared" si="18"/>
        <v>7.625608729565009E-3</v>
      </c>
      <c r="U43" s="100">
        <f t="shared" si="19"/>
        <v>3.0169584898595827E-3</v>
      </c>
    </row>
    <row r="44" spans="7:21">
      <c r="H44" s="90" t="s">
        <v>362</v>
      </c>
      <c r="I44" s="90">
        <v>17.5</v>
      </c>
      <c r="J44" s="101">
        <f t="shared" si="8"/>
        <v>50264</v>
      </c>
      <c r="K44" s="90" t="str">
        <f>VLOOKUP(WEEKDAY(J44),Auxiliar!$A$1:$B$7,2)</f>
        <v>Wednesday</v>
      </c>
      <c r="L44" s="101">
        <f t="shared" si="11"/>
        <v>50264</v>
      </c>
      <c r="M44" s="90">
        <f t="shared" si="12"/>
        <v>181</v>
      </c>
      <c r="N44" s="90">
        <f t="shared" si="13"/>
        <v>6391</v>
      </c>
      <c r="O44" s="102">
        <f t="shared" si="14"/>
        <v>17.752777777777776</v>
      </c>
      <c r="P44" s="100" cm="1">
        <f t="array" ref="P44">lininterp(O44,$B$7:$B$25,$D$7:$D$25)</f>
        <v>3.0922388888888885E-3</v>
      </c>
      <c r="Q44" s="103">
        <f t="shared" si="15"/>
        <v>0.50277777777777777</v>
      </c>
      <c r="R44" s="100">
        <f t="shared" si="16"/>
        <v>0.94552605904517817</v>
      </c>
      <c r="S44" s="104">
        <f t="shared" si="17"/>
        <v>17.616343016239405</v>
      </c>
      <c r="T44" s="100">
        <f t="shared" si="18"/>
        <v>7.9144154901049004E-3</v>
      </c>
      <c r="U44" s="100">
        <f t="shared" si="19"/>
        <v>3.1552149662440452E-3</v>
      </c>
    </row>
    <row r="45" spans="7:21">
      <c r="H45" s="90" t="s">
        <v>362</v>
      </c>
      <c r="I45" s="90">
        <v>18</v>
      </c>
      <c r="J45" s="101">
        <f t="shared" si="8"/>
        <v>50448</v>
      </c>
      <c r="K45" s="90" t="str">
        <f>VLOOKUP(WEEKDAY(J45),Auxiliar!$A$1:$B$7,2)</f>
        <v>Friday</v>
      </c>
      <c r="L45" s="101">
        <f t="shared" si="11"/>
        <v>50448</v>
      </c>
      <c r="M45" s="90">
        <f t="shared" si="12"/>
        <v>184</v>
      </c>
      <c r="N45" s="90">
        <f t="shared" si="13"/>
        <v>6575</v>
      </c>
      <c r="O45" s="102">
        <f t="shared" si="14"/>
        <v>18.263888888888889</v>
      </c>
      <c r="P45" s="100" cm="1">
        <f t="array" ref="P45">lininterp(O45,$B$7:$B$25,$D$7:$D$25)</f>
        <v>3.2281944444444446E-3</v>
      </c>
      <c r="Q45" s="103">
        <f t="shared" si="15"/>
        <v>0.51111111111111107</v>
      </c>
      <c r="R45" s="100">
        <f t="shared" si="16"/>
        <v>0.94157744852062486</v>
      </c>
      <c r="S45" s="104">
        <f t="shared" si="17"/>
        <v>18.097593712149948</v>
      </c>
      <c r="T45" s="100">
        <f t="shared" si="18"/>
        <v>8.2048931214165951E-3</v>
      </c>
      <c r="U45" s="100">
        <f t="shared" si="19"/>
        <v>3.2960490429156442E-3</v>
      </c>
    </row>
    <row r="46" spans="7:21">
      <c r="H46" s="90" t="s">
        <v>362</v>
      </c>
      <c r="I46" s="90">
        <v>18.5</v>
      </c>
      <c r="J46" s="101">
        <f t="shared" si="8"/>
        <v>50629</v>
      </c>
      <c r="K46" s="90" t="str">
        <f>VLOOKUP(WEEKDAY(J46),Auxiliar!$A$1:$B$7,2)</f>
        <v>Thursday</v>
      </c>
      <c r="L46" s="101">
        <f t="shared" si="11"/>
        <v>50629</v>
      </c>
      <c r="M46" s="90">
        <f t="shared" si="12"/>
        <v>181</v>
      </c>
      <c r="N46" s="90">
        <f t="shared" si="13"/>
        <v>6756</v>
      </c>
      <c r="O46" s="102">
        <f t="shared" si="14"/>
        <v>18.766666666666666</v>
      </c>
      <c r="P46" s="100" cm="1">
        <f t="array" ref="P46">lininterp(O46,$B$7:$B$25,$D$7:$D$25)</f>
        <v>3.3619333333333333E-3</v>
      </c>
      <c r="Q46" s="103">
        <f t="shared" si="15"/>
        <v>0.50277777777777777</v>
      </c>
      <c r="R46" s="100">
        <f t="shared" si="16"/>
        <v>0.93757231293034271</v>
      </c>
      <c r="S46" s="104">
        <f t="shared" si="17"/>
        <v>18.568984236151035</v>
      </c>
      <c r="T46" s="100">
        <f t="shared" si="18"/>
        <v>8.4964278795577244E-3</v>
      </c>
      <c r="U46" s="100">
        <f t="shared" si="19"/>
        <v>3.4348875836517027E-3</v>
      </c>
    </row>
    <row r="47" spans="7:21">
      <c r="H47" s="90" t="s">
        <v>362</v>
      </c>
      <c r="I47" s="90">
        <v>19</v>
      </c>
      <c r="J47" s="101">
        <f t="shared" si="8"/>
        <v>50813</v>
      </c>
      <c r="K47" s="90" t="str">
        <f>VLOOKUP(WEEKDAY(J47),Auxiliar!$A$1:$B$7,2)</f>
        <v>Saturday</v>
      </c>
      <c r="L47" s="101">
        <f t="shared" si="11"/>
        <v>50815</v>
      </c>
      <c r="M47" s="90">
        <f t="shared" si="12"/>
        <v>186</v>
      </c>
      <c r="N47" s="90">
        <f t="shared" si="13"/>
        <v>6942</v>
      </c>
      <c r="O47" s="102">
        <f t="shared" si="14"/>
        <v>19.283333333333335</v>
      </c>
      <c r="P47" s="100" cm="1">
        <f t="array" ref="P47">lininterp(O47,$B$7:$B$25,$D$7:$D$25)</f>
        <v>3.4993666666666675E-3</v>
      </c>
      <c r="Q47" s="103">
        <f t="shared" si="15"/>
        <v>0.51666666666666672</v>
      </c>
      <c r="R47" s="100">
        <f t="shared" si="16"/>
        <v>0.93333284404442118</v>
      </c>
      <c r="S47" s="104">
        <f t="shared" si="17"/>
        <v>19.051206205573987</v>
      </c>
      <c r="T47" s="100">
        <f t="shared" si="18"/>
        <v>8.7915299483236828E-3</v>
      </c>
      <c r="U47" s="100">
        <f t="shared" si="19"/>
        <v>3.5778770471154206E-3</v>
      </c>
    </row>
    <row r="48" spans="7:21">
      <c r="H48" s="90" t="s">
        <v>362</v>
      </c>
      <c r="I48" s="90">
        <v>19.5</v>
      </c>
      <c r="J48" s="101">
        <f t="shared" si="8"/>
        <v>50994</v>
      </c>
      <c r="K48" s="90" t="str">
        <f>VLOOKUP(WEEKDAY(J48),Auxiliar!$A$1:$B$7,2)</f>
        <v>Friday</v>
      </c>
      <c r="L48" s="101">
        <f t="shared" si="11"/>
        <v>50994</v>
      </c>
      <c r="M48" s="90">
        <f t="shared" si="12"/>
        <v>179</v>
      </c>
      <c r="N48" s="90">
        <f t="shared" si="13"/>
        <v>7121</v>
      </c>
      <c r="O48" s="102">
        <f t="shared" si="14"/>
        <v>19.780555555555555</v>
      </c>
      <c r="P48" s="100" cm="1">
        <f t="array" ref="P48">lininterp(O48,$B$7:$B$25,$D$7:$D$25)</f>
        <v>3.6316277777777776E-3</v>
      </c>
      <c r="Q48" s="103">
        <f t="shared" si="15"/>
        <v>0.49722222222222223</v>
      </c>
      <c r="R48" s="100">
        <f t="shared" si="16"/>
        <v>0.92913534645949947</v>
      </c>
      <c r="S48" s="104">
        <f t="shared" si="17"/>
        <v>19.513192947285795</v>
      </c>
      <c r="T48" s="100">
        <f t="shared" si="18"/>
        <v>9.0857533473115946E-3</v>
      </c>
      <c r="U48" s="100">
        <f t="shared" si="19"/>
        <v>3.7158137490041305E-3</v>
      </c>
    </row>
    <row r="49" spans="8:21">
      <c r="H49" s="90" t="s">
        <v>362</v>
      </c>
      <c r="I49" s="90">
        <v>20</v>
      </c>
      <c r="J49" s="101">
        <f t="shared" si="8"/>
        <v>51178</v>
      </c>
      <c r="K49" s="90" t="str">
        <f>VLOOKUP(WEEKDAY(J49),Auxiliar!$A$1:$B$7,2)</f>
        <v>Sunday</v>
      </c>
      <c r="L49" s="101">
        <f t="shared" si="11"/>
        <v>51179</v>
      </c>
      <c r="M49" s="90">
        <f t="shared" si="12"/>
        <v>185</v>
      </c>
      <c r="N49" s="90">
        <f t="shared" si="13"/>
        <v>7306</v>
      </c>
      <c r="O49" s="102">
        <f t="shared" si="14"/>
        <v>20.294444444444444</v>
      </c>
      <c r="P49" s="100" cm="1">
        <f t="array" ref="P49">lininterp(O49,$B$7:$B$25,$D$7:$D$25)</f>
        <v>3.7141444444444447E-3</v>
      </c>
      <c r="Q49" s="103">
        <f t="shared" si="15"/>
        <v>0.51388888888888884</v>
      </c>
      <c r="R49" s="100">
        <f t="shared" si="16"/>
        <v>0.92575822738044389</v>
      </c>
      <c r="S49" s="104">
        <f t="shared" si="17"/>
        <v>19.988929814134078</v>
      </c>
      <c r="T49" s="100">
        <f t="shared" si="18"/>
        <v>7.098712154533472E-3</v>
      </c>
      <c r="U49" s="100">
        <f t="shared" si="19"/>
        <v>3.8011472637067053E-3</v>
      </c>
    </row>
    <row r="50" spans="8:21">
      <c r="H50" s="90" t="s">
        <v>362</v>
      </c>
      <c r="I50" s="90">
        <v>20.5</v>
      </c>
      <c r="J50" s="101">
        <f t="shared" si="8"/>
        <v>51360</v>
      </c>
      <c r="K50" s="90" t="str">
        <f>VLOOKUP(WEEKDAY(J50),Auxiliar!$A$1:$B$7,2)</f>
        <v>Sunday</v>
      </c>
      <c r="L50" s="101">
        <f t="shared" si="11"/>
        <v>51361</v>
      </c>
      <c r="M50" s="90">
        <f t="shared" si="12"/>
        <v>182</v>
      </c>
      <c r="N50" s="90">
        <f t="shared" si="13"/>
        <v>7488</v>
      </c>
      <c r="O50" s="102">
        <f t="shared" si="14"/>
        <v>20.8</v>
      </c>
      <c r="P50" s="100" cm="1">
        <f t="array" ref="P50">lininterp(O50,$B$7:$B$25,$D$7:$D$25)</f>
        <v>3.7556000000000004E-3</v>
      </c>
      <c r="Q50" s="103">
        <f t="shared" si="15"/>
        <v>0.50555555555555554</v>
      </c>
      <c r="R50" s="100">
        <f t="shared" si="16"/>
        <v>0.92317677227657946</v>
      </c>
      <c r="S50" s="104">
        <f t="shared" si="17"/>
        <v>20.455646960118347</v>
      </c>
      <c r="T50" s="100">
        <f t="shared" si="18"/>
        <v>5.5310912103311433E-3</v>
      </c>
      <c r="U50" s="100">
        <f t="shared" si="19"/>
        <v>3.8430069017880266E-3</v>
      </c>
    </row>
    <row r="51" spans="8:21">
      <c r="H51" s="90" t="s">
        <v>362</v>
      </c>
      <c r="I51" s="90">
        <v>21</v>
      </c>
      <c r="J51" s="101">
        <f t="shared" si="8"/>
        <v>51544</v>
      </c>
      <c r="K51" s="90" t="str">
        <f>VLOOKUP(WEEKDAY(J51),Auxiliar!$A$1:$B$7,2)</f>
        <v>Tuesday</v>
      </c>
      <c r="L51" s="101">
        <f t="shared" si="11"/>
        <v>51544</v>
      </c>
      <c r="M51" s="90">
        <f t="shared" si="12"/>
        <v>183</v>
      </c>
      <c r="N51" s="90">
        <f t="shared" si="13"/>
        <v>7671</v>
      </c>
      <c r="O51" s="102">
        <f t="shared" si="14"/>
        <v>21.308333333333334</v>
      </c>
      <c r="P51" s="100" cm="1">
        <f t="array" ref="P51">lininterp(O51,$B$7:$B$25,$D$7:$D$25)</f>
        <v>3.7972833333333334E-3</v>
      </c>
      <c r="Q51" s="103">
        <f t="shared" si="15"/>
        <v>0.5083333333333333</v>
      </c>
      <c r="R51" s="100">
        <f t="shared" si="16"/>
        <v>0.92054719364683446</v>
      </c>
      <c r="S51" s="104">
        <f t="shared" si="17"/>
        <v>20.923591783555487</v>
      </c>
      <c r="T51" s="100">
        <f t="shared" si="18"/>
        <v>5.6194202778658284E-3</v>
      </c>
      <c r="U51" s="100">
        <f t="shared" si="19"/>
        <v>3.8851940576425954E-3</v>
      </c>
    </row>
    <row r="52" spans="8:21">
      <c r="H52" s="90" t="s">
        <v>362</v>
      </c>
      <c r="I52" s="90">
        <v>21.5</v>
      </c>
      <c r="J52" s="101">
        <f t="shared" si="8"/>
        <v>51725</v>
      </c>
      <c r="K52" s="90" t="str">
        <f>VLOOKUP(WEEKDAY(J52),Auxiliar!$A$1:$B$7,2)</f>
        <v>Monday</v>
      </c>
      <c r="L52" s="101">
        <f t="shared" si="11"/>
        <v>51725</v>
      </c>
      <c r="M52" s="90">
        <f t="shared" si="12"/>
        <v>181</v>
      </c>
      <c r="N52" s="90">
        <f t="shared" si="13"/>
        <v>7852</v>
      </c>
      <c r="O52" s="102">
        <f t="shared" si="14"/>
        <v>21.81111111111111</v>
      </c>
      <c r="P52" s="100" cm="1">
        <f t="array" ref="P52">lininterp(O52,$B$7:$B$25,$D$7:$D$25)</f>
        <v>3.8385111111111114E-3</v>
      </c>
      <c r="Q52" s="103">
        <f t="shared" si="15"/>
        <v>0.50277777777777777</v>
      </c>
      <c r="R52" s="100">
        <f t="shared" si="16"/>
        <v>0.9179130634315914</v>
      </c>
      <c r="S52" s="104">
        <f t="shared" si="17"/>
        <v>21.385098073780814</v>
      </c>
      <c r="T52" s="100">
        <f t="shared" si="18"/>
        <v>5.7076799840732485E-3</v>
      </c>
      <c r="U52" s="100">
        <f t="shared" si="19"/>
        <v>3.9270165813230949E-3</v>
      </c>
    </row>
    <row r="53" spans="8:21">
      <c r="H53" s="90" t="s">
        <v>362</v>
      </c>
      <c r="I53" s="90">
        <v>22</v>
      </c>
      <c r="J53" s="101">
        <f t="shared" si="8"/>
        <v>51909</v>
      </c>
      <c r="K53" s="90" t="str">
        <f>VLOOKUP(WEEKDAY(J53),Auxiliar!$A$1:$B$7,2)</f>
        <v>Wednesday</v>
      </c>
      <c r="L53" s="101">
        <f t="shared" si="11"/>
        <v>51909</v>
      </c>
      <c r="M53" s="90">
        <f t="shared" si="12"/>
        <v>184</v>
      </c>
      <c r="N53" s="90">
        <f t="shared" si="13"/>
        <v>8036</v>
      </c>
      <c r="O53" s="102">
        <f t="shared" si="14"/>
        <v>22.322222222222223</v>
      </c>
      <c r="P53" s="100" cm="1">
        <f t="array" ref="P53">lininterp(O53,$B$7:$B$25,$D$7:$D$25)</f>
        <v>3.8804222222222225E-3</v>
      </c>
      <c r="Q53" s="103">
        <f t="shared" si="15"/>
        <v>0.51111111111111107</v>
      </c>
      <c r="R53" s="100">
        <f t="shared" si="16"/>
        <v>0.91520164615392929</v>
      </c>
      <c r="S53" s="104">
        <f t="shared" si="17"/>
        <v>21.852867804037267</v>
      </c>
      <c r="T53" s="100">
        <f t="shared" si="18"/>
        <v>5.7964786994138661E-3</v>
      </c>
      <c r="U53" s="100">
        <f t="shared" si="19"/>
        <v>3.9696253712513145E-3</v>
      </c>
    </row>
    <row r="54" spans="8:21">
      <c r="H54" s="90" t="s">
        <v>362</v>
      </c>
      <c r="I54" s="90">
        <v>22.5</v>
      </c>
      <c r="J54" s="101">
        <f t="shared" si="8"/>
        <v>52090</v>
      </c>
      <c r="K54" s="90" t="str">
        <f>VLOOKUP(WEEKDAY(J54),Auxiliar!$A$1:$B$7,2)</f>
        <v>Tuesday</v>
      </c>
      <c r="L54" s="101">
        <f t="shared" si="11"/>
        <v>52090</v>
      </c>
      <c r="M54" s="90">
        <f t="shared" si="12"/>
        <v>181</v>
      </c>
      <c r="N54" s="90">
        <f t="shared" si="13"/>
        <v>8217</v>
      </c>
      <c r="O54" s="102">
        <f t="shared" si="14"/>
        <v>22.824999999999999</v>
      </c>
      <c r="P54" s="100" cm="1">
        <f t="array" ref="P54">lininterp(O54,$B$7:$B$25,$D$7:$D$25)</f>
        <v>3.9216500000000005E-3</v>
      </c>
      <c r="Q54" s="103">
        <f t="shared" si="15"/>
        <v>0.50277777777777777</v>
      </c>
      <c r="R54" s="100">
        <f t="shared" si="16"/>
        <v>0.91250150490314907</v>
      </c>
      <c r="S54" s="104">
        <f t="shared" si="17"/>
        <v>22.311653282891349</v>
      </c>
      <c r="T54" s="100">
        <f t="shared" si="18"/>
        <v>5.8854113201760507E-3</v>
      </c>
      <c r="U54" s="100">
        <f t="shared" si="19"/>
        <v>4.0116339241147835E-3</v>
      </c>
    </row>
    <row r="55" spans="8:21">
      <c r="H55" s="90" t="s">
        <v>362</v>
      </c>
      <c r="I55" s="90">
        <v>23</v>
      </c>
      <c r="J55" s="101">
        <f t="shared" si="8"/>
        <v>52274</v>
      </c>
      <c r="K55" s="90" t="str">
        <f>VLOOKUP(WEEKDAY(J55),Auxiliar!$A$1:$B$7,2)</f>
        <v>Thursday</v>
      </c>
      <c r="L55" s="101">
        <f t="shared" si="11"/>
        <v>52274</v>
      </c>
      <c r="M55" s="90">
        <f t="shared" si="12"/>
        <v>184</v>
      </c>
      <c r="N55" s="90">
        <f t="shared" si="13"/>
        <v>8401</v>
      </c>
      <c r="O55" s="102">
        <f t="shared" si="14"/>
        <v>23.336111111111112</v>
      </c>
      <c r="P55" s="100" cm="1">
        <f t="array" ref="P55">lininterp(O55,$B$7:$B$25,$D$7:$D$25)</f>
        <v>3.9635611111111116E-3</v>
      </c>
      <c r="Q55" s="103">
        <f t="shared" si="15"/>
        <v>0.51111111111111107</v>
      </c>
      <c r="R55" s="100">
        <f t="shared" si="16"/>
        <v>0.90972346262596882</v>
      </c>
      <c r="S55" s="104">
        <f t="shared" si="17"/>
        <v>22.776623052677955</v>
      </c>
      <c r="T55" s="100">
        <f t="shared" si="18"/>
        <v>5.9746728877775185E-3</v>
      </c>
      <c r="U55" s="100">
        <f t="shared" si="19"/>
        <v>4.0544293103524538E-3</v>
      </c>
    </row>
    <row r="56" spans="8:21">
      <c r="H56" s="90" t="s">
        <v>362</v>
      </c>
      <c r="I56" s="90">
        <v>23.5</v>
      </c>
      <c r="J56" s="101">
        <f t="shared" si="8"/>
        <v>52455</v>
      </c>
      <c r="K56" s="90" t="str">
        <f>VLOOKUP(WEEKDAY(J56),Auxiliar!$A$1:$B$7,2)</f>
        <v>Wednesday</v>
      </c>
      <c r="L56" s="101">
        <f t="shared" si="11"/>
        <v>52455</v>
      </c>
      <c r="M56" s="90">
        <f t="shared" si="12"/>
        <v>181</v>
      </c>
      <c r="N56" s="90">
        <f t="shared" si="13"/>
        <v>8582</v>
      </c>
      <c r="O56" s="102">
        <f t="shared" si="14"/>
        <v>23.838888888888889</v>
      </c>
      <c r="P56" s="100" cm="1">
        <f t="array" ref="P56">lininterp(O56,$B$7:$B$25,$D$7:$D$25)</f>
        <v>4.0047888888888892E-3</v>
      </c>
      <c r="Q56" s="103">
        <f t="shared" si="15"/>
        <v>0.50277777777777777</v>
      </c>
      <c r="R56" s="100">
        <f t="shared" si="16"/>
        <v>0.90695825552129161</v>
      </c>
      <c r="S56" s="104">
        <f t="shared" si="17"/>
        <v>23.232621508926162</v>
      </c>
      <c r="T56" s="100">
        <f t="shared" si="18"/>
        <v>6.0640711975832517E-3</v>
      </c>
      <c r="U56" s="100">
        <f t="shared" si="19"/>
        <v>4.0966194005490229E-3</v>
      </c>
    </row>
    <row r="57" spans="8:21">
      <c r="H57" s="90" t="s">
        <v>362</v>
      </c>
      <c r="I57" s="90">
        <v>24</v>
      </c>
      <c r="J57" s="101">
        <f t="shared" si="8"/>
        <v>52639</v>
      </c>
      <c r="K57" s="90" t="str">
        <f>VLOOKUP(WEEKDAY(J57),Auxiliar!$A$1:$B$7,2)</f>
        <v>Friday</v>
      </c>
      <c r="L57" s="101">
        <f t="shared" si="11"/>
        <v>52639</v>
      </c>
      <c r="M57" s="90">
        <f t="shared" si="12"/>
        <v>184</v>
      </c>
      <c r="N57" s="90">
        <f t="shared" si="13"/>
        <v>8766</v>
      </c>
      <c r="O57" s="102">
        <f t="shared" si="14"/>
        <v>24.35</v>
      </c>
      <c r="P57" s="100" cm="1">
        <f t="array" ref="P57">lininterp(O57,$B$7:$B$25,$D$7:$D$25)</f>
        <v>4.0467000000000003E-3</v>
      </c>
      <c r="Q57" s="103">
        <f t="shared" si="15"/>
        <v>0.51111111111111107</v>
      </c>
      <c r="R57" s="100">
        <f t="shared" si="16"/>
        <v>0.90411455834394505</v>
      </c>
      <c r="S57" s="104">
        <f t="shared" si="17"/>
        <v>23.694724505413067</v>
      </c>
      <c r="T57" s="100">
        <f t="shared" si="18"/>
        <v>6.1538167875246188E-3</v>
      </c>
      <c r="U57" s="100">
        <f t="shared" si="19"/>
        <v>4.1395976503880664E-3</v>
      </c>
    </row>
    <row r="58" spans="8:21">
      <c r="H58" s="90" t="s">
        <v>362</v>
      </c>
      <c r="I58" s="90">
        <v>24.5</v>
      </c>
      <c r="J58" s="101">
        <f t="shared" si="8"/>
        <v>52821</v>
      </c>
      <c r="K58" s="90" t="str">
        <f>VLOOKUP(WEEKDAY(J58),Auxiliar!$A$1:$B$7,2)</f>
        <v>Friday</v>
      </c>
      <c r="L58" s="101">
        <f t="shared" si="11"/>
        <v>52821</v>
      </c>
      <c r="M58" s="90">
        <f t="shared" si="12"/>
        <v>182</v>
      </c>
      <c r="N58" s="90">
        <f t="shared" si="13"/>
        <v>8948</v>
      </c>
      <c r="O58" s="102">
        <f t="shared" si="14"/>
        <v>24.855555555555554</v>
      </c>
      <c r="P58" s="100" cm="1">
        <f t="array" ref="P58">lininterp(O58,$B$7:$B$25,$D$7:$D$25)</f>
        <v>4.088155555555556E-3</v>
      </c>
      <c r="Q58" s="103">
        <f t="shared" si="15"/>
        <v>0.50555555555555554</v>
      </c>
      <c r="R58" s="100">
        <f t="shared" si="16"/>
        <v>0.90126954571398665</v>
      </c>
      <c r="S58" s="104">
        <f t="shared" si="17"/>
        <v>24.150366331301804</v>
      </c>
      <c r="T58" s="100">
        <f t="shared" si="18"/>
        <v>6.2439672310794191E-3</v>
      </c>
      <c r="U58" s="100">
        <f t="shared" si="19"/>
        <v>4.1821999531299657E-3</v>
      </c>
    </row>
    <row r="59" spans="8:21">
      <c r="H59" s="90" t="s">
        <v>362</v>
      </c>
      <c r="I59" s="90">
        <v>25</v>
      </c>
      <c r="J59" s="101">
        <f t="shared" si="8"/>
        <v>53005</v>
      </c>
      <c r="K59" s="90" t="str">
        <f>VLOOKUP(WEEKDAY(J59),Auxiliar!$A$1:$B$7,2)</f>
        <v>Sunday</v>
      </c>
      <c r="L59" s="101">
        <f t="shared" si="11"/>
        <v>53006</v>
      </c>
      <c r="M59" s="90">
        <f t="shared" si="12"/>
        <v>185</v>
      </c>
      <c r="N59" s="90">
        <f t="shared" si="13"/>
        <v>9133</v>
      </c>
      <c r="O59" s="102">
        <f t="shared" si="14"/>
        <v>25.369444444444444</v>
      </c>
      <c r="P59" s="100" cm="1">
        <f t="array" ref="P59">lininterp(O59,$B$7:$B$25,$D$7:$D$25)</f>
        <v>4.097044444444445E-3</v>
      </c>
      <c r="Q59" s="103">
        <f t="shared" si="15"/>
        <v>0.51388888888888884</v>
      </c>
      <c r="R59" s="100">
        <f t="shared" si="16"/>
        <v>0.89916175759252448</v>
      </c>
      <c r="S59" s="104">
        <f t="shared" si="17"/>
        <v>24.612435567842407</v>
      </c>
      <c r="T59" s="100">
        <f t="shared" si="18"/>
        <v>4.5616283335428729E-3</v>
      </c>
      <c r="U59" s="100">
        <f t="shared" si="19"/>
        <v>4.1897776022497921E-3</v>
      </c>
    </row>
    <row r="60" spans="8:21">
      <c r="H60" s="90" t="s">
        <v>362</v>
      </c>
      <c r="I60" s="90">
        <v>25.5</v>
      </c>
      <c r="J60" s="101">
        <f t="shared" si="8"/>
        <v>53186</v>
      </c>
      <c r="K60" s="90" t="str">
        <f>VLOOKUP(WEEKDAY(J60),Auxiliar!$A$1:$B$7,2)</f>
        <v>Saturday</v>
      </c>
      <c r="L60" s="101">
        <f t="shared" si="11"/>
        <v>53188</v>
      </c>
      <c r="M60" s="90">
        <f t="shared" si="12"/>
        <v>182</v>
      </c>
      <c r="N60" s="90">
        <f t="shared" si="13"/>
        <v>9315</v>
      </c>
      <c r="O60" s="102">
        <f t="shared" si="14"/>
        <v>25.875</v>
      </c>
      <c r="P60" s="100" cm="1">
        <f t="array" ref="P60">lininterp(O60,$B$7:$B$25,$D$7:$D$25)</f>
        <v>4.0930000000000003E-3</v>
      </c>
      <c r="Q60" s="103">
        <f t="shared" si="15"/>
        <v>0.50555555555555554</v>
      </c>
      <c r="R60" s="100">
        <f t="shared" si="16"/>
        <v>0.89740435722579104</v>
      </c>
      <c r="S60" s="104">
        <f t="shared" si="17"/>
        <v>25.066123326217667</v>
      </c>
      <c r="T60" s="100">
        <f t="shared" si="18"/>
        <v>3.8735900061023392E-3</v>
      </c>
      <c r="U60" s="100">
        <f t="shared" si="19"/>
        <v>4.1835257995506483E-3</v>
      </c>
    </row>
    <row r="61" spans="8:21">
      <c r="H61" s="90" t="s">
        <v>362</v>
      </c>
      <c r="I61" s="90">
        <v>26</v>
      </c>
      <c r="J61" s="101">
        <f t="shared" si="8"/>
        <v>53370</v>
      </c>
      <c r="K61" s="90" t="str">
        <f>VLOOKUP(WEEKDAY(J61),Auxiliar!$A$1:$B$7,2)</f>
        <v>Monday</v>
      </c>
      <c r="L61" s="101">
        <f t="shared" si="11"/>
        <v>53370</v>
      </c>
      <c r="M61" s="90">
        <f t="shared" si="12"/>
        <v>182</v>
      </c>
      <c r="N61" s="90">
        <f t="shared" si="13"/>
        <v>9497</v>
      </c>
      <c r="O61" s="102">
        <f t="shared" si="14"/>
        <v>26.380555555555556</v>
      </c>
      <c r="P61" s="100" cm="1">
        <f t="array" ref="P61">lininterp(O61,$B$7:$B$25,$D$7:$D$25)</f>
        <v>4.0889555555555556E-3</v>
      </c>
      <c r="Q61" s="103">
        <f t="shared" si="15"/>
        <v>0.50555555555555554</v>
      </c>
      <c r="R61" s="100">
        <f t="shared" si="16"/>
        <v>0.89565424451177311</v>
      </c>
      <c r="S61" s="104">
        <f t="shared" si="17"/>
        <v>25.51892630538751</v>
      </c>
      <c r="T61" s="100">
        <f t="shared" si="18"/>
        <v>3.8650644861626515E-3</v>
      </c>
      <c r="U61" s="100">
        <f t="shared" si="19"/>
        <v>4.1773505516469684E-3</v>
      </c>
    </row>
    <row r="62" spans="8:21">
      <c r="H62" s="90" t="s">
        <v>362</v>
      </c>
      <c r="I62" s="90">
        <v>26.5</v>
      </c>
      <c r="J62" s="101">
        <f t="shared" si="8"/>
        <v>53551</v>
      </c>
      <c r="K62" s="90" t="str">
        <f>VLOOKUP(WEEKDAY(J62),Auxiliar!$A$1:$B$7,2)</f>
        <v>Sunday</v>
      </c>
      <c r="L62" s="101">
        <f t="shared" si="11"/>
        <v>53552</v>
      </c>
      <c r="M62" s="90">
        <f t="shared" si="12"/>
        <v>182</v>
      </c>
      <c r="N62" s="90">
        <f t="shared" si="13"/>
        <v>9679</v>
      </c>
      <c r="O62" s="102">
        <f t="shared" si="14"/>
        <v>26.886111111111113</v>
      </c>
      <c r="P62" s="100" cm="1">
        <f t="array" ref="P62">lininterp(O62,$B$7:$B$25,$D$7:$D$25)</f>
        <v>4.0849111111111117E-3</v>
      </c>
      <c r="Q62" s="103">
        <f t="shared" si="15"/>
        <v>0.50555555555555554</v>
      </c>
      <c r="R62" s="100">
        <f t="shared" si="16"/>
        <v>0.89391139371819761</v>
      </c>
      <c r="S62" s="104">
        <f t="shared" si="17"/>
        <v>25.970848176656155</v>
      </c>
      <c r="T62" s="100">
        <f t="shared" si="18"/>
        <v>3.8565311935068671E-3</v>
      </c>
      <c r="U62" s="100">
        <f t="shared" si="19"/>
        <v>4.1712473934636856E-3</v>
      </c>
    </row>
    <row r="63" spans="8:21">
      <c r="H63" s="90" t="s">
        <v>362</v>
      </c>
      <c r="I63" s="90">
        <v>27</v>
      </c>
      <c r="J63" s="101">
        <f t="shared" si="8"/>
        <v>53735</v>
      </c>
      <c r="K63" s="90" t="str">
        <f>VLOOKUP(WEEKDAY(J63),Auxiliar!$A$1:$B$7,2)</f>
        <v>Tuesday</v>
      </c>
      <c r="L63" s="101">
        <f t="shared" si="11"/>
        <v>53735</v>
      </c>
      <c r="M63" s="90">
        <f t="shared" si="12"/>
        <v>183</v>
      </c>
      <c r="N63" s="90">
        <f t="shared" si="13"/>
        <v>9862</v>
      </c>
      <c r="O63" s="102">
        <f t="shared" si="14"/>
        <v>27.394444444444446</v>
      </c>
      <c r="P63" s="100" cm="1">
        <f t="array" ref="P63">lininterp(O63,$B$7:$B$25,$D$7:$D$25)</f>
        <v>4.0808444444444449E-3</v>
      </c>
      <c r="Q63" s="103">
        <f t="shared" si="15"/>
        <v>0.5083333333333333</v>
      </c>
      <c r="R63" s="100">
        <f t="shared" si="16"/>
        <v>0.89216627268060977</v>
      </c>
      <c r="S63" s="104">
        <f t="shared" si="17"/>
        <v>26.424366031935463</v>
      </c>
      <c r="T63" s="100">
        <f t="shared" si="18"/>
        <v>3.8479654489303019E-3</v>
      </c>
      <c r="U63" s="100">
        <f t="shared" si="19"/>
        <v>4.165178806754025E-3</v>
      </c>
    </row>
    <row r="64" spans="8:21">
      <c r="H64" s="90" t="s">
        <v>362</v>
      </c>
      <c r="I64" s="90">
        <v>27.5</v>
      </c>
      <c r="J64" s="101">
        <f t="shared" si="8"/>
        <v>53916</v>
      </c>
      <c r="K64" s="90" t="str">
        <f>VLOOKUP(WEEKDAY(J64),Auxiliar!$A$1:$B$7,2)</f>
        <v>Monday</v>
      </c>
      <c r="L64" s="101">
        <f t="shared" si="11"/>
        <v>53916</v>
      </c>
      <c r="M64" s="90">
        <f t="shared" si="12"/>
        <v>181</v>
      </c>
      <c r="N64" s="90">
        <f t="shared" si="13"/>
        <v>10043</v>
      </c>
      <c r="O64" s="102">
        <f t="shared" si="14"/>
        <v>27.897222222222222</v>
      </c>
      <c r="P64" s="100" cm="1">
        <f t="array" ref="P64">lininterp(O64,$B$7:$B$25,$D$7:$D$25)</f>
        <v>4.0768222222222223E-3</v>
      </c>
      <c r="Q64" s="103">
        <f t="shared" si="15"/>
        <v>0.50277777777777777</v>
      </c>
      <c r="R64" s="100">
        <f t="shared" si="16"/>
        <v>0.89044737565168119</v>
      </c>
      <c r="S64" s="104">
        <f t="shared" si="17"/>
        <v>26.872063184693669</v>
      </c>
      <c r="T64" s="100">
        <f t="shared" si="18"/>
        <v>3.8394191661453351E-3</v>
      </c>
      <c r="U64" s="100">
        <f t="shared" si="19"/>
        <v>4.159241101354124E-3</v>
      </c>
    </row>
    <row r="65" spans="8:21">
      <c r="H65" s="90" t="s">
        <v>362</v>
      </c>
      <c r="I65" s="90">
        <v>28</v>
      </c>
      <c r="J65" s="101">
        <f t="shared" si="8"/>
        <v>54100</v>
      </c>
      <c r="K65" s="90" t="str">
        <f>VLOOKUP(WEEKDAY(J65),Auxiliar!$A$1:$B$7,2)</f>
        <v>Wednesday</v>
      </c>
      <c r="L65" s="101">
        <f t="shared" si="11"/>
        <v>54100</v>
      </c>
      <c r="M65" s="90">
        <f t="shared" si="12"/>
        <v>184</v>
      </c>
      <c r="N65" s="90">
        <f t="shared" si="13"/>
        <v>10227</v>
      </c>
      <c r="O65" s="102">
        <f t="shared" si="14"/>
        <v>28.408333333333335</v>
      </c>
      <c r="P65" s="100" cm="1">
        <f t="array" ref="P65">lininterp(O65,$B$7:$B$25,$D$7:$D$25)</f>
        <v>4.0727333333333334E-3</v>
      </c>
      <c r="Q65" s="103">
        <f t="shared" si="15"/>
        <v>0.51111111111111107</v>
      </c>
      <c r="R65" s="100">
        <f t="shared" si="16"/>
        <v>0.88870730229595507</v>
      </c>
      <c r="S65" s="104">
        <f t="shared" si="17"/>
        <v>27.326291361422712</v>
      </c>
      <c r="T65" s="100">
        <f t="shared" si="18"/>
        <v>3.8308353485611742E-3</v>
      </c>
      <c r="U65" s="100">
        <f t="shared" si="19"/>
        <v>4.1532651725118162E-3</v>
      </c>
    </row>
    <row r="66" spans="8:21">
      <c r="H66" s="90" t="s">
        <v>362</v>
      </c>
      <c r="I66" s="90">
        <v>28.5</v>
      </c>
      <c r="J66" s="101">
        <f t="shared" si="8"/>
        <v>54282</v>
      </c>
      <c r="K66" s="90" t="str">
        <f>VLOOKUP(WEEKDAY(J66),Auxiliar!$A$1:$B$7,2)</f>
        <v>Wednesday</v>
      </c>
      <c r="L66" s="101">
        <f t="shared" si="11"/>
        <v>54282</v>
      </c>
      <c r="M66" s="90">
        <f t="shared" si="12"/>
        <v>182</v>
      </c>
      <c r="N66" s="90">
        <f t="shared" si="13"/>
        <v>10409</v>
      </c>
      <c r="O66" s="102">
        <f t="shared" si="14"/>
        <v>28.913888888888888</v>
      </c>
      <c r="P66" s="100" cm="1">
        <f t="array" ref="P66">lininterp(O66,$B$7:$B$25,$D$7:$D$25)</f>
        <v>4.0686888888888896E-3</v>
      </c>
      <c r="Q66" s="103">
        <f t="shared" si="15"/>
        <v>0.50555555555555554</v>
      </c>
      <c r="R66" s="100">
        <f t="shared" si="16"/>
        <v>0.88699332258143004</v>
      </c>
      <c r="S66" s="104">
        <f t="shared" si="17"/>
        <v>27.774715763394436</v>
      </c>
      <c r="T66" s="100">
        <f t="shared" si="18"/>
        <v>3.8222266830007872E-3</v>
      </c>
      <c r="U66" s="100">
        <f t="shared" si="19"/>
        <v>4.147412520495131E-3</v>
      </c>
    </row>
    <row r="67" spans="8:21">
      <c r="H67" s="90" t="s">
        <v>362</v>
      </c>
      <c r="I67" s="90">
        <v>29</v>
      </c>
      <c r="J67" s="101">
        <f t="shared" si="8"/>
        <v>54466</v>
      </c>
      <c r="K67" s="90" t="str">
        <f>VLOOKUP(WEEKDAY(J67),Auxiliar!$A$1:$B$7,2)</f>
        <v>Friday</v>
      </c>
      <c r="L67" s="101">
        <f t="shared" si="11"/>
        <v>54466</v>
      </c>
      <c r="M67" s="90">
        <f t="shared" si="12"/>
        <v>184</v>
      </c>
      <c r="N67" s="90">
        <f t="shared" si="13"/>
        <v>10593</v>
      </c>
      <c r="O67" s="102">
        <f t="shared" si="14"/>
        <v>29.425000000000001</v>
      </c>
      <c r="P67" s="100" cm="1">
        <f t="array" ref="P67">lininterp(O67,$B$7:$B$25,$D$7:$D$25)</f>
        <v>4.0646000000000007E-3</v>
      </c>
      <c r="Q67" s="103">
        <f t="shared" si="15"/>
        <v>0.51111111111111107</v>
      </c>
      <c r="R67" s="100">
        <f t="shared" si="16"/>
        <v>0.88526777993873373</v>
      </c>
      <c r="S67" s="104">
        <f t="shared" si="17"/>
        <v>28.22718596202979</v>
      </c>
      <c r="T67" s="100">
        <f t="shared" si="18"/>
        <v>3.8136050681361251E-3</v>
      </c>
      <c r="U67" s="100">
        <f t="shared" si="19"/>
        <v>4.1415498229123446E-3</v>
      </c>
    </row>
    <row r="68" spans="8:21">
      <c r="H68" s="90" t="s">
        <v>362</v>
      </c>
      <c r="I68" s="90">
        <v>29.5</v>
      </c>
      <c r="J68" s="101">
        <f t="shared" si="8"/>
        <v>54647</v>
      </c>
      <c r="K68" s="90" t="str">
        <f>VLOOKUP(WEEKDAY(J68),Auxiliar!$A$1:$B$7,2)</f>
        <v>Thursday</v>
      </c>
      <c r="L68" s="101">
        <f t="shared" si="11"/>
        <v>54647</v>
      </c>
      <c r="M68" s="90">
        <f t="shared" si="12"/>
        <v>181</v>
      </c>
      <c r="N68" s="90">
        <f t="shared" si="13"/>
        <v>10774</v>
      </c>
      <c r="O68" s="102">
        <f t="shared" si="14"/>
        <v>29.927777777777777</v>
      </c>
      <c r="P68" s="100" cm="1">
        <f t="array" ref="P68">lininterp(O68,$B$7:$B$25,$D$7:$D$25)</f>
        <v>4.0605777777777781E-3</v>
      </c>
      <c r="Q68" s="103">
        <f t="shared" si="15"/>
        <v>0.50277777777777777</v>
      </c>
      <c r="R68" s="100">
        <f t="shared" si="16"/>
        <v>0.88357743230208696</v>
      </c>
      <c r="S68" s="104">
        <f t="shared" si="17"/>
        <v>28.671429059937228</v>
      </c>
      <c r="T68" s="100">
        <f t="shared" si="18"/>
        <v>3.8050059631968393E-3</v>
      </c>
      <c r="U68" s="100">
        <f t="shared" si="19"/>
        <v>4.135834919261258E-3</v>
      </c>
    </row>
    <row r="69" spans="8:21">
      <c r="H69" s="90" t="s">
        <v>362</v>
      </c>
      <c r="I69" s="90">
        <v>30</v>
      </c>
      <c r="J69" s="101">
        <f t="shared" si="8"/>
        <v>54831</v>
      </c>
      <c r="K69" s="90" t="str">
        <f>VLOOKUP(WEEKDAY(J69),Auxiliar!$A$1:$B$7,2)</f>
        <v>Saturday</v>
      </c>
      <c r="L69" s="101">
        <f t="shared" si="11"/>
        <v>54833</v>
      </c>
      <c r="M69" s="90">
        <f t="shared" si="12"/>
        <v>186</v>
      </c>
      <c r="N69" s="90">
        <f t="shared" si="13"/>
        <v>10960</v>
      </c>
      <c r="O69" s="102">
        <f t="shared" si="14"/>
        <v>30.444444444444443</v>
      </c>
      <c r="P69" s="100" cm="1">
        <f t="array" ref="P69">lininterp(O69,$B$7:$B$25,$D$7:$D$25)</f>
        <v>4.0600000000000002E-3</v>
      </c>
      <c r="Q69" s="103">
        <f t="shared" si="15"/>
        <v>0.51666666666666672</v>
      </c>
      <c r="R69" s="100">
        <f>(1-P69*S68)/(1+P69*Q69)</f>
        <v>0.88174439219662359</v>
      </c>
      <c r="S69" s="104">
        <f t="shared" si="17"/>
        <v>29.126996995905483</v>
      </c>
      <c r="T69" s="100">
        <f t="shared" si="18"/>
        <v>4.0236372245282207E-3</v>
      </c>
      <c r="U69" s="100">
        <f t="shared" si="19"/>
        <v>4.1338599550487338E-3</v>
      </c>
    </row>
    <row r="70" spans="8:21">
      <c r="J70" s="101"/>
      <c r="L70" s="101"/>
      <c r="O70" s="102"/>
      <c r="P70" s="100"/>
      <c r="Q70" s="103"/>
      <c r="R70" s="104"/>
      <c r="S70" s="104"/>
      <c r="T70" s="100"/>
      <c r="U70" s="100"/>
    </row>
    <row r="71" spans="8:21">
      <c r="J71" s="101"/>
      <c r="L71" s="101"/>
      <c r="O71" s="102"/>
      <c r="P71" s="100"/>
      <c r="Q71" s="103"/>
      <c r="R71" s="104"/>
      <c r="S71" s="104"/>
      <c r="T71" s="100"/>
      <c r="U71" s="100"/>
    </row>
    <row r="72" spans="8:21">
      <c r="J72" s="101"/>
      <c r="L72" s="101"/>
      <c r="O72" s="102"/>
      <c r="P72" s="100"/>
      <c r="Q72" s="103"/>
      <c r="R72" s="104"/>
      <c r="S72" s="104"/>
      <c r="T72" s="100"/>
      <c r="U72" s="100"/>
    </row>
    <row r="73" spans="8:21">
      <c r="J73" s="101"/>
      <c r="L73" s="101"/>
      <c r="O73" s="102"/>
      <c r="P73" s="100"/>
      <c r="Q73" s="103"/>
      <c r="R73" s="104"/>
      <c r="S73" s="104"/>
      <c r="T73" s="100"/>
      <c r="U73" s="100"/>
    </row>
    <row r="74" spans="8:21">
      <c r="J74" s="101"/>
      <c r="L74" s="101"/>
      <c r="O74" s="102"/>
      <c r="P74" s="100"/>
      <c r="Q74" s="103"/>
      <c r="R74" s="104"/>
      <c r="S74" s="104"/>
      <c r="T74" s="100"/>
      <c r="U74" s="100"/>
    </row>
    <row r="75" spans="8:21">
      <c r="J75" s="101"/>
      <c r="L75" s="101"/>
      <c r="O75" s="102"/>
      <c r="P75" s="100"/>
      <c r="Q75" s="103"/>
      <c r="R75" s="104"/>
      <c r="S75" s="104"/>
      <c r="T75" s="100"/>
      <c r="U75" s="100"/>
    </row>
    <row r="76" spans="8:21">
      <c r="J76" s="101"/>
      <c r="L76" s="101"/>
      <c r="O76" s="102"/>
      <c r="P76" s="100"/>
      <c r="Q76" s="103"/>
      <c r="R76" s="104"/>
      <c r="S76" s="104"/>
      <c r="T76" s="100"/>
      <c r="U76" s="100"/>
    </row>
    <row r="77" spans="8:21">
      <c r="J77" s="101"/>
      <c r="L77" s="101"/>
      <c r="O77" s="102"/>
      <c r="P77" s="100"/>
      <c r="Q77" s="103"/>
      <c r="R77" s="104"/>
      <c r="S77" s="104"/>
      <c r="T77" s="100"/>
      <c r="U77" s="100"/>
    </row>
    <row r="78" spans="8:21">
      <c r="J78" s="101"/>
      <c r="L78" s="101"/>
      <c r="O78" s="102"/>
      <c r="P78" s="100"/>
      <c r="Q78" s="103"/>
      <c r="R78" s="104"/>
      <c r="S78" s="104"/>
      <c r="T78" s="100"/>
      <c r="U78" s="100"/>
    </row>
    <row r="79" spans="8:21">
      <c r="J79" s="101"/>
      <c r="L79" s="101"/>
      <c r="O79" s="102"/>
      <c r="P79" s="100"/>
      <c r="Q79" s="103"/>
      <c r="R79" s="104"/>
      <c r="S79" s="104"/>
      <c r="T79" s="100"/>
      <c r="U79" s="100"/>
    </row>
    <row r="80" spans="8:21">
      <c r="J80" s="101"/>
      <c r="L80" s="101"/>
      <c r="O80" s="102"/>
      <c r="P80" s="100"/>
      <c r="Q80" s="103"/>
      <c r="R80" s="104"/>
      <c r="S80" s="104"/>
      <c r="T80" s="100"/>
      <c r="U80" s="100"/>
    </row>
    <row r="81" spans="10:21">
      <c r="J81" s="101"/>
      <c r="L81" s="101"/>
      <c r="O81" s="102"/>
      <c r="P81" s="100"/>
      <c r="Q81" s="103"/>
      <c r="R81" s="104"/>
      <c r="S81" s="104"/>
      <c r="T81" s="100"/>
      <c r="U81" s="100"/>
    </row>
    <row r="82" spans="10:21">
      <c r="J82" s="101"/>
      <c r="L82" s="101"/>
      <c r="O82" s="102"/>
      <c r="P82" s="100"/>
      <c r="Q82" s="103"/>
      <c r="R82" s="104"/>
      <c r="S82" s="104"/>
      <c r="T82" s="100"/>
      <c r="U82" s="100"/>
    </row>
    <row r="83" spans="10:21">
      <c r="J83" s="101"/>
      <c r="L83" s="101"/>
      <c r="O83" s="102"/>
      <c r="P83" s="100"/>
      <c r="Q83" s="103"/>
      <c r="R83" s="104"/>
      <c r="S83" s="104"/>
      <c r="T83" s="100"/>
      <c r="U83" s="100"/>
    </row>
    <row r="84" spans="10:21">
      <c r="J84" s="101"/>
      <c r="L84" s="101"/>
      <c r="O84" s="102"/>
      <c r="P84" s="100"/>
      <c r="Q84" s="103"/>
      <c r="R84" s="104"/>
      <c r="S84" s="104"/>
      <c r="T84" s="100"/>
      <c r="U84" s="100"/>
    </row>
    <row r="85" spans="10:21">
      <c r="J85" s="101"/>
      <c r="L85" s="101"/>
      <c r="O85" s="102"/>
      <c r="P85" s="100"/>
      <c r="Q85" s="103"/>
      <c r="R85" s="104"/>
      <c r="S85" s="104"/>
      <c r="T85" s="100"/>
      <c r="U85" s="100"/>
    </row>
    <row r="86" spans="10:21">
      <c r="J86" s="101"/>
      <c r="L86" s="101"/>
      <c r="O86" s="102"/>
      <c r="P86" s="100"/>
      <c r="Q86" s="103"/>
      <c r="R86" s="104"/>
      <c r="S86" s="104"/>
      <c r="T86" s="100"/>
      <c r="U86" s="100"/>
    </row>
    <row r="87" spans="10:21">
      <c r="J87" s="101"/>
      <c r="L87" s="101"/>
      <c r="O87" s="102"/>
      <c r="P87" s="100"/>
      <c r="Q87" s="103"/>
      <c r="R87" s="104"/>
      <c r="S87" s="104"/>
      <c r="T87" s="100"/>
      <c r="U87" s="100"/>
    </row>
    <row r="88" spans="10:21">
      <c r="J88" s="101"/>
      <c r="L88" s="101"/>
      <c r="O88" s="102"/>
      <c r="P88" s="100"/>
      <c r="Q88" s="103"/>
      <c r="R88" s="104"/>
      <c r="S88" s="104"/>
      <c r="T88" s="100"/>
      <c r="U88" s="100"/>
    </row>
    <row r="89" spans="10:21">
      <c r="J89" s="101"/>
      <c r="L89" s="101"/>
      <c r="O89" s="102"/>
      <c r="P89" s="100"/>
      <c r="Q89" s="103"/>
      <c r="R89" s="104"/>
      <c r="S89" s="104"/>
      <c r="T89" s="100"/>
      <c r="U89" s="100"/>
    </row>
    <row r="90" spans="10:21">
      <c r="J90" s="101"/>
      <c r="L90" s="101"/>
      <c r="O90" s="102"/>
      <c r="P90" s="100"/>
      <c r="Q90" s="103"/>
      <c r="R90" s="104"/>
      <c r="S90" s="104"/>
      <c r="T90" s="100"/>
      <c r="U90" s="100"/>
    </row>
    <row r="91" spans="10:21">
      <c r="J91" s="101"/>
      <c r="L91" s="101"/>
      <c r="O91" s="102"/>
      <c r="P91" s="100"/>
      <c r="Q91" s="103"/>
      <c r="R91" s="104"/>
      <c r="S91" s="104"/>
      <c r="T91" s="100"/>
      <c r="U91" s="100"/>
    </row>
    <row r="92" spans="10:21">
      <c r="J92" s="101"/>
      <c r="L92" s="101"/>
      <c r="O92" s="102"/>
      <c r="P92" s="100"/>
      <c r="Q92" s="103"/>
      <c r="R92" s="104"/>
      <c r="S92" s="104"/>
      <c r="T92" s="100"/>
      <c r="U92" s="100"/>
    </row>
    <row r="93" spans="10:21">
      <c r="J93" s="101"/>
      <c r="L93" s="101"/>
      <c r="O93" s="102"/>
      <c r="P93" s="100"/>
      <c r="Q93" s="103"/>
      <c r="R93" s="104"/>
      <c r="S93" s="104"/>
      <c r="T93" s="100"/>
      <c r="U93" s="100"/>
    </row>
    <row r="94" spans="10:21">
      <c r="J94" s="101"/>
      <c r="L94" s="101"/>
      <c r="O94" s="102"/>
      <c r="P94" s="100"/>
      <c r="Q94" s="103"/>
      <c r="R94" s="104"/>
      <c r="S94" s="104"/>
      <c r="T94" s="100"/>
      <c r="U94" s="100"/>
    </row>
    <row r="95" spans="10:21">
      <c r="J95" s="101"/>
      <c r="L95" s="101"/>
      <c r="O95" s="102"/>
      <c r="P95" s="100"/>
      <c r="Q95" s="103"/>
      <c r="R95" s="104"/>
      <c r="S95" s="104"/>
      <c r="T95" s="100"/>
      <c r="U95" s="100"/>
    </row>
    <row r="96" spans="10:21">
      <c r="J96" s="101"/>
      <c r="L96" s="101"/>
      <c r="O96" s="102"/>
      <c r="P96" s="100"/>
      <c r="Q96" s="103"/>
      <c r="R96" s="104"/>
      <c r="S96" s="104"/>
      <c r="T96" s="100"/>
      <c r="U96" s="100"/>
    </row>
    <row r="97" spans="10:21">
      <c r="J97" s="101"/>
      <c r="L97" s="101"/>
      <c r="O97" s="102"/>
      <c r="P97" s="100"/>
      <c r="Q97" s="103"/>
      <c r="R97" s="104"/>
      <c r="S97" s="104"/>
      <c r="T97" s="100"/>
      <c r="U97" s="100"/>
    </row>
    <row r="98" spans="10:21">
      <c r="J98" s="101"/>
      <c r="L98" s="101"/>
      <c r="O98" s="102"/>
      <c r="P98" s="100"/>
      <c r="Q98" s="103"/>
      <c r="R98" s="104"/>
      <c r="S98" s="104"/>
      <c r="T98" s="100"/>
      <c r="U98" s="100"/>
    </row>
    <row r="99" spans="10:21">
      <c r="J99" s="101"/>
      <c r="L99" s="101"/>
      <c r="O99" s="102"/>
      <c r="P99" s="100"/>
      <c r="Q99" s="103"/>
      <c r="R99" s="104"/>
      <c r="S99" s="104"/>
      <c r="T99" s="100"/>
      <c r="U99" s="100"/>
    </row>
    <row r="100" spans="10:21">
      <c r="J100" s="101"/>
      <c r="L100" s="101"/>
      <c r="O100" s="102"/>
      <c r="P100" s="100"/>
      <c r="Q100" s="103"/>
      <c r="R100" s="104"/>
      <c r="S100" s="104"/>
      <c r="T100" s="100"/>
      <c r="U100" s="100"/>
    </row>
    <row r="101" spans="10:21">
      <c r="J101" s="101"/>
      <c r="L101" s="101"/>
      <c r="O101" s="102"/>
      <c r="P101" s="100"/>
      <c r="Q101" s="103"/>
      <c r="R101" s="104"/>
      <c r="S101" s="104"/>
      <c r="T101" s="100"/>
      <c r="U101" s="100"/>
    </row>
    <row r="102" spans="10:21">
      <c r="J102" s="101"/>
      <c r="L102" s="101"/>
      <c r="O102" s="102"/>
      <c r="P102" s="100"/>
      <c r="Q102" s="103"/>
      <c r="R102" s="104"/>
      <c r="S102" s="104"/>
      <c r="T102" s="100"/>
      <c r="U102" s="100"/>
    </row>
    <row r="103" spans="10:21">
      <c r="J103" s="101"/>
      <c r="L103" s="101"/>
      <c r="O103" s="102"/>
      <c r="P103" s="100"/>
      <c r="Q103" s="103"/>
      <c r="R103" s="104"/>
      <c r="S103" s="104"/>
      <c r="T103" s="100"/>
      <c r="U103" s="100"/>
    </row>
    <row r="104" spans="10:21">
      <c r="J104" s="101"/>
      <c r="L104" s="101"/>
      <c r="O104" s="102"/>
      <c r="P104" s="100"/>
      <c r="Q104" s="103"/>
      <c r="R104" s="104"/>
      <c r="S104" s="104"/>
      <c r="T104" s="100"/>
      <c r="U104" s="100"/>
    </row>
    <row r="105" spans="10:21">
      <c r="J105" s="101"/>
      <c r="L105" s="101"/>
      <c r="O105" s="102"/>
      <c r="P105" s="100"/>
      <c r="Q105" s="103"/>
      <c r="R105" s="104"/>
      <c r="S105" s="104"/>
      <c r="T105" s="100"/>
      <c r="U105" s="100"/>
    </row>
    <row r="106" spans="10:21">
      <c r="J106" s="101"/>
      <c r="L106" s="101"/>
      <c r="O106" s="102"/>
      <c r="P106" s="100"/>
      <c r="Q106" s="103"/>
      <c r="R106" s="104"/>
      <c r="S106" s="104"/>
      <c r="T106" s="100"/>
      <c r="U106" s="100"/>
    </row>
    <row r="107" spans="10:21">
      <c r="J107" s="101"/>
      <c r="L107" s="101"/>
      <c r="O107" s="102"/>
      <c r="P107" s="100"/>
      <c r="Q107" s="103"/>
      <c r="R107" s="104"/>
      <c r="S107" s="104"/>
      <c r="T107" s="100"/>
      <c r="U107" s="100"/>
    </row>
    <row r="108" spans="10:21">
      <c r="J108" s="101"/>
      <c r="L108" s="101"/>
      <c r="O108" s="102"/>
      <c r="P108" s="100"/>
      <c r="Q108" s="103"/>
      <c r="R108" s="104"/>
      <c r="S108" s="104"/>
      <c r="T108" s="100"/>
      <c r="U108" s="100"/>
    </row>
    <row r="109" spans="10:21">
      <c r="J109" s="101"/>
      <c r="L109" s="101"/>
      <c r="O109" s="102"/>
      <c r="P109" s="100"/>
      <c r="Q109" s="103"/>
      <c r="R109" s="104"/>
      <c r="S109" s="104"/>
      <c r="T109" s="100"/>
      <c r="U109" s="100"/>
    </row>
    <row r="110" spans="10:21">
      <c r="J110" s="101"/>
      <c r="L110" s="101"/>
      <c r="O110" s="102"/>
      <c r="P110" s="100"/>
      <c r="Q110" s="103"/>
      <c r="R110" s="104"/>
      <c r="S110" s="104"/>
      <c r="T110" s="100"/>
      <c r="U110" s="100"/>
    </row>
    <row r="111" spans="10:21">
      <c r="J111" s="101"/>
      <c r="L111" s="101"/>
      <c r="O111" s="102"/>
      <c r="P111" s="100"/>
      <c r="Q111" s="103"/>
      <c r="R111" s="104"/>
      <c r="S111" s="104"/>
      <c r="T111" s="100"/>
      <c r="U111" s="100"/>
    </row>
    <row r="112" spans="10:21">
      <c r="J112" s="101"/>
      <c r="L112" s="101"/>
      <c r="O112" s="102"/>
      <c r="P112" s="100"/>
      <c r="Q112" s="103"/>
      <c r="R112" s="104"/>
      <c r="S112" s="104"/>
      <c r="T112" s="100"/>
      <c r="U112" s="100"/>
    </row>
    <row r="113" spans="10:21">
      <c r="J113" s="101"/>
      <c r="L113" s="101"/>
      <c r="O113" s="102"/>
      <c r="P113" s="100"/>
      <c r="Q113" s="103"/>
      <c r="R113" s="104"/>
      <c r="S113" s="104"/>
      <c r="T113" s="100"/>
      <c r="U113" s="100"/>
    </row>
    <row r="114" spans="10:21">
      <c r="J114" s="101"/>
      <c r="L114" s="101"/>
      <c r="O114" s="102"/>
      <c r="P114" s="100"/>
      <c r="Q114" s="103"/>
      <c r="R114" s="104"/>
      <c r="S114" s="104"/>
      <c r="T114" s="100"/>
      <c r="U114" s="100"/>
    </row>
    <row r="115" spans="10:21">
      <c r="J115" s="101"/>
      <c r="L115" s="101"/>
      <c r="O115" s="102"/>
      <c r="P115" s="100"/>
      <c r="Q115" s="103"/>
      <c r="R115" s="104"/>
      <c r="S115" s="104"/>
      <c r="T115" s="100"/>
      <c r="U115" s="100"/>
    </row>
    <row r="116" spans="10:21">
      <c r="J116" s="101"/>
      <c r="L116" s="101"/>
      <c r="O116" s="102"/>
      <c r="P116" s="100"/>
      <c r="Q116" s="103"/>
      <c r="R116" s="104"/>
      <c r="S116" s="104"/>
      <c r="T116" s="100"/>
      <c r="U116" s="100"/>
    </row>
    <row r="117" spans="10:21">
      <c r="J117" s="101"/>
      <c r="L117" s="101"/>
      <c r="O117" s="102"/>
      <c r="P117" s="100"/>
      <c r="Q117" s="103"/>
      <c r="R117" s="104"/>
      <c r="S117" s="104"/>
      <c r="T117" s="100"/>
      <c r="U117" s="100"/>
    </row>
    <row r="118" spans="10:21">
      <c r="J118" s="101"/>
      <c r="L118" s="101"/>
      <c r="O118" s="102"/>
      <c r="P118" s="100"/>
      <c r="Q118" s="103"/>
      <c r="R118" s="104"/>
      <c r="S118" s="104"/>
      <c r="T118" s="100"/>
      <c r="U118" s="100"/>
    </row>
    <row r="119" spans="10:21">
      <c r="J119" s="101"/>
      <c r="L119" s="101"/>
      <c r="O119" s="102"/>
      <c r="P119" s="100"/>
      <c r="Q119" s="103"/>
      <c r="R119" s="104"/>
      <c r="S119" s="104"/>
      <c r="T119" s="100"/>
      <c r="U119" s="100"/>
    </row>
    <row r="120" spans="10:21">
      <c r="J120" s="101"/>
      <c r="L120" s="101"/>
      <c r="O120" s="102"/>
      <c r="P120" s="100"/>
      <c r="Q120" s="103"/>
      <c r="R120" s="104"/>
      <c r="S120" s="104"/>
      <c r="T120" s="100"/>
      <c r="U120" s="100"/>
    </row>
    <row r="121" spans="10:21">
      <c r="J121" s="101"/>
      <c r="L121" s="101"/>
      <c r="O121" s="102"/>
      <c r="P121" s="100"/>
      <c r="Q121" s="103"/>
      <c r="R121" s="104"/>
      <c r="S121" s="104"/>
      <c r="T121" s="100"/>
      <c r="U121" s="100"/>
    </row>
    <row r="122" spans="10:21">
      <c r="J122" s="101"/>
      <c r="L122" s="101"/>
      <c r="O122" s="102"/>
      <c r="P122" s="100"/>
      <c r="Q122" s="103"/>
      <c r="R122" s="104"/>
      <c r="S122" s="104"/>
      <c r="T122" s="100"/>
      <c r="U122" s="100"/>
    </row>
    <row r="123" spans="10:21">
      <c r="J123" s="101"/>
      <c r="L123" s="101"/>
      <c r="O123" s="102"/>
      <c r="P123" s="100"/>
      <c r="Q123" s="103"/>
      <c r="R123" s="104"/>
      <c r="S123" s="104"/>
      <c r="T123" s="100"/>
      <c r="U123" s="100"/>
    </row>
    <row r="124" spans="10:21">
      <c r="J124" s="101"/>
      <c r="L124" s="101"/>
      <c r="O124" s="102"/>
      <c r="P124" s="100"/>
      <c r="Q124" s="103"/>
      <c r="R124" s="104"/>
      <c r="S124" s="104"/>
      <c r="T124" s="100"/>
      <c r="U124" s="100"/>
    </row>
    <row r="125" spans="10:21">
      <c r="J125" s="101"/>
      <c r="L125" s="101"/>
      <c r="O125" s="102"/>
      <c r="P125" s="100"/>
      <c r="Q125" s="103"/>
      <c r="R125" s="104"/>
      <c r="S125" s="104"/>
      <c r="T125" s="100"/>
      <c r="U125" s="100"/>
    </row>
    <row r="126" spans="10:21">
      <c r="J126" s="101"/>
      <c r="L126" s="101"/>
      <c r="O126" s="102"/>
      <c r="P126" s="100"/>
      <c r="Q126" s="103"/>
      <c r="R126" s="104"/>
      <c r="S126" s="104"/>
      <c r="T126" s="100"/>
      <c r="U126" s="100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A450-0C70-403A-A5ED-689960EC612E}">
  <sheetPr codeName="Sheet6"/>
  <dimension ref="A1:U123"/>
  <sheetViews>
    <sheetView topLeftCell="A8" zoomScale="61" workbookViewId="0">
      <selection activeCell="S24" sqref="S24"/>
    </sheetView>
  </sheetViews>
  <sheetFormatPr defaultRowHeight="14.5"/>
  <cols>
    <col min="1" max="4" width="8.81640625" style="90" bestFit="1" customWidth="1"/>
    <col min="5" max="5" width="11.36328125" style="90" bestFit="1" customWidth="1"/>
    <col min="6" max="6" width="12.08984375" style="90" bestFit="1" customWidth="1"/>
    <col min="7" max="7" width="11.90625" style="90" bestFit="1" customWidth="1"/>
    <col min="8" max="9" width="8.7265625" style="90"/>
    <col min="10" max="10" width="10.453125" style="90" bestFit="1" customWidth="1"/>
    <col min="11" max="21" width="8.7265625" style="90"/>
  </cols>
  <sheetData>
    <row r="1" spans="1:10" ht="14.5" customHeight="1">
      <c r="B1" s="304" t="s">
        <v>347</v>
      </c>
      <c r="C1" s="304"/>
      <c r="D1" s="304"/>
      <c r="E1" s="304"/>
      <c r="F1" s="304"/>
      <c r="G1" s="304"/>
    </row>
    <row r="2" spans="1:10" ht="15" customHeight="1" thickBot="1">
      <c r="B2" s="305"/>
      <c r="C2" s="305"/>
      <c r="D2" s="305"/>
      <c r="E2" s="305"/>
      <c r="F2" s="305"/>
      <c r="G2" s="305"/>
    </row>
    <row r="3" spans="1:10" ht="15" thickBot="1">
      <c r="A3" s="90" t="s">
        <v>33</v>
      </c>
      <c r="B3" s="99" t="s">
        <v>303</v>
      </c>
      <c r="C3" s="99" t="s">
        <v>319</v>
      </c>
      <c r="D3" s="99" t="s">
        <v>337</v>
      </c>
      <c r="E3" s="99" t="s">
        <v>338</v>
      </c>
      <c r="F3" s="99" t="s">
        <v>339</v>
      </c>
      <c r="G3" s="99" t="s">
        <v>346</v>
      </c>
      <c r="I3" s="109"/>
    </row>
    <row r="4" spans="1:10" ht="15">
      <c r="A4" s="90">
        <f>'Bootstraping-Linear_Interpol'!N7</f>
        <v>7</v>
      </c>
      <c r="B4" s="90">
        <f>A4/360</f>
        <v>1.9444444444444445E-2</v>
      </c>
      <c r="C4" s="110">
        <f>'Bootstraping-Linear_Interpol'!R7</f>
        <v>1.0001007323682103</v>
      </c>
      <c r="D4" s="100">
        <f>-LN(C4)/B4</f>
        <v>-5.1802608880784718E-3</v>
      </c>
      <c r="E4" s="116" cm="1">
        <f t="array" ref="E4">NelsonSiegelPrice($J$4,$J$5,$J$6,$J$7,B4)</f>
        <v>1.0000530397785674</v>
      </c>
      <c r="F4" s="110" cm="1">
        <f t="array" ref="F4">NelsonSiegelSpot($J$4,$J$5,$J$6,$J$7,B4)</f>
        <v>-2.7276877032778183E-3</v>
      </c>
      <c r="G4" s="111">
        <f>(C4-E4)^2</f>
        <v>2.2745831068439679E-9</v>
      </c>
      <c r="H4" s="109"/>
      <c r="I4" s="112" t="s">
        <v>542</v>
      </c>
      <c r="J4" s="100">
        <v>1.1170843567446877E-2</v>
      </c>
    </row>
    <row r="5" spans="1:10" ht="15">
      <c r="A5" s="90">
        <f>'Bootstraping-Linear_Interpol'!N8</f>
        <v>29</v>
      </c>
      <c r="B5" s="90">
        <f t="shared" ref="B5:B37" si="0">A5/360</f>
        <v>8.0555555555555561E-2</v>
      </c>
      <c r="C5" s="110">
        <f>'Bootstraping-Linear_Interpol'!R8</f>
        <v>1.0004174519712086</v>
      </c>
      <c r="D5" s="100">
        <f t="shared" ref="D5:D37" si="1">-LN(C5)/B5</f>
        <v>-5.1810810501860391E-3</v>
      </c>
      <c r="E5" s="116" cm="1">
        <f t="array" ref="E5">NelsonSiegelPrice($J$4,$J$5,$J$6,$J$7,B5)</f>
        <v>1.0002234963349286</v>
      </c>
      <c r="F5" s="110" cm="1">
        <f t="array" ref="F5">NelsonSiegelSpot($J$4,$J$5,$J$6,$J$7,B5)</f>
        <v>-2.7741272690900657E-3</v>
      </c>
      <c r="G5" s="111">
        <f t="shared" ref="G5:G37" si="2">(C5-E5)^2</f>
        <v>3.7618788844778324E-8</v>
      </c>
      <c r="H5" s="109"/>
      <c r="I5" s="112" t="s">
        <v>543</v>
      </c>
      <c r="J5" s="100">
        <v>-1.3883361242843246E-2</v>
      </c>
    </row>
    <row r="6" spans="1:10" ht="15">
      <c r="A6" s="90">
        <f>'Bootstraping-Linear_Interpol'!N9</f>
        <v>90</v>
      </c>
      <c r="B6" s="90">
        <f t="shared" si="0"/>
        <v>0.25</v>
      </c>
      <c r="C6" s="110">
        <f>'Bootstraping-Linear_Interpol'!R9</f>
        <v>1.0012966791995634</v>
      </c>
      <c r="D6" s="100">
        <f t="shared" si="1"/>
        <v>-5.1833569484785345E-3</v>
      </c>
      <c r="E6" s="116" cm="1">
        <f t="array" ref="E6">NelsonSiegelPrice($J$4,$J$5,$J$6,$J$7,B6)</f>
        <v>1.0007235921249094</v>
      </c>
      <c r="F6" s="110" cm="1">
        <f t="array" ref="F6">NelsonSiegelSpot($J$4,$J$5,$J$6,$J$7,B6)</f>
        <v>-2.8933218333868065E-3</v>
      </c>
      <c r="G6" s="111">
        <f t="shared" si="2"/>
        <v>3.2842879513558065E-7</v>
      </c>
      <c r="H6" s="109"/>
      <c r="I6" s="112" t="s">
        <v>544</v>
      </c>
      <c r="J6" s="113">
        <v>-4.8607799447655921E-3</v>
      </c>
    </row>
    <row r="7" spans="1:10">
      <c r="A7" s="90">
        <f>'Bootstraping-Linear_Interpol'!N10</f>
        <v>182</v>
      </c>
      <c r="B7" s="90">
        <f t="shared" si="0"/>
        <v>0.50555555555555554</v>
      </c>
      <c r="C7" s="110">
        <f>'Bootstraping-Linear_Interpol'!R10</f>
        <v>1.002625653781553</v>
      </c>
      <c r="D7" s="100">
        <f t="shared" si="1"/>
        <v>-5.1867944992257213E-3</v>
      </c>
      <c r="E7" s="116" cm="1">
        <f t="array" ref="E7">NelsonSiegelPrice($J$4,$J$5,$J$6,$J$7,B7)</f>
        <v>1.0015420210978525</v>
      </c>
      <c r="F7" s="110" cm="1">
        <f t="array" ref="F7">NelsonSiegelSpot($J$4,$J$5,$J$6,$J$7,B7)</f>
        <v>-3.0478023378366298E-3</v>
      </c>
      <c r="G7" s="111">
        <f t="shared" si="2"/>
        <v>1.1742597931839178E-6</v>
      </c>
      <c r="H7" s="109"/>
      <c r="I7" s="112" t="s">
        <v>343</v>
      </c>
      <c r="J7" s="103">
        <v>0.23701571681317693</v>
      </c>
    </row>
    <row r="8" spans="1:10">
      <c r="A8" s="90">
        <f>'Bootstraping-Linear_Interpol'!N11</f>
        <v>366</v>
      </c>
      <c r="B8" s="90">
        <f t="shared" si="0"/>
        <v>1.0166666666666666</v>
      </c>
      <c r="C8" s="110">
        <f>'Bootstraping-Linear_Interpol'!R11</f>
        <v>1.0029493816043955</v>
      </c>
      <c r="D8" s="100">
        <f t="shared" si="1"/>
        <v>-2.8967613557471096E-3</v>
      </c>
      <c r="E8" s="116" cm="1">
        <f t="array" ref="E8">NelsonSiegelPrice($J$4,$J$5,$J$6,$J$7,B8)</f>
        <v>1.0033341954252877</v>
      </c>
      <c r="F8" s="110" cm="1">
        <f t="array" ref="F8">NelsonSiegelSpot($J$4,$J$5,$J$6,$J$7,B8)</f>
        <v>-3.2740812985249429E-3</v>
      </c>
      <c r="G8" s="111">
        <f t="shared" si="2"/>
        <v>1.4808167674963218E-7</v>
      </c>
      <c r="I8" s="114" t="s">
        <v>345</v>
      </c>
      <c r="J8" s="90">
        <f>SUM(G4:G123)^0.5</f>
        <v>1.9438740168103799E-3</v>
      </c>
    </row>
    <row r="9" spans="1:10">
      <c r="A9" s="90">
        <f>'Bootstraping-Linear_Interpol'!N12</f>
        <v>547</v>
      </c>
      <c r="B9" s="90">
        <f t="shared" si="0"/>
        <v>1.5194444444444444</v>
      </c>
      <c r="C9" s="110">
        <f>'Bootstraping-Linear_Interpol'!R12</f>
        <v>1.0049578930286021</v>
      </c>
      <c r="D9" s="100">
        <f t="shared" si="1"/>
        <v>-3.2549022555051041E-3</v>
      </c>
      <c r="E9" s="116" cm="1">
        <f t="array" ref="E9">NelsonSiegelPrice($J$4,$J$5,$J$6,$J$7,B9)</f>
        <v>1.0051837486968751</v>
      </c>
      <c r="F9" s="110" cm="1">
        <f t="array" ref="F9">NelsonSiegelSpot($J$4,$J$5,$J$6,$J$7,B9)</f>
        <v>-3.4027958981999438E-3</v>
      </c>
      <c r="G9" s="111">
        <f t="shared" si="2"/>
        <v>5.1010782891063767E-8</v>
      </c>
    </row>
    <row r="10" spans="1:10">
      <c r="A10" s="90">
        <f>'Bootstraping-Linear_Interpol'!N13</f>
        <v>733</v>
      </c>
      <c r="B10" s="90">
        <f t="shared" si="0"/>
        <v>2.036111111111111</v>
      </c>
      <c r="C10" s="110">
        <f>'Bootstraping-Linear_Interpol'!R13</f>
        <v>1.0073760986995521</v>
      </c>
      <c r="D10" s="100">
        <f t="shared" si="1"/>
        <v>-3.609345422164898E-3</v>
      </c>
      <c r="E10" s="116" cm="1">
        <f t="array" ref="E10">NelsonSiegelPrice($J$4,$J$5,$J$6,$J$7,B10)</f>
        <v>1.0070557814885541</v>
      </c>
      <c r="F10" s="110" cm="1">
        <f t="array" ref="F10">NelsonSiegelSpot($J$4,$J$5,$J$6,$J$7,B10)</f>
        <v>-3.4531543471806657E-3</v>
      </c>
      <c r="G10" s="111">
        <f t="shared" si="2"/>
        <v>1.0260311566154446E-7</v>
      </c>
    </row>
    <row r="11" spans="1:10">
      <c r="A11" s="90">
        <f>'Bootstraping-Linear_Interpol'!N14</f>
        <v>912</v>
      </c>
      <c r="B11" s="90">
        <f t="shared" si="0"/>
        <v>2.5333333333333332</v>
      </c>
      <c r="C11" s="110">
        <f>'Bootstraping-Linear_Interpol'!R14</f>
        <v>1.0088897868252849</v>
      </c>
      <c r="D11" s="100">
        <f t="shared" si="1"/>
        <v>-3.4936205138086374E-3</v>
      </c>
      <c r="E11" s="116" cm="1">
        <f t="array" ref="E11">NelsonSiegelPrice($J$4,$J$5,$J$6,$J$7,B11)</f>
        <v>1.00874162037462</v>
      </c>
      <c r="F11" s="110" cm="1">
        <f t="array" ref="F11">NelsonSiegelSpot($J$4,$J$5,$J$6,$J$7,B11)</f>
        <v>-3.4356448531029475E-3</v>
      </c>
      <c r="G11" s="111">
        <f t="shared" si="2"/>
        <v>2.1953297102617625E-8</v>
      </c>
    </row>
    <row r="12" spans="1:10">
      <c r="A12" s="90">
        <f>'Bootstraping-Linear_Interpol'!N15</f>
        <v>1097</v>
      </c>
      <c r="B12" s="90">
        <f t="shared" si="0"/>
        <v>3.0472222222222221</v>
      </c>
      <c r="C12" s="110">
        <f>'Bootstraping-Linear_Interpol'!R15</f>
        <v>1.0103164388058028</v>
      </c>
      <c r="D12" s="100">
        <f t="shared" si="1"/>
        <v>-3.3681782236432648E-3</v>
      </c>
      <c r="E12" s="116" cm="1">
        <f t="array" ref="E12">NelsonSiegelPrice($J$4,$J$5,$J$6,$J$7,B12)</f>
        <v>1.010293540841666</v>
      </c>
      <c r="F12" s="110" cm="1">
        <f t="array" ref="F12">NelsonSiegelSpot($J$4,$J$5,$J$6,$J$7,B12)</f>
        <v>-3.3607404964298496E-3</v>
      </c>
      <c r="G12" s="111">
        <f t="shared" si="2"/>
        <v>5.2431676160981842E-10</v>
      </c>
    </row>
    <row r="13" spans="1:10">
      <c r="A13" s="90">
        <f>'Bootstraping-Linear_Interpol'!N16</f>
        <v>1279</v>
      </c>
      <c r="B13" s="90">
        <f t="shared" si="0"/>
        <v>3.5527777777777776</v>
      </c>
      <c r="C13" s="110">
        <f>'Bootstraping-Linear_Interpol'!R16</f>
        <v>1.0114281748724145</v>
      </c>
      <c r="D13" s="100">
        <f t="shared" si="1"/>
        <v>-3.1984456348546314E-3</v>
      </c>
      <c r="E13" s="116" cm="1">
        <f t="array" ref="E13">NelsonSiegelPrice($J$4,$J$5,$J$6,$J$7,B13)</f>
        <v>1.0115783779645566</v>
      </c>
      <c r="F13" s="110" cm="1">
        <f t="array" ref="F13">NelsonSiegelSpot($J$4,$J$5,$J$6,$J$7,B13)</f>
        <v>-3.2402424833093959E-3</v>
      </c>
      <c r="G13" s="111">
        <f t="shared" si="2"/>
        <v>2.2560968889044325E-8</v>
      </c>
    </row>
    <row r="14" spans="1:10">
      <c r="A14" s="90">
        <f>'Bootstraping-Linear_Interpol'!N17</f>
        <v>1461</v>
      </c>
      <c r="B14" s="90">
        <f t="shared" si="0"/>
        <v>4.0583333333333336</v>
      </c>
      <c r="C14" s="110">
        <f>'Bootstraping-Linear_Interpol'!R17</f>
        <v>1.0123536413378431</v>
      </c>
      <c r="D14" s="100">
        <f t="shared" si="1"/>
        <v>-3.0253694747065167E-3</v>
      </c>
      <c r="E14" s="116" cm="1">
        <f t="array" ref="E14">NelsonSiegelPrice($J$4,$J$5,$J$6,$J$7,B14)</f>
        <v>1.0125844764342176</v>
      </c>
      <c r="F14" s="110" cm="1">
        <f t="array" ref="F14">NelsonSiegelSpot($J$4,$J$5,$J$6,$J$7,B14)</f>
        <v>-3.0815482628628326E-3</v>
      </c>
      <c r="G14" s="111">
        <f t="shared" si="2"/>
        <v>5.3284841718201052E-8</v>
      </c>
    </row>
    <row r="15" spans="1:10">
      <c r="A15" s="90">
        <f>'Bootstraping-Linear_Interpol'!N18</f>
        <v>1643</v>
      </c>
      <c r="B15" s="90">
        <f t="shared" si="0"/>
        <v>4.5638888888888891</v>
      </c>
      <c r="C15" s="110">
        <f>'Bootstraping-Linear_Interpol'!R18</f>
        <v>1.0129984030329278</v>
      </c>
      <c r="D15" s="100">
        <f t="shared" si="1"/>
        <v>-2.8297465400222823E-3</v>
      </c>
      <c r="E15" s="116" cm="1">
        <f t="array" ref="E15">NelsonSiegelPrice($J$4,$J$5,$J$6,$J$7,B15)</f>
        <v>1.0132849634982091</v>
      </c>
      <c r="F15" s="110" cm="1">
        <f t="array" ref="F15">NelsonSiegelSpot($J$4,$J$5,$J$6,$J$7,B15)</f>
        <v>-2.8917207544099212E-3</v>
      </c>
      <c r="G15" s="111">
        <f t="shared" si="2"/>
        <v>8.2116900262237868E-8</v>
      </c>
    </row>
    <row r="16" spans="1:10">
      <c r="A16" s="90">
        <f>'Bootstraping-Linear_Interpol'!N19</f>
        <v>1827</v>
      </c>
      <c r="B16" s="90">
        <f t="shared" si="0"/>
        <v>5.0750000000000002</v>
      </c>
      <c r="C16" s="110">
        <f>'Bootstraping-Linear_Interpol'!R19</f>
        <v>1.0134263697880397</v>
      </c>
      <c r="D16" s="100">
        <f t="shared" si="1"/>
        <v>-2.6279871579032231E-3</v>
      </c>
      <c r="E16" s="116" cm="1">
        <f t="array" ref="E16">NelsonSiegelPrice($J$4,$J$5,$J$6,$J$7,B16)</f>
        <v>1.013664933125209</v>
      </c>
      <c r="F16" s="110" cm="1">
        <f t="array" ref="F16">NelsonSiegelSpot($J$4,$J$5,$J$6,$J$7,B16)</f>
        <v>-2.6743664741890752E-3</v>
      </c>
      <c r="G16" s="111">
        <f t="shared" si="2"/>
        <v>5.6912465841361433E-8</v>
      </c>
    </row>
    <row r="17" spans="1:7">
      <c r="A17" s="90">
        <f>'Bootstraping-Linear_Interpol'!N20</f>
        <v>2008</v>
      </c>
      <c r="B17" s="90">
        <f t="shared" si="0"/>
        <v>5.5777777777777775</v>
      </c>
      <c r="C17" s="110">
        <f>'Bootstraping-Linear_Interpol'!R20</f>
        <v>1.0135216491518062</v>
      </c>
      <c r="D17" s="100">
        <f t="shared" si="1"/>
        <v>-2.4079567164810309E-3</v>
      </c>
      <c r="E17" s="116" cm="1">
        <f t="array" ref="E17">NelsonSiegelPrice($J$4,$J$5,$J$6,$J$7,B17)</f>
        <v>1.0137074719099941</v>
      </c>
      <c r="F17" s="110" cm="1">
        <f t="array" ref="F17">NelsonSiegelSpot($J$4,$J$5,$J$6,$J$7,B17)</f>
        <v>-2.4408240790031225E-3</v>
      </c>
      <c r="G17" s="111">
        <f t="shared" si="2"/>
        <v>3.4530097460560057E-8</v>
      </c>
    </row>
    <row r="18" spans="1:7">
      <c r="A18" s="90">
        <f>'Bootstraping-Linear_Interpol'!N21</f>
        <v>2192</v>
      </c>
      <c r="B18" s="90">
        <f t="shared" si="0"/>
        <v>6.0888888888888886</v>
      </c>
      <c r="C18" s="110">
        <f>'Bootstraping-Linear_Interpol'!R21</f>
        <v>1.0133599501332615</v>
      </c>
      <c r="D18" s="100">
        <f t="shared" si="1"/>
        <v>-2.1796247601355728E-3</v>
      </c>
      <c r="E18" s="116" cm="1">
        <f t="array" ref="E18">NelsonSiegelPrice($J$4,$J$5,$J$6,$J$7,B18)</f>
        <v>1.0134111477012917</v>
      </c>
      <c r="F18" s="110" cm="1">
        <f t="array" ref="F18">NelsonSiegelSpot($J$4,$J$5,$J$6,$J$7,B18)</f>
        <v>-2.1879220559907803E-3</v>
      </c>
      <c r="G18" s="111">
        <f t="shared" si="2"/>
        <v>2.6211909722050395E-9</v>
      </c>
    </row>
    <row r="19" spans="1:7">
      <c r="A19" s="90">
        <f>'Bootstraping-Linear_Interpol'!N22</f>
        <v>2373</v>
      </c>
      <c r="B19" s="90">
        <f t="shared" si="0"/>
        <v>6.5916666666666668</v>
      </c>
      <c r="C19" s="110">
        <f>'Bootstraping-Linear_Interpol'!R22</f>
        <v>1.0128305336924632</v>
      </c>
      <c r="D19" s="100">
        <f t="shared" si="1"/>
        <v>-1.9340965492724504E-3</v>
      </c>
      <c r="E19" s="116" cm="1">
        <f t="array" ref="E19">NelsonSiegelPrice($J$4,$J$5,$J$6,$J$7,B19)</f>
        <v>1.0127880279521186</v>
      </c>
      <c r="F19" s="110" cm="1">
        <f t="array" ref="F19">NelsonSiegelSpot($J$4,$J$5,$J$6,$J$7,B19)</f>
        <v>-1.9277296984369675E-3</v>
      </c>
      <c r="G19" s="111">
        <f t="shared" si="2"/>
        <v>1.8067379622416573E-9</v>
      </c>
    </row>
    <row r="20" spans="1:7">
      <c r="A20" s="90">
        <f>'Bootstraping-Linear_Interpol'!N23</f>
        <v>2557</v>
      </c>
      <c r="B20" s="90">
        <f t="shared" si="0"/>
        <v>7.1027777777777779</v>
      </c>
      <c r="C20" s="110">
        <f>'Bootstraping-Linear_Interpol'!R23</f>
        <v>1.0119976269221789</v>
      </c>
      <c r="D20" s="100">
        <f t="shared" si="1"/>
        <v>-1.6790932079107396E-3</v>
      </c>
      <c r="E20" s="116" cm="1">
        <f t="array" ref="E20">NelsonSiegelPrice($J$4,$J$5,$J$6,$J$7,B20)</f>
        <v>1.0118241125311782</v>
      </c>
      <c r="F20" s="110" cm="1">
        <f t="array" ref="F20">NelsonSiegelSpot($J$4,$J$5,$J$6,$J$7,B20)</f>
        <v>-1.6549516655437891E-3</v>
      </c>
      <c r="G20" s="111">
        <f t="shared" si="2"/>
        <v>3.0107243884330621E-8</v>
      </c>
    </row>
    <row r="21" spans="1:7">
      <c r="A21" s="90">
        <f>'Bootstraping-Linear_Interpol'!N24</f>
        <v>2738</v>
      </c>
      <c r="B21" s="90">
        <f t="shared" si="0"/>
        <v>7.6055555555555552</v>
      </c>
      <c r="C21" s="110">
        <f>'Bootstraping-Linear_Interpol'!R24</f>
        <v>1.0107653473369573</v>
      </c>
      <c r="D21" s="100">
        <f t="shared" si="1"/>
        <v>-1.4078936710208722E-3</v>
      </c>
      <c r="E21" s="116" cm="1">
        <f t="array" ref="E21">NelsonSiegelPrice($J$4,$J$5,$J$6,$J$7,B21)</f>
        <v>1.010560538498869</v>
      </c>
      <c r="F21" s="110" cm="1">
        <f t="array" ref="F21">NelsonSiegelSpot($J$4,$J$5,$J$6,$J$7,B21)</f>
        <v>-1.3812489357221543E-3</v>
      </c>
      <c r="G21" s="111">
        <f t="shared" si="2"/>
        <v>4.1946660159111125E-8</v>
      </c>
    </row>
    <row r="22" spans="1:7">
      <c r="A22" s="90">
        <f>'Bootstraping-Linear_Interpol'!N25</f>
        <v>2924</v>
      </c>
      <c r="B22" s="90">
        <f t="shared" si="0"/>
        <v>8.1222222222222218</v>
      </c>
      <c r="C22" s="110">
        <f>'Bootstraping-Linear_Interpol'!R25</f>
        <v>1.0092006157390916</v>
      </c>
      <c r="D22" s="100">
        <f t="shared" si="1"/>
        <v>-1.1275913980111159E-3</v>
      </c>
      <c r="E22" s="116" cm="1">
        <f t="array" ref="E22">NelsonSiegelPrice($J$4,$J$5,$J$6,$J$7,B22)</f>
        <v>1.0089488439784389</v>
      </c>
      <c r="F22" s="110" cm="1">
        <f t="array" ref="F22">NelsonSiegelSpot($J$4,$J$5,$J$6,$J$7,B22)</f>
        <v>-1.0968722744100496E-3</v>
      </c>
      <c r="G22" s="111">
        <f t="shared" si="2"/>
        <v>6.3389019462170136E-8</v>
      </c>
    </row>
    <row r="23" spans="1:7">
      <c r="A23" s="90">
        <f>'Bootstraping-Linear_Interpol'!N26</f>
        <v>3106</v>
      </c>
      <c r="B23" s="90">
        <f t="shared" si="0"/>
        <v>8.6277777777777782</v>
      </c>
      <c r="C23" s="110">
        <f>'Bootstraping-Linear_Interpol'!R26</f>
        <v>1.0073522800434731</v>
      </c>
      <c r="D23" s="100">
        <f t="shared" si="1"/>
        <v>-8.4904641418976419E-4</v>
      </c>
      <c r="E23" s="116" cm="1">
        <f t="array" ref="E23">NelsonSiegelPrice($J$4,$J$5,$J$6,$J$7,B23)</f>
        <v>1.0070786678118997</v>
      </c>
      <c r="F23" s="110" cm="1">
        <f t="array" ref="F23">NelsonSiegelSpot($J$4,$J$5,$J$6,$J$7,B23)</f>
        <v>-8.1756065489463228E-4</v>
      </c>
      <c r="G23" s="111">
        <f t="shared" si="2"/>
        <v>7.4863653266579016E-8</v>
      </c>
    </row>
    <row r="24" spans="1:7">
      <c r="A24" s="90">
        <f>'Bootstraping-Linear_Interpol'!N27</f>
        <v>3288</v>
      </c>
      <c r="B24" s="90">
        <f t="shared" si="0"/>
        <v>9.1333333333333329</v>
      </c>
      <c r="C24" s="110">
        <f>'Bootstraping-Linear_Interpol'!R27</f>
        <v>1.0052078352548612</v>
      </c>
      <c r="D24" s="100">
        <f t="shared" si="1"/>
        <v>-5.6872131889342567E-4</v>
      </c>
      <c r="E24" s="116" cm="1">
        <f t="array" ref="E24">NelsonSiegelPrice($J$4,$J$5,$J$6,$J$7,B24)</f>
        <v>1.0049338180052567</v>
      </c>
      <c r="F24" s="110" cm="1">
        <f t="array" ref="F24">NelsonSiegelSpot($J$4,$J$5,$J$6,$J$7,B24)</f>
        <v>-5.3887079688667795E-4</v>
      </c>
      <c r="G24" s="111">
        <f t="shared" si="2"/>
        <v>7.5085453080825276E-8</v>
      </c>
    </row>
    <row r="25" spans="1:7">
      <c r="A25" s="90">
        <f>'Bootstraping-Linear_Interpol'!N28</f>
        <v>3470</v>
      </c>
      <c r="B25" s="90">
        <f t="shared" si="0"/>
        <v>9.6388888888888893</v>
      </c>
      <c r="C25" s="110">
        <f>'Bootstraping-Linear_Interpol'!R28</f>
        <v>1.0027428937830463</v>
      </c>
      <c r="D25" s="100">
        <f t="shared" si="1"/>
        <v>-2.8417579516050136E-4</v>
      </c>
      <c r="E25" s="116" cm="1">
        <f t="array" ref="E25">NelsonSiegelPrice($J$4,$J$5,$J$6,$J$7,B25)</f>
        <v>1.0025302441231716</v>
      </c>
      <c r="F25" s="110" cm="1">
        <f t="array" ref="F25">NelsonSiegelSpot($J$4,$J$5,$J$6,$J$7,B25)</f>
        <v>-2.6217217296198395E-4</v>
      </c>
      <c r="G25" s="111">
        <f t="shared" si="2"/>
        <v>4.5219877844810334E-8</v>
      </c>
    </row>
    <row r="26" spans="1:7">
      <c r="A26" s="90">
        <f>'Bootstraping-Linear_Interpol'!N29</f>
        <v>3653</v>
      </c>
      <c r="B26" s="90">
        <f t="shared" si="0"/>
        <v>10.147222222222222</v>
      </c>
      <c r="C26" s="110">
        <f>'Bootstraping-Linear_Interpol'!R29</f>
        <v>1.0000051136254562</v>
      </c>
      <c r="D26" s="100">
        <f t="shared" si="1"/>
        <v>-5.0394209071829353E-7</v>
      </c>
      <c r="E26" s="116" cm="1">
        <f t="array" ref="E26">NelsonSiegelPrice($J$4,$J$5,$J$6,$J$7,B26)</f>
        <v>0.9998691244964979</v>
      </c>
      <c r="F26" s="110" cm="1">
        <f t="array" ref="F26">NelsonSiegelSpot($J$4,$J$5,$J$6,$J$7,B26)</f>
        <v>1.2898512083585667E-5</v>
      </c>
      <c r="G26" s="111">
        <f t="shared" si="2"/>
        <v>1.8493043194834839E-8</v>
      </c>
    </row>
    <row r="27" spans="1:7">
      <c r="A27" s="90">
        <f>'Bootstraping-Linear_Interpol'!N30</f>
        <v>3834</v>
      </c>
      <c r="B27" s="90">
        <f t="shared" si="0"/>
        <v>10.65</v>
      </c>
      <c r="C27" s="110">
        <f>'Bootstraping-Linear_Interpol'!R30</f>
        <v>0.9970925583720528</v>
      </c>
      <c r="D27" s="100">
        <f t="shared" si="1"/>
        <v>2.733968494530072E-4</v>
      </c>
      <c r="E27" s="116" cm="1">
        <f t="array" ref="E27">NelsonSiegelPrice($J$4,$J$5,$J$6,$J$7,B27)</f>
        <v>0.99701245461289456</v>
      </c>
      <c r="F27" s="110" cm="1">
        <f t="array" ref="F27">NelsonSiegelSpot($J$4,$J$5,$J$6,$J$7,B27)</f>
        <v>2.8094056424058029E-4</v>
      </c>
      <c r="G27" s="111">
        <f t="shared" si="2"/>
        <v>6.4166122312804074E-9</v>
      </c>
    </row>
    <row r="28" spans="1:7">
      <c r="A28" s="90">
        <f>'Bootstraping-Linear_Interpol'!N31</f>
        <v>4018</v>
      </c>
      <c r="B28" s="90">
        <f t="shared" si="0"/>
        <v>11.161111111111111</v>
      </c>
      <c r="C28" s="110">
        <f>'Bootstraping-Linear_Interpol'!R31</f>
        <v>0.99385361452465637</v>
      </c>
      <c r="D28" s="100">
        <f t="shared" si="1"/>
        <v>5.5239592180615529E-4</v>
      </c>
      <c r="E28" s="116" cm="1">
        <f t="array" ref="E28">NelsonSiegelPrice($J$4,$J$5,$J$6,$J$7,B28)</f>
        <v>0.99389607043133188</v>
      </c>
      <c r="F28" s="110" cm="1">
        <f t="array" ref="F28">NelsonSiegelSpot($J$4,$J$5,$J$6,$J$7,B28)</f>
        <v>5.4856856465226541E-4</v>
      </c>
      <c r="G28" s="111">
        <f t="shared" si="2"/>
        <v>1.8025040116395508E-9</v>
      </c>
    </row>
    <row r="29" spans="1:7">
      <c r="A29" s="90">
        <f>'Bootstraping-Linear_Interpol'!N32</f>
        <v>4199</v>
      </c>
      <c r="B29" s="90">
        <f t="shared" si="0"/>
        <v>11.66388888888889</v>
      </c>
      <c r="C29" s="110">
        <f>'Bootstraping-Linear_Interpol'!R32</f>
        <v>0.99039532379994277</v>
      </c>
      <c r="D29" s="100">
        <f t="shared" si="1"/>
        <v>8.2743403007372839E-4</v>
      </c>
      <c r="E29" s="116" cm="1">
        <f t="array" ref="E29">NelsonSiegelPrice($J$4,$J$5,$J$6,$J$7,B29)</f>
        <v>0.99063756190357966</v>
      </c>
      <c r="F29" s="110" cm="1">
        <f t="array" ref="F29">NelsonSiegelSpot($J$4,$J$5,$J$6,$J$7,B29)</f>
        <v>8.0646697688495524E-4</v>
      </c>
      <c r="G29" s="111">
        <f t="shared" si="2"/>
        <v>5.8679298853593066E-8</v>
      </c>
    </row>
    <row r="30" spans="1:7">
      <c r="A30" s="90">
        <f>'Bootstraping-Linear_Interpol'!N33</f>
        <v>4383</v>
      </c>
      <c r="B30" s="90">
        <f t="shared" si="0"/>
        <v>12.175000000000001</v>
      </c>
      <c r="C30" s="110">
        <f>'Bootstraping-Linear_Interpol'!R33</f>
        <v>0.98679020693532449</v>
      </c>
      <c r="D30" s="100">
        <f t="shared" si="1"/>
        <v>1.0922232803677284E-3</v>
      </c>
      <c r="E30" s="116" cm="1">
        <f t="array" ref="E30">NelsonSiegelPrice($J$4,$J$5,$J$6,$J$7,B30)</f>
        <v>0.98714476004637808</v>
      </c>
      <c r="F30" s="110" cm="1">
        <f t="array" ref="F30">NelsonSiegelSpot($J$4,$J$5,$J$6,$J$7,B30)</f>
        <v>1.0627173379474959E-3</v>
      </c>
      <c r="G30" s="111">
        <f t="shared" si="2"/>
        <v>1.2570790855777963E-7</v>
      </c>
    </row>
    <row r="31" spans="1:7">
      <c r="A31" s="90">
        <f>'Bootstraping-Linear_Interpol'!N34</f>
        <v>4565</v>
      </c>
      <c r="B31" s="90">
        <f t="shared" si="0"/>
        <v>12.680555555555555</v>
      </c>
      <c r="C31" s="110">
        <f>'Bootstraping-Linear_Interpol'!R34</f>
        <v>0.98333474078483463</v>
      </c>
      <c r="D31" s="100">
        <f t="shared" si="1"/>
        <v>1.3253115714974512E-3</v>
      </c>
      <c r="E31" s="116" cm="1">
        <f t="array" ref="E31">NelsonSiegelPrice($J$4,$J$5,$J$6,$J$7,B31)</f>
        <v>0.98352619083046666</v>
      </c>
      <c r="F31" s="110" cm="1">
        <f t="array" ref="F31">NelsonSiegelSpot($J$4,$J$5,$J$6,$J$7,B31)</f>
        <v>1.3099592683914146E-3</v>
      </c>
      <c r="G31" s="111">
        <f t="shared" si="2"/>
        <v>3.6653119972508516E-8</v>
      </c>
    </row>
    <row r="32" spans="1:7">
      <c r="A32" s="90">
        <f>'Bootstraping-Linear_Interpol'!N35</f>
        <v>4751</v>
      </c>
      <c r="B32" s="90">
        <f t="shared" si="0"/>
        <v>13.197222222222223</v>
      </c>
      <c r="C32" s="110">
        <f>'Bootstraping-Linear_Interpol'!R35</f>
        <v>0.97957089337625958</v>
      </c>
      <c r="D32" s="100">
        <f t="shared" si="1"/>
        <v>1.5640160302014187E-3</v>
      </c>
      <c r="E32" s="116" cm="1">
        <f t="array" ref="E32">NelsonSiegelPrice($J$4,$J$5,$J$6,$J$7,B32)</f>
        <v>0.97967479940999447</v>
      </c>
      <c r="F32" s="110" cm="1">
        <f t="array" ref="F32">NelsonSiegelSpot($J$4,$J$5,$J$6,$J$7,B32)</f>
        <v>1.5559789309203787E-3</v>
      </c>
      <c r="G32" s="111">
        <f t="shared" si="2"/>
        <v>1.0796463846516247E-8</v>
      </c>
    </row>
    <row r="33" spans="1:7">
      <c r="A33" s="90">
        <f>'Bootstraping-Linear_Interpol'!N36</f>
        <v>4930</v>
      </c>
      <c r="B33" s="90">
        <f t="shared" si="0"/>
        <v>13.694444444444445</v>
      </c>
      <c r="C33" s="110">
        <f>'Bootstraping-Linear_Interpol'!R36</f>
        <v>0.97572820524914383</v>
      </c>
      <c r="D33" s="100">
        <f t="shared" si="1"/>
        <v>1.7942465413126594E-3</v>
      </c>
      <c r="E33" s="116" cm="1">
        <f t="array" ref="E33">NelsonSiegelPrice($J$4,$J$5,$J$6,$J$7,B33)</f>
        <v>0.97583547389275394</v>
      </c>
      <c r="F33" s="110" cm="1">
        <f t="array" ref="F33">NelsonSiegelSpot($J$4,$J$5,$J$6,$J$7,B33)</f>
        <v>1.7862191277128285E-3</v>
      </c>
      <c r="G33" s="111">
        <f t="shared" si="2"/>
        <v>1.1506561901951366E-8</v>
      </c>
    </row>
    <row r="34" spans="1:7">
      <c r="A34" s="90">
        <f>'Bootstraping-Linear_Interpol'!N37</f>
        <v>5115</v>
      </c>
      <c r="B34" s="90">
        <f t="shared" si="0"/>
        <v>14.208333333333334</v>
      </c>
      <c r="C34" s="110">
        <f>'Bootstraping-Linear_Interpol'!R37</f>
        <v>0.9715311937408968</v>
      </c>
      <c r="D34" s="100">
        <f t="shared" si="1"/>
        <v>2.0327438243190697E-3</v>
      </c>
      <c r="E34" s="116" cm="1">
        <f t="array" ref="E34">NelsonSiegelPrice($J$4,$J$5,$J$6,$J$7,B34)</f>
        <v>0.97174366942800172</v>
      </c>
      <c r="F34" s="110" cm="1">
        <f t="array" ref="F34">NelsonSiegelSpot($J$4,$J$5,$J$6,$J$7,B34)</f>
        <v>2.0173530004045253E-3</v>
      </c>
      <c r="G34" s="111">
        <f t="shared" si="2"/>
        <v>4.5145917610707131E-8</v>
      </c>
    </row>
    <row r="35" spans="1:7">
      <c r="A35" s="90">
        <f>'Bootstraping-Linear_Interpol'!N38</f>
        <v>5297</v>
      </c>
      <c r="B35" s="90">
        <f t="shared" si="0"/>
        <v>14.713888888888889</v>
      </c>
      <c r="C35" s="110">
        <f>'Bootstraping-Linear_Interpol'!R38</f>
        <v>0.96718015777272259</v>
      </c>
      <c r="D35" s="100">
        <f t="shared" si="1"/>
        <v>2.2679588834270781E-3</v>
      </c>
      <c r="E35" s="116" cm="1">
        <f t="array" ref="E35">NelsonSiegelPrice($J$4,$J$5,$J$6,$J$7,B35)</f>
        <v>0.96760763888870216</v>
      </c>
      <c r="F35" s="110" cm="1">
        <f t="array" ref="F35">NelsonSiegelSpot($J$4,$J$5,$J$6,$J$7,B35)</f>
        <v>2.2379267540943654E-3</v>
      </c>
      <c r="G35" s="111">
        <f t="shared" si="2"/>
        <v>1.8274010451913568E-7</v>
      </c>
    </row>
    <row r="36" spans="1:7">
      <c r="A36" s="90">
        <f>'Bootstraping-Linear_Interpol'!N39</f>
        <v>5479</v>
      </c>
      <c r="B36" s="90">
        <f t="shared" si="0"/>
        <v>15.219444444444445</v>
      </c>
      <c r="C36" s="110">
        <f>'Bootstraping-Linear_Interpol'!R39</f>
        <v>0.96323486181379736</v>
      </c>
      <c r="D36" s="100">
        <f t="shared" si="1"/>
        <v>2.4611943935096206E-3</v>
      </c>
      <c r="E36" s="116" cm="1">
        <f t="array" ref="E36">NelsonSiegelPrice($J$4,$J$5,$J$6,$J$7,B36)</f>
        <v>0.9633733410154256</v>
      </c>
      <c r="F36" s="110" cm="1">
        <f t="array" ref="F36">NelsonSiegelSpot($J$4,$J$5,$J$6,$J$7,B36)</f>
        <v>2.4517489502657881E-3</v>
      </c>
      <c r="G36" s="111">
        <f t="shared" si="2"/>
        <v>1.9176489283594412E-8</v>
      </c>
    </row>
    <row r="37" spans="1:7">
      <c r="A37" s="90">
        <f>'Bootstraping-Linear_Interpol'!N40</f>
        <v>5661</v>
      </c>
      <c r="B37" s="90">
        <f t="shared" si="0"/>
        <v>15.725</v>
      </c>
      <c r="C37" s="110">
        <f>'Bootstraping-Linear_Interpol'!R40</f>
        <v>0.95995155192871962</v>
      </c>
      <c r="D37" s="100">
        <f t="shared" si="1"/>
        <v>2.5992027049069008E-3</v>
      </c>
      <c r="E37" s="116" cm="1">
        <f t="array" ref="E37">NelsonSiegelPrice($J$4,$J$5,$J$6,$J$7,B37)</f>
        <v>0.959051369775483</v>
      </c>
      <c r="F37" s="110" cm="1">
        <f t="array" ref="F37">NelsonSiegelSpot($J$4,$J$5,$J$6,$J$7,B37)</f>
        <v>2.6588642004841583E-3</v>
      </c>
      <c r="G37" s="111">
        <f t="shared" si="2"/>
        <v>8.1032790900571262E-7</v>
      </c>
    </row>
    <row r="38" spans="1:7">
      <c r="C38" s="110"/>
      <c r="D38" s="100"/>
      <c r="G38" s="111"/>
    </row>
    <row r="39" spans="1:7">
      <c r="C39" s="110"/>
      <c r="D39" s="100"/>
      <c r="G39" s="111"/>
    </row>
    <row r="40" spans="1:7">
      <c r="C40" s="110"/>
      <c r="D40" s="100"/>
      <c r="G40" s="111"/>
    </row>
    <row r="41" spans="1:7">
      <c r="C41" s="110"/>
      <c r="D41" s="100"/>
      <c r="G41" s="111"/>
    </row>
    <row r="42" spans="1:7">
      <c r="C42" s="110"/>
      <c r="D42" s="100"/>
      <c r="G42" s="111"/>
    </row>
    <row r="43" spans="1:7">
      <c r="C43" s="110"/>
      <c r="D43" s="100"/>
      <c r="G43" s="111"/>
    </row>
    <row r="44" spans="1:7">
      <c r="C44" s="110"/>
      <c r="D44" s="100"/>
      <c r="G44" s="111"/>
    </row>
    <row r="45" spans="1:7">
      <c r="C45" s="110"/>
      <c r="D45" s="100"/>
      <c r="G45" s="111"/>
    </row>
    <row r="46" spans="1:7">
      <c r="C46" s="110"/>
      <c r="D46" s="100"/>
      <c r="G46" s="111"/>
    </row>
    <row r="47" spans="1:7">
      <c r="C47" s="110"/>
      <c r="D47" s="100"/>
      <c r="G47" s="111"/>
    </row>
    <row r="48" spans="1:7">
      <c r="C48" s="110"/>
      <c r="D48" s="100"/>
      <c r="G48" s="111"/>
    </row>
    <row r="49" spans="3:7">
      <c r="C49" s="110"/>
      <c r="D49" s="100"/>
      <c r="G49" s="111"/>
    </row>
    <row r="50" spans="3:7">
      <c r="C50" s="110"/>
      <c r="D50" s="100"/>
      <c r="G50" s="111"/>
    </row>
    <row r="51" spans="3:7">
      <c r="C51" s="110"/>
      <c r="D51" s="100"/>
      <c r="G51" s="111"/>
    </row>
    <row r="52" spans="3:7">
      <c r="C52" s="110"/>
      <c r="D52" s="100"/>
      <c r="G52" s="111"/>
    </row>
    <row r="53" spans="3:7">
      <c r="C53" s="110"/>
      <c r="D53" s="100"/>
      <c r="G53" s="111"/>
    </row>
    <row r="54" spans="3:7">
      <c r="C54" s="110"/>
      <c r="D54" s="100"/>
      <c r="G54" s="111"/>
    </row>
    <row r="55" spans="3:7">
      <c r="C55" s="110"/>
      <c r="D55" s="100"/>
      <c r="G55" s="111"/>
    </row>
    <row r="56" spans="3:7">
      <c r="C56" s="110"/>
      <c r="D56" s="100"/>
      <c r="G56" s="111"/>
    </row>
    <row r="57" spans="3:7">
      <c r="C57" s="110"/>
      <c r="D57" s="100"/>
      <c r="G57" s="111"/>
    </row>
    <row r="58" spans="3:7">
      <c r="C58" s="110"/>
      <c r="D58" s="100"/>
      <c r="G58" s="111"/>
    </row>
    <row r="59" spans="3:7">
      <c r="C59" s="110"/>
      <c r="D59" s="100"/>
      <c r="G59" s="111"/>
    </row>
    <row r="60" spans="3:7">
      <c r="C60" s="110"/>
      <c r="D60" s="100"/>
      <c r="G60" s="111"/>
    </row>
    <row r="61" spans="3:7">
      <c r="C61" s="110"/>
      <c r="D61" s="100"/>
      <c r="G61" s="111"/>
    </row>
    <row r="62" spans="3:7">
      <c r="C62" s="110"/>
      <c r="D62" s="100"/>
      <c r="G62" s="111"/>
    </row>
    <row r="63" spans="3:7">
      <c r="C63" s="110"/>
      <c r="D63" s="100"/>
      <c r="G63" s="111"/>
    </row>
    <row r="64" spans="3:7">
      <c r="C64" s="110"/>
      <c r="D64" s="100"/>
      <c r="G64" s="111"/>
    </row>
    <row r="65" spans="3:7">
      <c r="C65" s="110"/>
      <c r="D65" s="100"/>
      <c r="G65" s="111"/>
    </row>
    <row r="66" spans="3:7">
      <c r="C66" s="110"/>
      <c r="D66" s="100"/>
      <c r="G66" s="111"/>
    </row>
    <row r="67" spans="3:7">
      <c r="C67" s="110"/>
      <c r="D67" s="100"/>
      <c r="G67" s="111"/>
    </row>
    <row r="68" spans="3:7">
      <c r="C68" s="110"/>
      <c r="D68" s="100"/>
      <c r="G68" s="111"/>
    </row>
    <row r="69" spans="3:7">
      <c r="C69" s="110"/>
      <c r="D69" s="100"/>
      <c r="G69" s="111"/>
    </row>
    <row r="70" spans="3:7">
      <c r="C70" s="110"/>
      <c r="D70" s="100"/>
      <c r="G70" s="111"/>
    </row>
    <row r="71" spans="3:7">
      <c r="C71" s="110"/>
      <c r="D71" s="100"/>
      <c r="G71" s="111"/>
    </row>
    <row r="72" spans="3:7">
      <c r="C72" s="110"/>
      <c r="D72" s="100"/>
      <c r="G72" s="111"/>
    </row>
    <row r="73" spans="3:7">
      <c r="C73" s="110"/>
      <c r="D73" s="100"/>
      <c r="G73" s="111"/>
    </row>
    <row r="74" spans="3:7">
      <c r="C74" s="110"/>
      <c r="D74" s="100"/>
      <c r="G74" s="111"/>
    </row>
    <row r="75" spans="3:7">
      <c r="C75" s="110"/>
      <c r="D75" s="100"/>
      <c r="G75" s="111"/>
    </row>
    <row r="76" spans="3:7">
      <c r="C76" s="110"/>
      <c r="D76" s="100"/>
      <c r="G76" s="111"/>
    </row>
    <row r="77" spans="3:7">
      <c r="C77" s="110"/>
      <c r="D77" s="100"/>
      <c r="G77" s="111"/>
    </row>
    <row r="78" spans="3:7">
      <c r="C78" s="110"/>
      <c r="D78" s="100"/>
      <c r="G78" s="111"/>
    </row>
    <row r="79" spans="3:7">
      <c r="C79" s="110"/>
      <c r="D79" s="100"/>
      <c r="G79" s="111"/>
    </row>
    <row r="80" spans="3:7">
      <c r="C80" s="110"/>
      <c r="D80" s="100"/>
      <c r="G80" s="111"/>
    </row>
    <row r="81" spans="3:7">
      <c r="C81" s="110"/>
      <c r="D81" s="100"/>
      <c r="G81" s="111"/>
    </row>
    <row r="82" spans="3:7">
      <c r="C82" s="110"/>
      <c r="D82" s="100"/>
      <c r="G82" s="111"/>
    </row>
    <row r="83" spans="3:7">
      <c r="C83" s="110"/>
      <c r="D83" s="100"/>
      <c r="G83" s="111"/>
    </row>
    <row r="84" spans="3:7">
      <c r="C84" s="110"/>
      <c r="D84" s="100"/>
      <c r="G84" s="111"/>
    </row>
    <row r="85" spans="3:7">
      <c r="C85" s="110"/>
      <c r="D85" s="100"/>
      <c r="G85" s="111"/>
    </row>
    <row r="86" spans="3:7">
      <c r="C86" s="110"/>
      <c r="D86" s="100"/>
      <c r="G86" s="111"/>
    </row>
    <row r="87" spans="3:7">
      <c r="C87" s="110"/>
      <c r="D87" s="100"/>
      <c r="G87" s="111"/>
    </row>
    <row r="88" spans="3:7">
      <c r="C88" s="110"/>
      <c r="D88" s="100"/>
      <c r="G88" s="111"/>
    </row>
    <row r="89" spans="3:7">
      <c r="C89" s="110"/>
      <c r="D89" s="100"/>
      <c r="G89" s="111"/>
    </row>
    <row r="90" spans="3:7">
      <c r="C90" s="110"/>
      <c r="D90" s="100"/>
      <c r="G90" s="111"/>
    </row>
    <row r="91" spans="3:7">
      <c r="C91" s="110"/>
      <c r="D91" s="100"/>
      <c r="G91" s="111"/>
    </row>
    <row r="92" spans="3:7">
      <c r="C92" s="110"/>
      <c r="D92" s="100"/>
      <c r="G92" s="111"/>
    </row>
    <row r="93" spans="3:7">
      <c r="C93" s="110"/>
      <c r="D93" s="100"/>
      <c r="G93" s="111"/>
    </row>
    <row r="94" spans="3:7">
      <c r="C94" s="110"/>
      <c r="D94" s="100"/>
      <c r="G94" s="111"/>
    </row>
    <row r="95" spans="3:7">
      <c r="C95" s="110"/>
      <c r="D95" s="100"/>
      <c r="G95" s="111"/>
    </row>
    <row r="96" spans="3:7">
      <c r="C96" s="110"/>
      <c r="D96" s="100"/>
      <c r="G96" s="111"/>
    </row>
    <row r="97" spans="3:7">
      <c r="C97" s="110"/>
      <c r="D97" s="100"/>
      <c r="G97" s="111"/>
    </row>
    <row r="98" spans="3:7">
      <c r="C98" s="110"/>
      <c r="D98" s="100"/>
      <c r="G98" s="111"/>
    </row>
    <row r="99" spans="3:7">
      <c r="C99" s="110"/>
      <c r="D99" s="100"/>
      <c r="G99" s="111"/>
    </row>
    <row r="100" spans="3:7">
      <c r="C100" s="110"/>
      <c r="D100" s="100"/>
      <c r="G100" s="111"/>
    </row>
    <row r="101" spans="3:7">
      <c r="C101" s="110"/>
      <c r="D101" s="100"/>
      <c r="G101" s="111"/>
    </row>
    <row r="102" spans="3:7">
      <c r="C102" s="110"/>
      <c r="D102" s="100"/>
      <c r="G102" s="111"/>
    </row>
    <row r="103" spans="3:7">
      <c r="C103" s="110"/>
      <c r="D103" s="100"/>
      <c r="G103" s="111"/>
    </row>
    <row r="104" spans="3:7">
      <c r="C104" s="110"/>
      <c r="D104" s="100"/>
      <c r="G104" s="111"/>
    </row>
    <row r="105" spans="3:7">
      <c r="C105" s="110"/>
      <c r="D105" s="100"/>
      <c r="G105" s="111"/>
    </row>
    <row r="106" spans="3:7">
      <c r="C106" s="110"/>
      <c r="D106" s="100"/>
      <c r="G106" s="111"/>
    </row>
    <row r="107" spans="3:7">
      <c r="C107" s="110"/>
      <c r="D107" s="100"/>
      <c r="G107" s="111"/>
    </row>
    <row r="108" spans="3:7">
      <c r="C108" s="110"/>
      <c r="D108" s="100"/>
      <c r="G108" s="111"/>
    </row>
    <row r="109" spans="3:7">
      <c r="C109" s="110"/>
      <c r="D109" s="100"/>
      <c r="G109" s="111"/>
    </row>
    <row r="110" spans="3:7">
      <c r="C110" s="110"/>
      <c r="D110" s="100"/>
      <c r="G110" s="111"/>
    </row>
    <row r="111" spans="3:7">
      <c r="C111" s="110"/>
      <c r="D111" s="100"/>
      <c r="G111" s="111"/>
    </row>
    <row r="112" spans="3:7">
      <c r="C112" s="110"/>
      <c r="D112" s="100"/>
      <c r="G112" s="111"/>
    </row>
    <row r="113" spans="3:7">
      <c r="C113" s="110"/>
      <c r="D113" s="100"/>
      <c r="G113" s="111"/>
    </row>
    <row r="114" spans="3:7">
      <c r="C114" s="110"/>
      <c r="D114" s="100"/>
      <c r="G114" s="111"/>
    </row>
    <row r="115" spans="3:7">
      <c r="C115" s="110"/>
      <c r="D115" s="100"/>
      <c r="G115" s="111"/>
    </row>
    <row r="116" spans="3:7">
      <c r="C116" s="110"/>
      <c r="D116" s="100"/>
      <c r="G116" s="111"/>
    </row>
    <row r="117" spans="3:7">
      <c r="C117" s="110"/>
      <c r="D117" s="100"/>
      <c r="G117" s="111"/>
    </row>
    <row r="118" spans="3:7">
      <c r="C118" s="110"/>
      <c r="D118" s="100"/>
      <c r="G118" s="111"/>
    </row>
    <row r="119" spans="3:7">
      <c r="C119" s="110"/>
      <c r="D119" s="100"/>
      <c r="G119" s="111"/>
    </row>
    <row r="120" spans="3:7">
      <c r="C120" s="110"/>
      <c r="D120" s="100"/>
      <c r="G120" s="111"/>
    </row>
    <row r="121" spans="3:7">
      <c r="C121" s="110"/>
      <c r="D121" s="100"/>
      <c r="G121" s="111"/>
    </row>
    <row r="122" spans="3:7">
      <c r="C122" s="110"/>
      <c r="D122" s="100"/>
      <c r="G122" s="111"/>
    </row>
    <row r="123" spans="3:7">
      <c r="C123" s="110"/>
      <c r="D123" s="100"/>
      <c r="G123" s="111"/>
    </row>
  </sheetData>
  <mergeCells count="1">
    <mergeCell ref="B1:G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15BD7-A825-4E56-9023-2AF3E9ABAFD8}">
  <sheetPr codeName="Sheet7"/>
  <dimension ref="A1:S36"/>
  <sheetViews>
    <sheetView workbookViewId="0">
      <selection activeCell="C7" sqref="C7"/>
    </sheetView>
  </sheetViews>
  <sheetFormatPr defaultRowHeight="14.5"/>
  <cols>
    <col min="3" max="3" width="9.6328125" customWidth="1"/>
    <col min="11" max="11" width="9.453125" bestFit="1" customWidth="1"/>
    <col min="12" max="12" width="12.6328125" bestFit="1" customWidth="1"/>
    <col min="21" max="21" width="9.81640625" bestFit="1" customWidth="1"/>
  </cols>
  <sheetData>
    <row r="1" spans="1:19">
      <c r="A1" t="s">
        <v>313</v>
      </c>
    </row>
    <row r="3" spans="1:19">
      <c r="A3" t="s">
        <v>314</v>
      </c>
      <c r="B3" t="s">
        <v>316</v>
      </c>
    </row>
    <row r="4" spans="1:19">
      <c r="B4" t="s">
        <v>315</v>
      </c>
    </row>
    <row r="5" spans="1:19" ht="15" thickBot="1"/>
    <row r="6" spans="1:19" ht="15" thickBot="1">
      <c r="B6" t="s">
        <v>30</v>
      </c>
      <c r="C6" t="s">
        <v>317</v>
      </c>
      <c r="I6" s="18" t="s">
        <v>348</v>
      </c>
      <c r="J6" s="18" t="s">
        <v>349</v>
      </c>
      <c r="K6" s="18" t="s">
        <v>317</v>
      </c>
      <c r="L6" s="18" t="s">
        <v>350</v>
      </c>
      <c r="M6" s="22" t="s">
        <v>318</v>
      </c>
      <c r="N6" s="22" t="s">
        <v>319</v>
      </c>
      <c r="O6" s="22" t="s">
        <v>353</v>
      </c>
      <c r="P6" s="22" t="s">
        <v>351</v>
      </c>
      <c r="Q6" s="22" t="s">
        <v>352</v>
      </c>
      <c r="R6" s="22" t="s">
        <v>320</v>
      </c>
      <c r="S6" s="22" t="s">
        <v>321</v>
      </c>
    </row>
    <row r="7" spans="1:19">
      <c r="B7">
        <v>1</v>
      </c>
      <c r="C7" s="21">
        <f>EURIBOR!AE75/100</f>
        <v>-2.8799999999999997E-3</v>
      </c>
      <c r="D7">
        <v>360</v>
      </c>
      <c r="I7">
        <v>0</v>
      </c>
      <c r="J7">
        <v>1</v>
      </c>
      <c r="K7">
        <f t="shared" ref="K7:K16" si="0">VLOOKUP(J7,$B$7:$C$21,2)</f>
        <v>-2.8799999999999997E-3</v>
      </c>
      <c r="L7" s="21">
        <f>K7</f>
        <v>-2.8799999999999997E-3</v>
      </c>
      <c r="M7">
        <v>1</v>
      </c>
      <c r="N7" s="4">
        <f>1/(1+L7*M7)</f>
        <v>1.0028883183568678</v>
      </c>
      <c r="O7" s="4">
        <f>N7</f>
        <v>1.0028883183568678</v>
      </c>
      <c r="P7" s="4" t="s">
        <v>305</v>
      </c>
      <c r="Q7" s="4"/>
      <c r="R7" s="4">
        <f>M7*N7</f>
        <v>1.0028883183568678</v>
      </c>
      <c r="S7" s="21">
        <f>(1/N7-1)</f>
        <v>-2.8799999999999937E-3</v>
      </c>
    </row>
    <row r="8" spans="1:19" ht="15" thickBot="1">
      <c r="B8">
        <v>2</v>
      </c>
      <c r="C8" s="21">
        <v>-3.63E-3</v>
      </c>
      <c r="D8">
        <f>D7+360</f>
        <v>720</v>
      </c>
      <c r="G8">
        <v>0</v>
      </c>
      <c r="I8" s="26">
        <v>1</v>
      </c>
      <c r="J8" s="26">
        <v>2</v>
      </c>
      <c r="K8" s="27">
        <f t="shared" si="0"/>
        <v>-3.63E-3</v>
      </c>
      <c r="L8" s="27">
        <f>(1/P8-1)</f>
        <v>-3.6309927521878116E-3</v>
      </c>
      <c r="M8" s="26">
        <v>1</v>
      </c>
      <c r="N8" s="28">
        <f>N7/(1+L8*M8)</f>
        <v>1.0065430689449719</v>
      </c>
      <c r="O8" s="28">
        <f>O7+N8</f>
        <v>2.0094313873018397</v>
      </c>
      <c r="P8" s="4">
        <v>1.0036442249064104</v>
      </c>
      <c r="Q8" s="4">
        <f>K8*(N7*(1+P8))-(1-N7*P8)</f>
        <v>-7.5116699093375882E-4</v>
      </c>
      <c r="R8" s="28">
        <f>R7+N8*M8</f>
        <v>2.0094313873018397</v>
      </c>
      <c r="S8" s="27">
        <f>(N7/N8-1)</f>
        <v>-3.6309927521879226E-3</v>
      </c>
    </row>
    <row r="9" spans="1:19">
      <c r="B9">
        <v>3</v>
      </c>
      <c r="C9" s="21">
        <v>-3.3899999999999998E-3</v>
      </c>
      <c r="D9">
        <f t="shared" ref="D9:D36" si="1">D8+360</f>
        <v>1080</v>
      </c>
      <c r="I9">
        <v>2</v>
      </c>
      <c r="J9">
        <v>3</v>
      </c>
      <c r="K9" s="29">
        <f t="shared" si="0"/>
        <v>-3.3899999999999998E-3</v>
      </c>
      <c r="L9" s="21">
        <f t="shared" ref="L9:L17" si="2">(1/P9-1)</f>
        <v>-2.9122665508310996E-3</v>
      </c>
      <c r="M9">
        <v>1</v>
      </c>
      <c r="N9" s="4">
        <f t="shared" ref="N9:N17" si="3">N8*P9</f>
        <v>1.0094829523808249</v>
      </c>
      <c r="O9" s="4">
        <f>O8+N9</f>
        <v>3.0189143396826648</v>
      </c>
      <c r="P9" s="4">
        <v>1.0029207726192326</v>
      </c>
      <c r="Q9" s="4">
        <f>K9*(O7+N8*(1+P9))-(1-N8*P9)</f>
        <v>-7.5116723069937157E-4</v>
      </c>
      <c r="R9" s="4">
        <f t="shared" ref="R9:R36" si="4">R8+N9*M9</f>
        <v>3.0189143396826648</v>
      </c>
      <c r="S9" s="21">
        <f t="shared" ref="S9:S36" si="5">(N8/N9-1)</f>
        <v>-2.9122665508310996E-3</v>
      </c>
    </row>
    <row r="10" spans="1:19">
      <c r="B10">
        <v>4</v>
      </c>
      <c r="C10" s="21">
        <v>-3.0500000000000002E-3</v>
      </c>
      <c r="D10">
        <f t="shared" si="1"/>
        <v>1440</v>
      </c>
      <c r="I10" s="24">
        <v>3</v>
      </c>
      <c r="J10" s="24">
        <v>4</v>
      </c>
      <c r="K10" s="29">
        <f t="shared" si="0"/>
        <v>-3.0500000000000002E-3</v>
      </c>
      <c r="L10" s="29">
        <f t="shared" si="2"/>
        <v>-2.035280397676531E-3</v>
      </c>
      <c r="M10" s="24">
        <v>1</v>
      </c>
      <c r="N10" s="4">
        <f t="shared" si="3"/>
        <v>1.0115417234219375</v>
      </c>
      <c r="O10" s="30">
        <f>O9+N10</f>
        <v>4.0304560631046025</v>
      </c>
      <c r="P10" s="30">
        <v>1.0020394312120449</v>
      </c>
      <c r="Q10" s="4">
        <f t="shared" ref="Q10:Q16" si="6">K10*(O8+N9*(1+P10))-(1-N9*P10)</f>
        <v>-7.5116757053154612E-4</v>
      </c>
      <c r="R10" s="30">
        <f t="shared" si="4"/>
        <v>4.0304560631046025</v>
      </c>
      <c r="S10" s="29">
        <f t="shared" si="5"/>
        <v>-2.035280397676531E-3</v>
      </c>
    </row>
    <row r="11" spans="1:19">
      <c r="B11">
        <v>5</v>
      </c>
      <c r="C11" s="21">
        <v>-2.66E-3</v>
      </c>
      <c r="D11">
        <f t="shared" si="1"/>
        <v>1800</v>
      </c>
      <c r="I11" s="24">
        <v>4</v>
      </c>
      <c r="J11" s="24">
        <v>5</v>
      </c>
      <c r="K11" s="29">
        <f t="shared" si="0"/>
        <v>-2.66E-3</v>
      </c>
      <c r="L11" s="29">
        <f t="shared" si="2"/>
        <v>-1.1067900616014148E-3</v>
      </c>
      <c r="M11" s="24">
        <v>1</v>
      </c>
      <c r="N11" s="4">
        <f t="shared" si="3"/>
        <v>1.0126625282439541</v>
      </c>
      <c r="O11" s="30">
        <f t="shared" ref="O11:O36" si="7">O10+N11</f>
        <v>5.0431185913485566</v>
      </c>
      <c r="P11" s="30">
        <v>1.0011080164031445</v>
      </c>
      <c r="Q11" s="4">
        <f t="shared" si="6"/>
        <v>-7.521672090330736E-4</v>
      </c>
      <c r="R11" s="30">
        <f t="shared" si="4"/>
        <v>5.0431185913485566</v>
      </c>
      <c r="S11" s="29">
        <f t="shared" si="5"/>
        <v>-1.1067900616014148E-3</v>
      </c>
    </row>
    <row r="12" spans="1:19">
      <c r="B12">
        <v>6</v>
      </c>
      <c r="C12" s="21">
        <v>-2.2200000000000002E-3</v>
      </c>
      <c r="D12">
        <f t="shared" si="1"/>
        <v>2160</v>
      </c>
      <c r="I12">
        <v>5</v>
      </c>
      <c r="J12">
        <v>6</v>
      </c>
      <c r="K12" s="29">
        <f t="shared" si="0"/>
        <v>-2.2200000000000002E-3</v>
      </c>
      <c r="L12" s="29">
        <f t="shared" si="2"/>
        <v>-2.9825923159365608E-5</v>
      </c>
      <c r="M12">
        <v>1</v>
      </c>
      <c r="N12" s="4">
        <f t="shared" si="3"/>
        <v>1.0126927327395849</v>
      </c>
      <c r="O12" s="30">
        <f t="shared" si="7"/>
        <v>6.0558113240881415</v>
      </c>
      <c r="P12" s="30">
        <v>1.0000298268127716</v>
      </c>
      <c r="Q12" s="4">
        <f t="shared" si="6"/>
        <v>-7.5116839989074202E-4</v>
      </c>
      <c r="R12" s="4">
        <f t="shared" si="4"/>
        <v>6.0558113240881415</v>
      </c>
      <c r="S12" s="21">
        <f t="shared" si="5"/>
        <v>-2.9825923159476631E-5</v>
      </c>
    </row>
    <row r="13" spans="1:19">
      <c r="B13">
        <v>7</v>
      </c>
      <c r="C13" s="21">
        <v>-1.73E-3</v>
      </c>
      <c r="D13">
        <f t="shared" si="1"/>
        <v>2520</v>
      </c>
      <c r="I13">
        <v>6</v>
      </c>
      <c r="J13">
        <v>7</v>
      </c>
      <c r="K13" s="29">
        <f t="shared" si="0"/>
        <v>-1.73E-3</v>
      </c>
      <c r="L13" s="29">
        <f t="shared" si="2"/>
        <v>1.2036833273454395E-3</v>
      </c>
      <c r="M13">
        <v>1</v>
      </c>
      <c r="N13" s="4">
        <f t="shared" si="3"/>
        <v>1.0114752368609528</v>
      </c>
      <c r="O13" s="30">
        <f t="shared" si="7"/>
        <v>7.0672865609490945</v>
      </c>
      <c r="P13" s="30">
        <v>0.99879776378434293</v>
      </c>
      <c r="Q13" s="4">
        <f t="shared" si="6"/>
        <v>-7.511688894891802E-4</v>
      </c>
      <c r="R13" s="4">
        <v>7.0621520295596882</v>
      </c>
      <c r="S13" s="21">
        <f t="shared" si="5"/>
        <v>1.2036833273452174E-3</v>
      </c>
    </row>
    <row r="14" spans="1:19">
      <c r="B14">
        <v>8</v>
      </c>
      <c r="C14" s="21">
        <v>-1.1900000000000001E-3</v>
      </c>
      <c r="D14">
        <f t="shared" si="1"/>
        <v>2880</v>
      </c>
      <c r="I14">
        <v>7</v>
      </c>
      <c r="J14">
        <v>8</v>
      </c>
      <c r="K14" s="29">
        <f t="shared" si="0"/>
        <v>-1.1900000000000001E-3</v>
      </c>
      <c r="L14" s="29">
        <f t="shared" si="2"/>
        <v>2.5918273612788312E-3</v>
      </c>
      <c r="M14">
        <v>1</v>
      </c>
      <c r="N14" s="4">
        <f t="shared" si="3"/>
        <v>1.008860444756521</v>
      </c>
      <c r="O14" s="30">
        <f t="shared" si="7"/>
        <v>8.0761470057056162</v>
      </c>
      <c r="P14" s="30">
        <v>0.99741487284202168</v>
      </c>
      <c r="Q14" s="4">
        <f t="shared" si="6"/>
        <v>-7.5017018026864689E-4</v>
      </c>
      <c r="R14" s="4">
        <f t="shared" si="4"/>
        <v>8.0710124743162091</v>
      </c>
      <c r="S14" s="21">
        <f t="shared" si="5"/>
        <v>2.5918273612786091E-3</v>
      </c>
    </row>
    <row r="15" spans="1:19">
      <c r="B15">
        <v>9</v>
      </c>
      <c r="C15" s="21">
        <v>-6.4000000000000005E-4</v>
      </c>
      <c r="D15">
        <f t="shared" si="1"/>
        <v>3240</v>
      </c>
      <c r="I15">
        <v>8</v>
      </c>
      <c r="J15">
        <v>9</v>
      </c>
      <c r="K15" s="29">
        <f t="shared" si="0"/>
        <v>-6.4000000000000005E-4</v>
      </c>
      <c r="L15" s="29">
        <f t="shared" si="2"/>
        <v>3.7805093246581212E-3</v>
      </c>
      <c r="M15">
        <v>1</v>
      </c>
      <c r="N15" s="4">
        <f t="shared" si="3"/>
        <v>1.0050608030188599</v>
      </c>
      <c r="O15" s="30">
        <f t="shared" si="7"/>
        <v>9.0812078087244767</v>
      </c>
      <c r="P15" s="30">
        <v>0.99623372909760766</v>
      </c>
      <c r="Q15" s="4">
        <f t="shared" si="6"/>
        <v>-7.511699787237482E-4</v>
      </c>
      <c r="R15" s="4">
        <f t="shared" si="4"/>
        <v>9.0760732773350696</v>
      </c>
      <c r="S15" s="21">
        <f t="shared" si="5"/>
        <v>3.7805093246581212E-3</v>
      </c>
    </row>
    <row r="16" spans="1:19" ht="15" thickBot="1">
      <c r="B16">
        <v>10</v>
      </c>
      <c r="C16" s="21">
        <v>-8.0000000000000007E-5</v>
      </c>
      <c r="D16">
        <f t="shared" si="1"/>
        <v>3600</v>
      </c>
      <c r="I16" s="26">
        <v>9</v>
      </c>
      <c r="J16" s="26">
        <v>10</v>
      </c>
      <c r="K16" s="27">
        <f t="shared" si="0"/>
        <v>-8.0000000000000007E-5</v>
      </c>
      <c r="L16" s="27">
        <f t="shared" si="2"/>
        <v>5.0051955659495828E-3</v>
      </c>
      <c r="M16" s="26">
        <v>1</v>
      </c>
      <c r="N16" s="28">
        <f t="shared" si="3"/>
        <v>1.0000553305128728</v>
      </c>
      <c r="O16" s="28">
        <f t="shared" si="7"/>
        <v>10.08126313923735</v>
      </c>
      <c r="P16" s="28">
        <v>0.99501973165110758</v>
      </c>
      <c r="Q16" s="28">
        <f t="shared" si="6"/>
        <v>-7.5117053826622359E-4</v>
      </c>
      <c r="R16" s="28">
        <f t="shared" si="4"/>
        <v>10.076128607847942</v>
      </c>
      <c r="S16" s="27">
        <f t="shared" si="5"/>
        <v>5.0051955659493608E-3</v>
      </c>
    </row>
    <row r="17" spans="2:19">
      <c r="B17">
        <v>12</v>
      </c>
      <c r="C17" s="21">
        <v>1E-3</v>
      </c>
      <c r="D17">
        <f t="shared" si="1"/>
        <v>3960</v>
      </c>
      <c r="I17">
        <v>10</v>
      </c>
      <c r="J17">
        <v>11</v>
      </c>
      <c r="L17" s="21">
        <f t="shared" si="2"/>
        <v>6.4964213115012992E-3</v>
      </c>
      <c r="M17">
        <v>1</v>
      </c>
      <c r="N17" s="4">
        <f t="shared" si="3"/>
        <v>0.99360048315896099</v>
      </c>
      <c r="O17" s="30">
        <f>O16+N17</f>
        <v>11.074863622396311</v>
      </c>
      <c r="P17" s="4">
        <v>0.99354550977634259</v>
      </c>
      <c r="Q17" s="31">
        <f>K18*(O15+N16*(1+P17+P17^2))-(1-N16*P17^2)</f>
        <v>-7.5065052485931427E-4</v>
      </c>
      <c r="R17" s="4">
        <f t="shared" si="4"/>
        <v>11.069729091006902</v>
      </c>
      <c r="S17" s="21">
        <f t="shared" si="5"/>
        <v>6.4964213115012992E-3</v>
      </c>
    </row>
    <row r="18" spans="2:19" ht="15" thickBot="1">
      <c r="B18">
        <v>15</v>
      </c>
      <c r="C18" s="21">
        <v>2.3600000000000001E-3</v>
      </c>
      <c r="D18">
        <f t="shared" si="1"/>
        <v>4320</v>
      </c>
      <c r="I18" s="26">
        <v>11</v>
      </c>
      <c r="J18" s="26">
        <v>12</v>
      </c>
      <c r="K18" s="27">
        <f>VLOOKUP(J18,$B$7:$C$21,2)</f>
        <v>1E-3</v>
      </c>
      <c r="L18" s="27">
        <f>L17</f>
        <v>6.4964213115012992E-3</v>
      </c>
      <c r="M18" s="26">
        <v>1</v>
      </c>
      <c r="N18" s="28">
        <f>N16*P17^2</f>
        <v>0.98718729855419018</v>
      </c>
      <c r="O18" s="28">
        <f t="shared" si="7"/>
        <v>12.062050920950501</v>
      </c>
      <c r="P18" s="28" t="s">
        <v>305</v>
      </c>
      <c r="Q18" s="28"/>
      <c r="R18" s="28">
        <f t="shared" si="4"/>
        <v>12.056916389561092</v>
      </c>
      <c r="S18" s="27">
        <f t="shared" si="5"/>
        <v>6.4964213115012992E-3</v>
      </c>
    </row>
    <row r="19" spans="2:19">
      <c r="B19">
        <v>20</v>
      </c>
      <c r="C19" s="21">
        <v>3.6900000000000001E-3</v>
      </c>
      <c r="D19">
        <f t="shared" si="1"/>
        <v>4680</v>
      </c>
      <c r="I19">
        <v>12</v>
      </c>
      <c r="J19">
        <v>13</v>
      </c>
      <c r="L19" s="21">
        <f>(1/P19-1)</f>
        <v>7.9878486365614343E-3</v>
      </c>
      <c r="M19">
        <v>1</v>
      </c>
      <c r="N19" s="4">
        <f>N18*P19</f>
        <v>0.97936428488646288</v>
      </c>
      <c r="O19" s="30">
        <f t="shared" si="7"/>
        <v>13.041415205836964</v>
      </c>
      <c r="P19" s="4">
        <v>0.99207545145770748</v>
      </c>
      <c r="Q19" s="31">
        <f>K21*(O17+N18*(1+P19+P19^2+P19^3))-(1-N18*P19^3)</f>
        <v>-7.5071573138135034E-4</v>
      </c>
      <c r="R19" s="4">
        <f t="shared" si="4"/>
        <v>13.036280674447555</v>
      </c>
      <c r="S19" s="21">
        <f t="shared" si="5"/>
        <v>7.9878486365614343E-3</v>
      </c>
    </row>
    <row r="20" spans="2:19">
      <c r="B20">
        <v>25</v>
      </c>
      <c r="C20" s="21">
        <v>4.1000000000000003E-3</v>
      </c>
      <c r="D20">
        <f t="shared" si="1"/>
        <v>5040</v>
      </c>
      <c r="I20">
        <v>13</v>
      </c>
      <c r="J20">
        <v>14</v>
      </c>
      <c r="L20" s="21">
        <f>L19</f>
        <v>7.9878486365614343E-3</v>
      </c>
      <c r="M20">
        <v>1</v>
      </c>
      <c r="N20" s="30">
        <f>N18*P19^2</f>
        <v>0.97160326507029249</v>
      </c>
      <c r="O20" s="30">
        <f t="shared" si="7"/>
        <v>14.013018470907257</v>
      </c>
      <c r="P20" s="30" t="s">
        <v>305</v>
      </c>
      <c r="Q20" s="30"/>
      <c r="R20" s="4">
        <f t="shared" si="4"/>
        <v>14.007883939517848</v>
      </c>
      <c r="S20" s="21">
        <f t="shared" si="5"/>
        <v>7.9878486365614343E-3</v>
      </c>
    </row>
    <row r="21" spans="2:19" ht="15" thickBot="1">
      <c r="B21">
        <v>30</v>
      </c>
      <c r="C21" s="21">
        <v>4.0600000000000002E-3</v>
      </c>
      <c r="D21">
        <f t="shared" si="1"/>
        <v>5400</v>
      </c>
      <c r="I21" s="26">
        <v>14</v>
      </c>
      <c r="J21" s="26">
        <v>15</v>
      </c>
      <c r="K21" s="27">
        <f>VLOOKUP(J21,$B$7:$C$21,2)</f>
        <v>2.3600000000000001E-3</v>
      </c>
      <c r="L21" s="27">
        <f>L19</f>
        <v>7.9878486365614343E-3</v>
      </c>
      <c r="M21" s="26">
        <v>1</v>
      </c>
      <c r="N21" s="28">
        <f>N18*P19^3</f>
        <v>0.96390374783239308</v>
      </c>
      <c r="O21" s="28">
        <f t="shared" si="7"/>
        <v>14.97692221873965</v>
      </c>
      <c r="P21" s="28" t="s">
        <v>305</v>
      </c>
      <c r="Q21" s="28"/>
      <c r="R21" s="28">
        <f t="shared" si="4"/>
        <v>14.971787687350242</v>
      </c>
      <c r="S21" s="27">
        <f t="shared" si="5"/>
        <v>7.9878486365614343E-3</v>
      </c>
    </row>
    <row r="22" spans="2:19">
      <c r="D22">
        <f t="shared" si="1"/>
        <v>5760</v>
      </c>
      <c r="I22">
        <v>15</v>
      </c>
      <c r="J22">
        <v>16</v>
      </c>
      <c r="L22" s="21">
        <f>(1/P22-1)</f>
        <v>7.9217213346156612E-3</v>
      </c>
      <c r="M22">
        <v>1</v>
      </c>
      <c r="N22" s="4">
        <f>N21*P22</f>
        <v>0.95632798403834651</v>
      </c>
      <c r="O22" s="30">
        <f>O21+N22</f>
        <v>15.933250202777996</v>
      </c>
      <c r="P22" s="4">
        <v>0.99214053912428213</v>
      </c>
      <c r="Q22" s="31">
        <f>K26*(O20+N21*(1+P22+P22^2+P22^3+P22^4+P22^5))-(1-N21*P22^5)</f>
        <v>-7.5040127522135736E-4</v>
      </c>
      <c r="R22" s="4">
        <f t="shared" si="4"/>
        <v>15.928115671388587</v>
      </c>
      <c r="S22" s="21">
        <f t="shared" si="5"/>
        <v>7.9217213346156612E-3</v>
      </c>
    </row>
    <row r="23" spans="2:19">
      <c r="D23">
        <f t="shared" si="1"/>
        <v>6120</v>
      </c>
      <c r="I23">
        <v>16</v>
      </c>
      <c r="J23">
        <v>17</v>
      </c>
      <c r="L23" s="21">
        <f>L22</f>
        <v>7.9217213346156612E-3</v>
      </c>
      <c r="M23">
        <v>1</v>
      </c>
      <c r="N23" s="30">
        <f>N21*P22^2</f>
        <v>0.94881176166344305</v>
      </c>
      <c r="O23" s="30">
        <f t="shared" si="7"/>
        <v>16.882061964441441</v>
      </c>
      <c r="P23" s="30" t="s">
        <v>305</v>
      </c>
      <c r="Q23" s="30"/>
      <c r="R23" s="4">
        <f t="shared" si="4"/>
        <v>16.876927433052032</v>
      </c>
      <c r="S23" s="21">
        <f t="shared" si="5"/>
        <v>7.9217213346154391E-3</v>
      </c>
    </row>
    <row r="24" spans="2:19">
      <c r="D24">
        <f t="shared" si="1"/>
        <v>6480</v>
      </c>
      <c r="I24">
        <v>17</v>
      </c>
      <c r="J24">
        <v>18</v>
      </c>
      <c r="L24" s="21">
        <f>L22</f>
        <v>7.9217213346156612E-3</v>
      </c>
      <c r="M24">
        <v>1</v>
      </c>
      <c r="N24" s="30">
        <f>N21*P22^3</f>
        <v>0.94135461274422827</v>
      </c>
      <c r="O24" s="30">
        <f t="shared" si="7"/>
        <v>17.823416577185668</v>
      </c>
      <c r="P24" s="30" t="s">
        <v>305</v>
      </c>
      <c r="Q24" s="30"/>
      <c r="R24" s="4">
        <f t="shared" si="4"/>
        <v>17.818282045796259</v>
      </c>
      <c r="S24" s="21">
        <f t="shared" si="5"/>
        <v>7.9217213346156612E-3</v>
      </c>
    </row>
    <row r="25" spans="2:19">
      <c r="D25">
        <f t="shared" si="1"/>
        <v>6840</v>
      </c>
      <c r="I25">
        <v>18</v>
      </c>
      <c r="J25">
        <v>19</v>
      </c>
      <c r="L25" s="21">
        <f>L22</f>
        <v>7.9217213346156612E-3</v>
      </c>
      <c r="M25">
        <v>1</v>
      </c>
      <c r="N25" s="30">
        <f>N21*P22^4</f>
        <v>0.93395607299518846</v>
      </c>
      <c r="O25" s="30">
        <f t="shared" si="7"/>
        <v>18.757372650180855</v>
      </c>
      <c r="P25" s="30" t="s">
        <v>305</v>
      </c>
      <c r="Q25" s="30"/>
      <c r="R25" s="4">
        <f t="shared" si="4"/>
        <v>18.752238118791446</v>
      </c>
      <c r="S25" s="21">
        <f t="shared" si="5"/>
        <v>7.9217213346156612E-3</v>
      </c>
    </row>
    <row r="26" spans="2:19" ht="15" thickBot="1">
      <c r="D26">
        <f t="shared" si="1"/>
        <v>7200</v>
      </c>
      <c r="I26" s="26">
        <v>19</v>
      </c>
      <c r="J26" s="26">
        <v>20</v>
      </c>
      <c r="K26" s="27">
        <f>VLOOKUP(J26,$B$7:$C$21,2)</f>
        <v>3.6900000000000001E-3</v>
      </c>
      <c r="L26" s="27">
        <f>L22</f>
        <v>7.9217213346156612E-3</v>
      </c>
      <c r="M26" s="26">
        <v>1</v>
      </c>
      <c r="N26" s="28">
        <f>N21*P22^5</f>
        <v>0.92661568177984366</v>
      </c>
      <c r="O26" s="28">
        <f t="shared" si="7"/>
        <v>19.683988331960698</v>
      </c>
      <c r="P26" s="28" t="s">
        <v>305</v>
      </c>
      <c r="Q26" s="28"/>
      <c r="R26" s="28">
        <f t="shared" si="4"/>
        <v>19.678853800571289</v>
      </c>
      <c r="S26" s="27">
        <f t="shared" si="5"/>
        <v>7.9217213346156612E-3</v>
      </c>
    </row>
    <row r="27" spans="2:19">
      <c r="D27">
        <f t="shared" si="1"/>
        <v>7560</v>
      </c>
      <c r="I27">
        <v>20</v>
      </c>
      <c r="J27">
        <v>21</v>
      </c>
      <c r="L27" s="21">
        <f>(1/P27-1)</f>
        <v>5.8727306192525308E-3</v>
      </c>
      <c r="M27">
        <v>1</v>
      </c>
      <c r="N27" s="4">
        <f>N26*P27</f>
        <v>0.92120568892387089</v>
      </c>
      <c r="O27" s="30">
        <f t="shared" si="7"/>
        <v>20.605194020884568</v>
      </c>
      <c r="P27" s="30">
        <v>0.99416155698381747</v>
      </c>
      <c r="Q27" s="31">
        <f>K31*(O25+N26*(1+P27+P27^2+P27^3+P27^4+P27^5))-(1-N26*P27^5)</f>
        <v>-7.504240909979587E-4</v>
      </c>
      <c r="R27" s="4">
        <f t="shared" si="4"/>
        <v>20.600059489495159</v>
      </c>
      <c r="S27" s="21">
        <f t="shared" si="5"/>
        <v>5.8727306192525308E-3</v>
      </c>
    </row>
    <row r="28" spans="2:19">
      <c r="D28">
        <f t="shared" si="1"/>
        <v>7920</v>
      </c>
      <c r="I28">
        <v>21</v>
      </c>
      <c r="J28">
        <v>22</v>
      </c>
      <c r="L28" s="21">
        <f>L27</f>
        <v>5.8727306192525308E-3</v>
      </c>
      <c r="M28">
        <v>1</v>
      </c>
      <c r="N28" s="30">
        <f>N26*P27^2</f>
        <v>0.91582728200290575</v>
      </c>
      <c r="O28" s="30">
        <f t="shared" si="7"/>
        <v>21.521021302887473</v>
      </c>
      <c r="P28" s="30" t="s">
        <v>305</v>
      </c>
      <c r="Q28" s="30"/>
      <c r="R28" s="4">
        <f t="shared" si="4"/>
        <v>21.515886771498064</v>
      </c>
      <c r="S28" s="21">
        <f t="shared" si="5"/>
        <v>5.8727306192523088E-3</v>
      </c>
    </row>
    <row r="29" spans="2:19">
      <c r="D29">
        <f t="shared" si="1"/>
        <v>8280</v>
      </c>
      <c r="I29">
        <v>22</v>
      </c>
      <c r="J29">
        <v>23</v>
      </c>
      <c r="L29" s="21">
        <f>L27</f>
        <v>5.8727306192525308E-3</v>
      </c>
      <c r="M29">
        <v>1</v>
      </c>
      <c r="N29" s="30">
        <f>N26*P27^3</f>
        <v>0.91048027660426645</v>
      </c>
      <c r="O29" s="30">
        <f t="shared" si="7"/>
        <v>22.431501579491741</v>
      </c>
      <c r="P29" s="30" t="s">
        <v>305</v>
      </c>
      <c r="Q29" s="30"/>
      <c r="R29" s="4">
        <f t="shared" si="4"/>
        <v>22.426367048102332</v>
      </c>
      <c r="S29" s="21">
        <f t="shared" si="5"/>
        <v>5.8727306192525308E-3</v>
      </c>
    </row>
    <row r="30" spans="2:19">
      <c r="D30">
        <f t="shared" si="1"/>
        <v>8640</v>
      </c>
      <c r="I30">
        <v>23</v>
      </c>
      <c r="J30">
        <v>24</v>
      </c>
      <c r="L30" s="21">
        <f>L27</f>
        <v>5.8727306192525308E-3</v>
      </c>
      <c r="M30">
        <v>1</v>
      </c>
      <c r="N30" s="30">
        <f>N26*P27^4</f>
        <v>0.90516448939195426</v>
      </c>
      <c r="O30" s="30">
        <f t="shared" si="7"/>
        <v>23.336666068883694</v>
      </c>
      <c r="P30" s="30" t="s">
        <v>305</v>
      </c>
      <c r="Q30" s="30"/>
      <c r="R30" s="4">
        <f t="shared" si="4"/>
        <v>23.331531537494286</v>
      </c>
      <c r="S30" s="21">
        <f t="shared" si="5"/>
        <v>5.8727306192525308E-3</v>
      </c>
    </row>
    <row r="31" spans="2:19" ht="15" thickBot="1">
      <c r="D31">
        <f t="shared" si="1"/>
        <v>9000</v>
      </c>
      <c r="I31" s="26">
        <v>24</v>
      </c>
      <c r="J31" s="26">
        <v>25</v>
      </c>
      <c r="K31" s="27">
        <f>VLOOKUP(J31,$B$7:$C$21,2)</f>
        <v>4.1000000000000003E-3</v>
      </c>
      <c r="L31" s="27">
        <f>L27</f>
        <v>5.8727306192525308E-3</v>
      </c>
      <c r="M31" s="26">
        <v>1</v>
      </c>
      <c r="N31" s="28">
        <f>N26*P27^5</f>
        <v>0.89987973810036737</v>
      </c>
      <c r="O31" s="28">
        <f t="shared" si="7"/>
        <v>24.236545806984061</v>
      </c>
      <c r="P31" s="28" t="s">
        <v>305</v>
      </c>
      <c r="Q31" s="28"/>
      <c r="R31" s="28">
        <f t="shared" si="4"/>
        <v>24.231411275594652</v>
      </c>
      <c r="S31" s="27">
        <f t="shared" si="5"/>
        <v>5.8727306192525308E-3</v>
      </c>
    </row>
    <row r="32" spans="2:19">
      <c r="D32">
        <f t="shared" si="1"/>
        <v>9360</v>
      </c>
      <c r="I32">
        <v>25</v>
      </c>
      <c r="J32">
        <v>26</v>
      </c>
      <c r="L32" s="21">
        <f>(1/P32-1)</f>
        <v>3.8420698742798187E-3</v>
      </c>
      <c r="M32">
        <v>1</v>
      </c>
      <c r="N32" s="4">
        <f>N31*P32</f>
        <v>0.8964355700026273</v>
      </c>
      <c r="O32" s="30">
        <f t="shared" si="7"/>
        <v>25.132981376986688</v>
      </c>
      <c r="P32" s="30">
        <v>0.9961726351289889</v>
      </c>
      <c r="Q32" s="31">
        <f>K36*(O30+N31*(1+P32+P32^2+P32^3+P32^4+P32^5))-(1-N31*P32^5)</f>
        <v>-7.5053292998260301E-4</v>
      </c>
      <c r="R32" s="4">
        <f t="shared" si="4"/>
        <v>25.127846845597279</v>
      </c>
      <c r="S32" s="21">
        <f t="shared" si="5"/>
        <v>3.8420698742800408E-3</v>
      </c>
    </row>
    <row r="33" spans="4:19">
      <c r="D33">
        <f t="shared" si="1"/>
        <v>9720</v>
      </c>
      <c r="I33">
        <v>26</v>
      </c>
      <c r="J33">
        <v>27</v>
      </c>
      <c r="L33" s="21">
        <f>L32</f>
        <v>3.8420698742798187E-3</v>
      </c>
      <c r="M33">
        <v>1</v>
      </c>
      <c r="N33" s="30">
        <f>N31*P32^2</f>
        <v>0.89300458399287452</v>
      </c>
      <c r="O33" s="30">
        <f t="shared" si="7"/>
        <v>26.025985960979561</v>
      </c>
      <c r="P33" s="30" t="s">
        <v>305</v>
      </c>
      <c r="Q33" s="30"/>
      <c r="R33" s="4">
        <f t="shared" si="4"/>
        <v>26.020851429590152</v>
      </c>
      <c r="S33" s="21">
        <f t="shared" si="5"/>
        <v>3.8420698742798187E-3</v>
      </c>
    </row>
    <row r="34" spans="4:19">
      <c r="D34">
        <f t="shared" si="1"/>
        <v>10080</v>
      </c>
      <c r="I34">
        <v>27</v>
      </c>
      <c r="J34">
        <v>28</v>
      </c>
      <c r="L34" s="21">
        <f>L32</f>
        <v>3.8420698742798187E-3</v>
      </c>
      <c r="M34">
        <v>1</v>
      </c>
      <c r="N34" s="30">
        <f>N31*P32^3</f>
        <v>0.8895867296184482</v>
      </c>
      <c r="O34" s="30">
        <f t="shared" si="7"/>
        <v>26.915572690598008</v>
      </c>
      <c r="P34" s="30" t="s">
        <v>305</v>
      </c>
      <c r="Q34" s="30"/>
      <c r="R34" s="4">
        <f t="shared" si="4"/>
        <v>26.910438159208599</v>
      </c>
      <c r="S34" s="21">
        <f t="shared" si="5"/>
        <v>3.8420698742800408E-3</v>
      </c>
    </row>
    <row r="35" spans="4:19">
      <c r="D35">
        <f t="shared" si="1"/>
        <v>10440</v>
      </c>
      <c r="I35">
        <v>28</v>
      </c>
      <c r="J35">
        <v>29</v>
      </c>
      <c r="L35" s="21">
        <f>L32</f>
        <v>3.8420698742798187E-3</v>
      </c>
      <c r="M35">
        <v>1</v>
      </c>
      <c r="N35" s="30">
        <f>N31*P32^4</f>
        <v>0.88618195661978905</v>
      </c>
      <c r="O35" s="30">
        <f t="shared" si="7"/>
        <v>27.801754647217798</v>
      </c>
      <c r="P35" s="30" t="s">
        <v>305</v>
      </c>
      <c r="Q35" s="30"/>
      <c r="R35" s="4">
        <f t="shared" si="4"/>
        <v>27.796620115828389</v>
      </c>
      <c r="S35" s="21">
        <f t="shared" si="5"/>
        <v>3.8420698742798187E-3</v>
      </c>
    </row>
    <row r="36" spans="4:19" ht="15" thickBot="1">
      <c r="D36">
        <f t="shared" si="1"/>
        <v>10800</v>
      </c>
      <c r="I36">
        <v>29</v>
      </c>
      <c r="J36">
        <v>30</v>
      </c>
      <c r="K36" s="27">
        <f>VLOOKUP(J36,$B$7:$C$21,2)</f>
        <v>4.0600000000000002E-3</v>
      </c>
      <c r="L36" s="21">
        <f>L32</f>
        <v>3.8420698742798187E-3</v>
      </c>
      <c r="M36">
        <v>1</v>
      </c>
      <c r="N36" s="28">
        <f>N31*P32^5</f>
        <v>0.88279021492969856</v>
      </c>
      <c r="O36" s="30">
        <f t="shared" si="7"/>
        <v>28.684544862147497</v>
      </c>
      <c r="P36" s="30" t="s">
        <v>305</v>
      </c>
      <c r="Q36" s="30"/>
      <c r="R36" s="4">
        <f t="shared" si="4"/>
        <v>28.679410330758088</v>
      </c>
      <c r="S36" s="21">
        <f t="shared" si="5"/>
        <v>3.8420698742798187E-3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8888A-BD49-4EAF-BAE4-C6C7B8F41C55}">
  <sheetPr codeName="Sheet8"/>
  <dimension ref="A1:O123"/>
  <sheetViews>
    <sheetView topLeftCell="A17" workbookViewId="0">
      <selection activeCell="E4" sqref="E4"/>
    </sheetView>
  </sheetViews>
  <sheetFormatPr defaultRowHeight="14.5"/>
  <cols>
    <col min="8" max="8" width="11.81640625" bestFit="1" customWidth="1"/>
    <col min="9" max="9" width="13.6328125" bestFit="1" customWidth="1"/>
    <col min="10" max="10" width="13.6328125" customWidth="1"/>
    <col min="12" max="12" width="10.36328125" bestFit="1" customWidth="1"/>
    <col min="15" max="15" width="9.36328125" bestFit="1" customWidth="1"/>
  </cols>
  <sheetData>
    <row r="1" spans="1:15" ht="14.5" customHeight="1">
      <c r="A1" s="308" t="s">
        <v>347</v>
      </c>
      <c r="B1" s="308"/>
      <c r="C1" s="308"/>
      <c r="D1" s="308"/>
      <c r="E1" s="308"/>
      <c r="F1" s="308"/>
      <c r="G1" s="308"/>
      <c r="H1" s="308"/>
      <c r="I1" s="308"/>
    </row>
    <row r="2" spans="1:15" ht="15" customHeight="1" thickBot="1">
      <c r="A2" s="309"/>
      <c r="B2" s="309"/>
      <c r="C2" s="309"/>
      <c r="D2" s="309"/>
      <c r="E2" s="309"/>
      <c r="F2" s="309"/>
      <c r="G2" s="309"/>
      <c r="H2" s="309"/>
      <c r="I2" s="309"/>
    </row>
    <row r="3" spans="1:15" ht="17" thickBot="1">
      <c r="A3" s="19" t="s">
        <v>33</v>
      </c>
      <c r="B3" s="19" t="s">
        <v>303</v>
      </c>
      <c r="C3" s="19" t="s">
        <v>320</v>
      </c>
      <c r="D3" s="19" t="s">
        <v>319</v>
      </c>
      <c r="E3" s="19" t="s">
        <v>337</v>
      </c>
      <c r="F3" s="19" t="s">
        <v>338</v>
      </c>
      <c r="G3" s="19" t="s">
        <v>339</v>
      </c>
      <c r="H3" s="19" t="s">
        <v>354</v>
      </c>
      <c r="I3" s="19" t="s">
        <v>355</v>
      </c>
      <c r="K3" s="306" t="s">
        <v>356</v>
      </c>
      <c r="L3" s="307"/>
      <c r="N3" s="306" t="s">
        <v>357</v>
      </c>
      <c r="O3" s="307"/>
    </row>
    <row r="4" spans="1:15" ht="15.5">
      <c r="A4">
        <v>360</v>
      </c>
      <c r="B4">
        <f>A4/360</f>
        <v>1</v>
      </c>
      <c r="C4" s="23">
        <f>D4</f>
        <v>1.0028883183568678</v>
      </c>
      <c r="D4" s="20">
        <f>Bootstraping_CFR!N7</f>
        <v>1.0028883183568678</v>
      </c>
      <c r="E4" s="21">
        <f>(1-D4)/C4</f>
        <v>-2.8799999999999794E-3</v>
      </c>
      <c r="F4" s="20" cm="1">
        <f t="array" ref="F4">NelsonSiegelPrice($L$4,$L$5,$L$6,$L$7,B4)</f>
        <v>1.0007663334078103</v>
      </c>
      <c r="G4" cm="1">
        <f t="array" ref="G4">NelsonSiegelSpot($L$4,$L$5,$L$6,$L$7,B4)</f>
        <v>-7.6603992429218905E-4</v>
      </c>
      <c r="H4" s="25">
        <f>(D4-F4)^2</f>
        <v>4.5028201240264122E-6</v>
      </c>
      <c r="I4" s="25">
        <f>(E4-G4)^2</f>
        <v>4.4688272016864874E-6</v>
      </c>
      <c r="J4" s="25"/>
      <c r="K4" s="32" t="s">
        <v>340</v>
      </c>
      <c r="L4" s="33">
        <v>6.6175381628515084E-3</v>
      </c>
      <c r="N4" s="32" t="s">
        <v>340</v>
      </c>
      <c r="O4" s="33">
        <v>5.4556953141616784E-3</v>
      </c>
    </row>
    <row r="5" spans="1:15" ht="15.5">
      <c r="A5">
        <f>A4+360</f>
        <v>720</v>
      </c>
      <c r="B5">
        <f t="shared" ref="B5:B33" si="0">A5/360</f>
        <v>2</v>
      </c>
      <c r="C5" s="23">
        <f>C4+D5</f>
        <v>2.0094313873018397</v>
      </c>
      <c r="D5" s="20">
        <f>Bootstraping_CFR!N8</f>
        <v>1.0065430689449719</v>
      </c>
      <c r="E5" s="21">
        <f t="shared" ref="E5:E33" si="1">(1-D5)/C5</f>
        <v>-3.2561793283012331E-3</v>
      </c>
      <c r="F5" s="20" cm="1">
        <f t="array" ref="F5">NelsonSiegelPrice($L$4,$L$5,$L$6,$L$7,B5)</f>
        <v>1.0066200235097107</v>
      </c>
      <c r="G5" cm="1">
        <f t="array" ref="G5">NelsonSiegelSpot($L$4,$L$5,$L$6,$L$7,B5)</f>
        <v>-3.2991036916633601E-3</v>
      </c>
      <c r="H5" s="25">
        <f t="shared" ref="H5:H33" si="2">(D5-F5)^2</f>
        <v>5.9220050341341142E-9</v>
      </c>
      <c r="I5" s="25">
        <f t="shared" ref="I5:I33" si="3">(E5-G5)^2</f>
        <v>1.8425009700439123E-9</v>
      </c>
      <c r="J5" s="25"/>
      <c r="K5" s="32" t="s">
        <v>341</v>
      </c>
      <c r="L5" s="33">
        <v>-1.2680286642378837E-3</v>
      </c>
      <c r="N5" s="32" t="s">
        <v>341</v>
      </c>
      <c r="O5" s="33">
        <v>-0.17250974944834654</v>
      </c>
    </row>
    <row r="6" spans="1:15" ht="15.5">
      <c r="A6">
        <f t="shared" ref="A6:A33" si="4">A5+360</f>
        <v>1080</v>
      </c>
      <c r="B6">
        <f t="shared" si="0"/>
        <v>3</v>
      </c>
      <c r="C6" s="23">
        <f t="shared" ref="C6:C33" si="5">C5+D6</f>
        <v>3.0189143396826648</v>
      </c>
      <c r="D6" s="20">
        <f>Bootstraping_CFR!N9</f>
        <v>1.0094829523808249</v>
      </c>
      <c r="E6" s="21">
        <f t="shared" si="1"/>
        <v>-3.141179680448193E-3</v>
      </c>
      <c r="F6" s="20" cm="1">
        <f t="array" ref="F6">NelsonSiegelPrice($L$4,$L$5,$L$6,$L$7,B6)</f>
        <v>1.0120085733103128</v>
      </c>
      <c r="G6" cm="1">
        <f t="array" ref="G6">NelsonSiegelSpot($L$4,$L$5,$L$6,$L$7,B6)</f>
        <v>-3.9790141599654015E-3</v>
      </c>
      <c r="H6" s="25">
        <f t="shared" si="2"/>
        <v>6.378761079467512E-6</v>
      </c>
      <c r="I6" s="25">
        <f t="shared" si="3"/>
        <v>7.0196661506787162E-7</v>
      </c>
      <c r="J6" s="25"/>
      <c r="K6" s="32" t="s">
        <v>342</v>
      </c>
      <c r="L6" s="34">
        <v>-1.8268718302972699E-2</v>
      </c>
      <c r="N6" s="32" t="s">
        <v>342</v>
      </c>
      <c r="O6" s="34">
        <v>-0.62149213006687098</v>
      </c>
    </row>
    <row r="7" spans="1:15">
      <c r="A7">
        <f t="shared" si="4"/>
        <v>1440</v>
      </c>
      <c r="B7">
        <f t="shared" si="0"/>
        <v>4</v>
      </c>
      <c r="C7" s="23">
        <f t="shared" si="5"/>
        <v>4.0304560631046025</v>
      </c>
      <c r="D7" s="20">
        <f>Bootstraping_CFR!N10</f>
        <v>1.0115417234219375</v>
      </c>
      <c r="E7" s="21">
        <f t="shared" si="1"/>
        <v>-2.8636271531631745E-3</v>
      </c>
      <c r="F7" s="20" cm="1">
        <f t="array" ref="F7">NelsonSiegelPrice($L$4,$L$5,$L$6,$L$7,B7)</f>
        <v>1.0151130400048396</v>
      </c>
      <c r="G7" cm="1">
        <f t="array" ref="G7">NelsonSiegelSpot($L$4,$L$5,$L$6,$L$7,B7)</f>
        <v>-3.7499939388821557E-3</v>
      </c>
      <c r="H7" s="25">
        <f t="shared" si="2"/>
        <v>1.2754302135311578E-5</v>
      </c>
      <c r="I7" s="25">
        <f t="shared" si="3"/>
        <v>7.8564607882579827E-7</v>
      </c>
      <c r="J7" s="25"/>
      <c r="K7" s="32" t="s">
        <v>343</v>
      </c>
      <c r="L7" s="35">
        <v>0.54488018875909094</v>
      </c>
      <c r="N7" s="32" t="s">
        <v>343</v>
      </c>
      <c r="O7" s="35">
        <v>6.6778602699867795</v>
      </c>
    </row>
    <row r="8" spans="1:15" ht="15" thickBot="1">
      <c r="A8">
        <f t="shared" si="4"/>
        <v>1800</v>
      </c>
      <c r="B8">
        <f t="shared" si="0"/>
        <v>5</v>
      </c>
      <c r="C8" s="23">
        <f t="shared" si="5"/>
        <v>5.0431185913485566</v>
      </c>
      <c r="D8" s="20">
        <f>Bootstraping_CFR!N11</f>
        <v>1.0126625282439541</v>
      </c>
      <c r="E8" s="21">
        <f t="shared" si="1"/>
        <v>-2.5108527619549909E-3</v>
      </c>
      <c r="F8" s="20" cm="1">
        <f t="array" ref="F8">NelsonSiegelPrice($L$4,$L$5,$L$6,$L$7,B8)</f>
        <v>1.0157113181240554</v>
      </c>
      <c r="G8" cm="1">
        <f t="array" ref="G8">NelsonSiegelSpot($L$4,$L$5,$L$6,$L$7,B8)</f>
        <v>-3.1178346154845738E-3</v>
      </c>
      <c r="H8" s="25">
        <f t="shared" si="2"/>
        <v>9.2951197330078914E-6</v>
      </c>
      <c r="I8" s="25">
        <f t="shared" si="3"/>
        <v>3.6842697051420802E-7</v>
      </c>
      <c r="J8" s="25"/>
      <c r="K8" s="36" t="s">
        <v>345</v>
      </c>
      <c r="L8" s="37">
        <f>SUM(H4:H33)^0.5</f>
        <v>2.2187619917096474E-2</v>
      </c>
      <c r="N8" s="36" t="s">
        <v>345</v>
      </c>
      <c r="O8" s="37">
        <f>SUM(I4:I33)^0.5</f>
        <v>2.7793915553835993E-3</v>
      </c>
    </row>
    <row r="9" spans="1:15">
      <c r="A9">
        <f t="shared" si="4"/>
        <v>2160</v>
      </c>
      <c r="B9">
        <f t="shared" si="0"/>
        <v>6</v>
      </c>
      <c r="C9" s="23">
        <f t="shared" si="5"/>
        <v>6.0558113240881415</v>
      </c>
      <c r="D9" s="20">
        <f>Bootstraping_CFR!N12</f>
        <v>1.0126927327395849</v>
      </c>
      <c r="E9" s="21">
        <f t="shared" si="1"/>
        <v>-2.0959590813368267E-3</v>
      </c>
      <c r="F9" s="20" cm="1">
        <f t="array" ref="F9">NelsonSiegelPrice($L$4,$L$5,$L$6,$L$7,B9)</f>
        <v>1.0141741691294011</v>
      </c>
      <c r="G9" cm="1">
        <f t="array" ref="G9">NelsonSiegelSpot($L$4,$L$5,$L$6,$L$7,B9)</f>
        <v>-2.3457758077647336E-3</v>
      </c>
      <c r="H9" s="25">
        <f t="shared" si="2"/>
        <v>2.1946537770714382E-6</v>
      </c>
      <c r="I9" s="25">
        <f t="shared" si="3"/>
        <v>6.240839680315568E-8</v>
      </c>
      <c r="J9" s="25"/>
    </row>
    <row r="10" spans="1:15">
      <c r="A10">
        <f t="shared" si="4"/>
        <v>2520</v>
      </c>
      <c r="B10">
        <f t="shared" si="0"/>
        <v>7</v>
      </c>
      <c r="C10" s="23">
        <f t="shared" si="5"/>
        <v>7.0672865609490945</v>
      </c>
      <c r="D10" s="20">
        <f>Bootstraping_CFR!N13</f>
        <v>1.0114752368609528</v>
      </c>
      <c r="E10" s="21">
        <f t="shared" si="1"/>
        <v>-1.6237118393302701E-3</v>
      </c>
      <c r="F10" s="20" cm="1">
        <f t="array" ref="F10">NelsonSiegelPrice($L$4,$L$5,$L$6,$L$7,B10)</f>
        <v>1.0110123040023333</v>
      </c>
      <c r="G10" cm="1">
        <f t="array" ref="G10">NelsonSiegelSpot($L$4,$L$5,$L$6,$L$7,B10)</f>
        <v>-1.5645871564531981E-3</v>
      </c>
      <c r="H10" s="25">
        <f t="shared" si="2"/>
        <v>2.1430683158955233E-7</v>
      </c>
      <c r="I10" s="25">
        <f t="shared" si="3"/>
        <v>3.4957281253143275E-9</v>
      </c>
      <c r="J10" s="25"/>
    </row>
    <row r="11" spans="1:15">
      <c r="A11">
        <f t="shared" si="4"/>
        <v>2880</v>
      </c>
      <c r="B11">
        <f t="shared" si="0"/>
        <v>8</v>
      </c>
      <c r="C11" s="23">
        <f t="shared" si="5"/>
        <v>8.0761470057056162</v>
      </c>
      <c r="D11" s="20">
        <f>Bootstraping_CFR!N14</f>
        <v>1.008860444756521</v>
      </c>
      <c r="E11" s="21">
        <f t="shared" si="1"/>
        <v>-1.0971128621434616E-3</v>
      </c>
      <c r="F11" s="20" cm="1">
        <f t="array" ref="F11">NelsonSiegelPrice($L$4,$L$5,$L$6,$L$7,B11)</f>
        <v>1.0066943208139125</v>
      </c>
      <c r="G11" cm="1">
        <f t="array" ref="G11">NelsonSiegelSpot($L$4,$L$5,$L$6,$L$7,B11)</f>
        <v>-8.340016685681556E-4</v>
      </c>
      <c r="H11" s="25">
        <f t="shared" si="2"/>
        <v>4.6920929347418403E-6</v>
      </c>
      <c r="I11" s="25">
        <f t="shared" si="3"/>
        <v>6.9227500184622123E-8</v>
      </c>
      <c r="J11" s="25"/>
    </row>
    <row r="12" spans="1:15">
      <c r="A12">
        <f t="shared" si="4"/>
        <v>3240</v>
      </c>
      <c r="B12">
        <f>A12/360</f>
        <v>9</v>
      </c>
      <c r="C12" s="23">
        <f t="shared" si="5"/>
        <v>9.0812078087244767</v>
      </c>
      <c r="D12" s="20">
        <f>Bootstraping_CFR!N15</f>
        <v>1.0050608030188599</v>
      </c>
      <c r="E12" s="21">
        <f t="shared" si="1"/>
        <v>-5.5728303166875149E-4</v>
      </c>
      <c r="F12" s="20" cm="1">
        <f t="array" ref="F12">NelsonSiegelPrice($L$4,$L$5,$L$6,$L$7,B12)</f>
        <v>1.0015914012739013</v>
      </c>
      <c r="G12" cm="1">
        <f t="array" ref="G12">NelsonSiegelSpot($L$4,$L$5,$L$6,$L$7,B12)</f>
        <v>-1.7668181519236558E-4</v>
      </c>
      <c r="H12" s="25">
        <f t="shared" si="2"/>
        <v>1.2036748467921624E-5</v>
      </c>
      <c r="I12" s="25">
        <f t="shared" si="3"/>
        <v>1.4485728598330479E-7</v>
      </c>
      <c r="J12" s="25"/>
    </row>
    <row r="13" spans="1:15">
      <c r="A13">
        <f t="shared" si="4"/>
        <v>3600</v>
      </c>
      <c r="B13">
        <f t="shared" si="0"/>
        <v>10</v>
      </c>
      <c r="C13" s="23">
        <f t="shared" si="5"/>
        <v>10.08126313923735</v>
      </c>
      <c r="D13" s="20">
        <f>Bootstraping_CFR!N16</f>
        <v>1.0000553305128728</v>
      </c>
      <c r="E13" s="21">
        <f t="shared" si="1"/>
        <v>-5.4884504162392213E-6</v>
      </c>
      <c r="F13" s="20" cm="1">
        <f t="array" ref="F13">NelsonSiegelPrice($L$4,$L$5,$L$6,$L$7,B13)</f>
        <v>0.99597573699729747</v>
      </c>
      <c r="G13" cm="1">
        <f t="array" ref="G13">NelsonSiegelSpot($L$4,$L$5,$L$6,$L$7,B13)</f>
        <v>4.0323821387397559E-4</v>
      </c>
      <c r="H13" s="25">
        <f t="shared" si="2"/>
        <v>1.6643083252324014E-5</v>
      </c>
      <c r="I13" s="25">
        <f t="shared" si="3"/>
        <v>1.6705748610180598E-7</v>
      </c>
      <c r="J13" s="25"/>
    </row>
    <row r="14" spans="1:15">
      <c r="A14">
        <f t="shared" si="4"/>
        <v>3960</v>
      </c>
      <c r="B14">
        <f t="shared" si="0"/>
        <v>11</v>
      </c>
      <c r="C14" s="23">
        <f t="shared" si="5"/>
        <v>11.074863622396311</v>
      </c>
      <c r="D14" s="20">
        <f>Bootstraping_CFR!N17</f>
        <v>0.99360048315896099</v>
      </c>
      <c r="E14" s="21">
        <f t="shared" si="1"/>
        <v>5.7784159329036708E-4</v>
      </c>
      <c r="F14" s="20" cm="1">
        <f t="array" ref="F14">NelsonSiegelPrice($L$4,$L$5,$L$6,$L$7,B14)</f>
        <v>0.99003764392937155</v>
      </c>
      <c r="G14" cm="1">
        <f t="array" ref="G14">NelsonSiegelSpot($L$4,$L$5,$L$6,$L$7,B14)</f>
        <v>9.1021021866541309E-4</v>
      </c>
      <c r="H14" s="25">
        <f t="shared" si="2"/>
        <v>1.2693823375901496E-5</v>
      </c>
      <c r="I14" s="25">
        <f t="shared" si="3"/>
        <v>1.1046890313369768E-7</v>
      </c>
      <c r="J14" s="25"/>
    </row>
    <row r="15" spans="1:15">
      <c r="A15">
        <f t="shared" si="4"/>
        <v>4320</v>
      </c>
      <c r="B15">
        <f t="shared" si="0"/>
        <v>12</v>
      </c>
      <c r="C15" s="23">
        <f t="shared" si="5"/>
        <v>12.062050920950501</v>
      </c>
      <c r="D15" s="20">
        <f>Bootstraping_CFR!N18</f>
        <v>0.98718729855419018</v>
      </c>
      <c r="E15" s="21">
        <f t="shared" si="1"/>
        <v>1.0622324121974576E-3</v>
      </c>
      <c r="F15" s="20" cm="1">
        <f t="array" ref="F15">NelsonSiegelPrice($L$4,$L$5,$L$6,$L$7,B15)</f>
        <v>0.98390595490966248</v>
      </c>
      <c r="G15" cm="1">
        <f t="array" ref="G15">NelsonSiegelSpot($L$4,$L$5,$L$6,$L$7,B15)</f>
        <v>1.3520800646828592E-3</v>
      </c>
      <c r="H15" s="25">
        <f t="shared" si="2"/>
        <v>1.0767216113482336E-5</v>
      </c>
      <c r="I15" s="25">
        <f t="shared" si="3"/>
        <v>8.4011661651298151E-8</v>
      </c>
      <c r="J15" s="25"/>
    </row>
    <row r="16" spans="1:15">
      <c r="A16">
        <f t="shared" si="4"/>
        <v>4680</v>
      </c>
      <c r="B16">
        <f t="shared" si="0"/>
        <v>13</v>
      </c>
      <c r="C16" s="23">
        <f t="shared" si="5"/>
        <v>13.041415205836964</v>
      </c>
      <c r="D16" s="20">
        <f>Bootstraping_CFR!N19</f>
        <v>0.97936428488646288</v>
      </c>
      <c r="E16" s="21">
        <f t="shared" si="1"/>
        <v>1.5823217639985244E-3</v>
      </c>
      <c r="F16" s="20" cm="1">
        <f t="array" ref="F16">NelsonSiegelPrice($L$4,$L$5,$L$6,$L$7,B16)</f>
        <v>0.97766585947171614</v>
      </c>
      <c r="G16" cm="1">
        <f t="array" ref="G16">NelsonSiegelSpot($L$4,$L$5,$L$6,$L$7,B16)</f>
        <v>1.7374864851729935E-3</v>
      </c>
      <c r="H16" s="25">
        <f t="shared" si="2"/>
        <v>2.8846488894576372E-6</v>
      </c>
      <c r="I16" s="25">
        <f t="shared" si="3"/>
        <v>2.4076090697150724E-8</v>
      </c>
      <c r="J16" s="25"/>
    </row>
    <row r="17" spans="1:10">
      <c r="A17">
        <f t="shared" si="4"/>
        <v>5040</v>
      </c>
      <c r="B17">
        <f t="shared" si="0"/>
        <v>14</v>
      </c>
      <c r="C17" s="23">
        <f t="shared" si="5"/>
        <v>14.013018470907257</v>
      </c>
      <c r="D17" s="20">
        <f>Bootstraping_CFR!N20</f>
        <v>0.97160326507029249</v>
      </c>
      <c r="E17" s="21">
        <f t="shared" si="1"/>
        <v>2.0264538285354162E-3</v>
      </c>
      <c r="F17" s="20" cm="1">
        <f t="array" ref="F17">NelsonSiegelPrice($L$4,$L$5,$L$6,$L$7,B17)</f>
        <v>0.97137268523223941</v>
      </c>
      <c r="G17" cm="1">
        <f t="array" ref="G17">NelsonSiegelSpot($L$4,$L$5,$L$6,$L$7,B17)</f>
        <v>2.0746477454392704E-3</v>
      </c>
      <c r="H17" s="25">
        <f t="shared" si="2"/>
        <v>5.3167061716584558E-8</v>
      </c>
      <c r="I17" s="25">
        <f t="shared" si="3"/>
        <v>2.3226536265356086E-9</v>
      </c>
      <c r="J17" s="25"/>
    </row>
    <row r="18" spans="1:10">
      <c r="A18">
        <f t="shared" si="4"/>
        <v>5400</v>
      </c>
      <c r="B18">
        <f t="shared" si="0"/>
        <v>15</v>
      </c>
      <c r="C18" s="23">
        <f t="shared" si="5"/>
        <v>14.97692221873965</v>
      </c>
      <c r="D18" s="20">
        <f>Bootstraping_CFR!N21</f>
        <v>0.96390374783239308</v>
      </c>
      <c r="E18" s="21">
        <f t="shared" si="1"/>
        <v>2.4101248334215176E-3</v>
      </c>
      <c r="F18" s="20" cm="1">
        <f t="array" ref="F18">NelsonSiegelPrice($L$4,$L$5,$L$6,$L$7,B18)</f>
        <v>0.96506184813938445</v>
      </c>
      <c r="G18" cm="1">
        <f t="array" ref="G18">NelsonSiegelSpot($L$4,$L$5,$L$6,$L$7,B18)</f>
        <v>2.3708725573842264E-3</v>
      </c>
      <c r="H18" s="25">
        <f t="shared" si="2"/>
        <v>1.3411963210535101E-6</v>
      </c>
      <c r="I18" s="25">
        <f t="shared" si="3"/>
        <v>1.5407411741077012E-9</v>
      </c>
      <c r="J18" s="25"/>
    </row>
    <row r="19" spans="1:10">
      <c r="A19">
        <f t="shared" si="4"/>
        <v>5760</v>
      </c>
      <c r="B19">
        <f t="shared" si="0"/>
        <v>16</v>
      </c>
      <c r="C19" s="23">
        <f t="shared" si="5"/>
        <v>15.933250202777996</v>
      </c>
      <c r="D19" s="20">
        <f>Bootstraping_CFR!N22</f>
        <v>0.95632798403834651</v>
      </c>
      <c r="E19" s="21">
        <f t="shared" si="1"/>
        <v>2.7409358044248361E-3</v>
      </c>
      <c r="F19" s="20" cm="1">
        <f t="array" ref="F19">NelsonSiegelPrice($L$4,$L$5,$L$6,$L$7,B19)</f>
        <v>0.95875573814125714</v>
      </c>
      <c r="G19" cm="1">
        <f t="array" ref="G19">NelsonSiegelSpot($L$4,$L$5,$L$6,$L$7,B19)</f>
        <v>2.6324338309441143E-3</v>
      </c>
      <c r="H19" s="25">
        <f t="shared" si="2"/>
        <v>5.8939899841993915E-6</v>
      </c>
      <c r="I19" s="25">
        <f t="shared" si="3"/>
        <v>1.177267824921126E-8</v>
      </c>
      <c r="J19" s="25"/>
    </row>
    <row r="20" spans="1:10">
      <c r="A20">
        <f t="shared" si="4"/>
        <v>6120</v>
      </c>
      <c r="B20">
        <f t="shared" si="0"/>
        <v>17</v>
      </c>
      <c r="C20" s="23">
        <f t="shared" si="5"/>
        <v>16.882061964441441</v>
      </c>
      <c r="D20" s="20">
        <f>Bootstraping_CFR!N23</f>
        <v>0.94881176166344305</v>
      </c>
      <c r="E20" s="21">
        <f t="shared" si="1"/>
        <v>3.0321081894127827E-3</v>
      </c>
      <c r="F20" s="20" cm="1">
        <f t="array" ref="F20">NelsonSiegelPrice($L$4,$L$5,$L$6,$L$7,B20)</f>
        <v>0.95246834775897926</v>
      </c>
      <c r="G20" cm="1">
        <f t="array" ref="G20">NelsonSiegelSpot($L$4,$L$5,$L$6,$L$7,B20)</f>
        <v>2.8646119548627817E-3</v>
      </c>
      <c r="H20" s="25">
        <f t="shared" si="2"/>
        <v>1.3370621874068726E-5</v>
      </c>
      <c r="I20" s="25">
        <f t="shared" si="3"/>
        <v>2.8054988588428949E-8</v>
      </c>
      <c r="J20" s="25"/>
    </row>
    <row r="21" spans="1:10">
      <c r="A21">
        <f t="shared" si="4"/>
        <v>6480</v>
      </c>
      <c r="B21">
        <f t="shared" si="0"/>
        <v>18</v>
      </c>
      <c r="C21" s="23">
        <f t="shared" si="5"/>
        <v>17.823416577185668</v>
      </c>
      <c r="D21" s="20">
        <f>Bootstraping_CFR!N24</f>
        <v>0.94135461274422827</v>
      </c>
      <c r="E21" s="21">
        <f t="shared" si="1"/>
        <v>3.2903560886771285E-3</v>
      </c>
      <c r="F21" s="20" cm="1">
        <f t="array" ref="F21">NelsonSiegelPrice($L$4,$L$5,$L$6,$L$7,B21)</f>
        <v>0.94620831854587717</v>
      </c>
      <c r="G21" cm="1">
        <f t="array" ref="G21">NelsonSiegelSpot($L$4,$L$5,$L$6,$L$7,B21)</f>
        <v>3.0718069051962559E-3</v>
      </c>
      <c r="H21" s="25">
        <f t="shared" si="2"/>
        <v>2.3558460008960191E-5</v>
      </c>
      <c r="I21" s="25">
        <f t="shared" si="3"/>
        <v>4.7763745600156114E-8</v>
      </c>
      <c r="J21" s="25"/>
    </row>
    <row r="22" spans="1:10">
      <c r="A22">
        <f t="shared" si="4"/>
        <v>6840</v>
      </c>
      <c r="B22">
        <f t="shared" si="0"/>
        <v>19</v>
      </c>
      <c r="C22" s="23">
        <f t="shared" si="5"/>
        <v>18.757372650180855</v>
      </c>
      <c r="D22" s="20">
        <f>Bootstraping_CFR!N25</f>
        <v>0.93395607299518846</v>
      </c>
      <c r="E22" s="21">
        <f t="shared" si="1"/>
        <v>3.5209583045829585E-3</v>
      </c>
      <c r="F22" s="20" cm="1">
        <f t="array" ref="F22">NelsonSiegelPrice($L$4,$L$5,$L$6,$L$7,B22)</f>
        <v>0.93998091445345544</v>
      </c>
      <c r="G22" cm="1">
        <f t="array" ref="G22">NelsonSiegelSpot($L$4,$L$5,$L$6,$L$7,B22)</f>
        <v>3.2576688261648202E-3</v>
      </c>
      <c r="H22" s="25">
        <f t="shared" si="2"/>
        <v>3.6298714597252625E-5</v>
      </c>
      <c r="I22" s="25">
        <f t="shared" si="3"/>
        <v>6.9321349445695328E-8</v>
      </c>
      <c r="J22" s="25"/>
    </row>
    <row r="23" spans="1:10">
      <c r="A23">
        <f t="shared" si="4"/>
        <v>7200</v>
      </c>
      <c r="B23">
        <f t="shared" si="0"/>
        <v>20</v>
      </c>
      <c r="C23" s="23">
        <f t="shared" si="5"/>
        <v>19.683988331960698</v>
      </c>
      <c r="D23" s="20">
        <f>Bootstraping_CFR!N26</f>
        <v>0.92661568177984366</v>
      </c>
      <c r="E23" s="21">
        <f t="shared" si="1"/>
        <v>3.7281224202415802E-3</v>
      </c>
      <c r="F23" s="20" cm="1">
        <f t="array" ref="F23">NelsonSiegelPrice($L$4,$L$5,$L$6,$L$7,B23)</f>
        <v>0.93378928419811724</v>
      </c>
      <c r="G23" cm="1">
        <f t="array" ref="G23">NelsonSiegelSpot($L$4,$L$5,$L$6,$L$7,B23)</f>
        <v>3.4252235994853917E-3</v>
      </c>
      <c r="H23" s="25">
        <f t="shared" si="2"/>
        <v>5.1460571655460604E-5</v>
      </c>
      <c r="I23" s="25">
        <f t="shared" si="3"/>
        <v>9.174769561548961E-8</v>
      </c>
      <c r="J23" s="25"/>
    </row>
    <row r="24" spans="1:10">
      <c r="A24">
        <f t="shared" si="4"/>
        <v>7560</v>
      </c>
      <c r="B24">
        <f t="shared" si="0"/>
        <v>21</v>
      </c>
      <c r="C24" s="23">
        <f t="shared" si="5"/>
        <v>20.605194020884568</v>
      </c>
      <c r="D24" s="20">
        <f>Bootstraping_CFR!N27</f>
        <v>0.92120568892387089</v>
      </c>
      <c r="E24" s="21">
        <f t="shared" si="1"/>
        <v>3.8240023848485228E-3</v>
      </c>
      <c r="F24" s="20" cm="1">
        <f t="array" ref="F24">NelsonSiegelPrice($L$4,$L$5,$L$6,$L$7,B24)</f>
        <v>0.92763526070995095</v>
      </c>
      <c r="G24" cm="1">
        <f t="array" ref="G24">NelsonSiegelSpot($L$4,$L$5,$L$6,$L$7,B24)</f>
        <v>3.5769838801760485E-3</v>
      </c>
      <c r="H24" s="25">
        <f t="shared" si="2"/>
        <v>4.1339393352356694E-5</v>
      </c>
      <c r="I24" s="25">
        <f t="shared" si="3"/>
        <v>6.101814165062519E-8</v>
      </c>
      <c r="J24" s="25"/>
    </row>
    <row r="25" spans="1:10">
      <c r="A25">
        <f t="shared" si="4"/>
        <v>7920</v>
      </c>
      <c r="B25">
        <f t="shared" si="0"/>
        <v>22</v>
      </c>
      <c r="C25" s="23">
        <f t="shared" si="5"/>
        <v>21.521021302887473</v>
      </c>
      <c r="D25" s="20">
        <f>Bootstraping_CFR!N28</f>
        <v>0.91582728200290575</v>
      </c>
      <c r="E25" s="21">
        <f t="shared" si="1"/>
        <v>3.9111860358504828E-3</v>
      </c>
      <c r="F25" s="20" cm="1">
        <f t="array" ref="F25">NelsonSiegelPrice($L$4,$L$5,$L$6,$L$7,B25)</f>
        <v>0.92151986324374591</v>
      </c>
      <c r="G25" cm="1">
        <f t="array" ref="G25">NelsonSiegelSpot($L$4,$L$5,$L$6,$L$7,B25)</f>
        <v>3.7150430348550905E-3</v>
      </c>
      <c r="H25" s="25">
        <f t="shared" si="2"/>
        <v>3.2405481183565241E-5</v>
      </c>
      <c r="I25" s="25">
        <f t="shared" si="3"/>
        <v>3.8472076839478472E-8</v>
      </c>
      <c r="J25" s="25"/>
    </row>
    <row r="26" spans="1:10">
      <c r="A26">
        <f t="shared" si="4"/>
        <v>8280</v>
      </c>
      <c r="B26">
        <f t="shared" si="0"/>
        <v>23</v>
      </c>
      <c r="C26" s="23">
        <f t="shared" si="5"/>
        <v>22.431501579491741</v>
      </c>
      <c r="D26" s="20">
        <f>Bootstraping_CFR!N29</f>
        <v>0.91048027660426645</v>
      </c>
      <c r="E26" s="21">
        <f t="shared" si="1"/>
        <v>3.9908038736728166E-3</v>
      </c>
      <c r="F26" s="20" cm="1">
        <f t="array" ref="F26">NelsonSiegelPrice($L$4,$L$5,$L$6,$L$7,B26)</f>
        <v>0.91544361056154733</v>
      </c>
      <c r="G26" cm="1">
        <f t="array" ref="G26">NelsonSiegelSpot($L$4,$L$5,$L$6,$L$7,B26)</f>
        <v>3.8411526481806299E-3</v>
      </c>
      <c r="H26" s="25">
        <f t="shared" si="2"/>
        <v>2.463468397149748E-5</v>
      </c>
      <c r="I26" s="25">
        <f t="shared" si="3"/>
        <v>2.2395489291313332E-8</v>
      </c>
      <c r="J26" s="25"/>
    </row>
    <row r="27" spans="1:10">
      <c r="A27">
        <f t="shared" si="4"/>
        <v>8640</v>
      </c>
      <c r="B27">
        <f t="shared" si="0"/>
        <v>24</v>
      </c>
      <c r="C27" s="23">
        <f t="shared" si="5"/>
        <v>23.336666068883694</v>
      </c>
      <c r="D27" s="20">
        <f>Bootstraping_CFR!N30</f>
        <v>0.90516448939195426</v>
      </c>
      <c r="E27" s="21">
        <f t="shared" si="1"/>
        <v>4.0637985875152981E-3</v>
      </c>
      <c r="F27" s="20" cm="1">
        <f t="array" ref="F27">NelsonSiegelPrice($L$4,$L$5,$L$6,$L$7,B27)</f>
        <v>0.90940671512615012</v>
      </c>
      <c r="G27" cm="1">
        <f t="array" ref="G27">NelsonSiegelSpot($L$4,$L$5,$L$6,$L$7,B27)</f>
        <v>3.9567855620969913E-3</v>
      </c>
      <c r="H27" s="25">
        <f t="shared" si="2"/>
        <v>1.7996479179873595E-5</v>
      </c>
      <c r="I27" s="25">
        <f t="shared" si="3"/>
        <v>1.1451787609179171E-8</v>
      </c>
      <c r="J27" s="25"/>
    </row>
    <row r="28" spans="1:10">
      <c r="A28">
        <f t="shared" si="4"/>
        <v>9000</v>
      </c>
      <c r="B28">
        <f t="shared" si="0"/>
        <v>25</v>
      </c>
      <c r="C28" s="23">
        <f t="shared" si="5"/>
        <v>24.236545806984061</v>
      </c>
      <c r="D28" s="20">
        <f>Bootstraping_CFR!N31</f>
        <v>0.89987973810036737</v>
      </c>
      <c r="E28" s="21">
        <f t="shared" si="1"/>
        <v>4.1309625017101961E-3</v>
      </c>
      <c r="F28" s="20" cm="1">
        <f t="array" ref="F28">NelsonSiegelPrice($L$4,$L$5,$L$6,$L$7,B28)</f>
        <v>0.90340920290335636</v>
      </c>
      <c r="G28" cm="1">
        <f t="array" ref="G28">NelsonSiegelSpot($L$4,$L$5,$L$6,$L$7,B28)</f>
        <v>4.0631867539773162E-3</v>
      </c>
      <c r="H28" s="25">
        <f t="shared" si="2"/>
        <v>1.2457121795538115E-5</v>
      </c>
      <c r="I28" s="25">
        <f t="shared" si="3"/>
        <v>4.593551980750976E-9</v>
      </c>
      <c r="J28" s="25"/>
    </row>
    <row r="29" spans="1:10">
      <c r="A29">
        <f t="shared" si="4"/>
        <v>9360</v>
      </c>
      <c r="B29">
        <f t="shared" si="0"/>
        <v>26</v>
      </c>
      <c r="C29" s="23">
        <f t="shared" si="5"/>
        <v>25.132981376986688</v>
      </c>
      <c r="D29" s="20">
        <f>Bootstraping_CFR!N32</f>
        <v>0.8964355700026273</v>
      </c>
      <c r="E29" s="21">
        <f t="shared" si="1"/>
        <v>4.1206583669457812E-3</v>
      </c>
      <c r="F29" s="20" cm="1">
        <f t="array" ref="F29">NelsonSiegelPrice($L$4,$L$5,$L$6,$L$7,B29)</f>
        <v>0.89745098694379566</v>
      </c>
      <c r="G29" cm="1">
        <f t="array" ref="G29">NelsonSiegelSpot($L$4,$L$5,$L$6,$L$7,B29)</f>
        <v>4.1614142599423172E-3</v>
      </c>
      <c r="H29" s="25">
        <f t="shared" si="2"/>
        <v>1.031071564411702E-6</v>
      </c>
      <c r="I29" s="25">
        <f t="shared" si="3"/>
        <v>1.6610428139450963E-9</v>
      </c>
      <c r="J29" s="25"/>
    </row>
    <row r="30" spans="1:10">
      <c r="A30">
        <f t="shared" si="4"/>
        <v>9720</v>
      </c>
      <c r="B30">
        <f t="shared" si="0"/>
        <v>27</v>
      </c>
      <c r="C30" s="23">
        <f t="shared" si="5"/>
        <v>26.025985960979561</v>
      </c>
      <c r="D30" s="20">
        <f>Bootstraping_CFR!N33</f>
        <v>0.89300458399287452</v>
      </c>
      <c r="E30" s="21">
        <f t="shared" si="1"/>
        <v>4.1110994283767915E-3</v>
      </c>
      <c r="F30" s="20" cm="1">
        <f t="array" ref="F30">NelsonSiegelPrice($L$4,$L$5,$L$6,$L$7,B30)</f>
        <v>0.8915319124000628</v>
      </c>
      <c r="G30" cm="1">
        <f t="array" ref="G30">NelsonSiegelSpot($L$4,$L$5,$L$6,$L$7,B30)</f>
        <v>4.2523720748581552E-3</v>
      </c>
      <c r="H30" s="25">
        <f t="shared" si="2"/>
        <v>2.1687616202746233E-6</v>
      </c>
      <c r="I30" s="25">
        <f t="shared" si="3"/>
        <v>1.9957960643848358E-8</v>
      </c>
      <c r="J30" s="25"/>
    </row>
    <row r="31" spans="1:10">
      <c r="A31">
        <f t="shared" si="4"/>
        <v>10080</v>
      </c>
      <c r="B31">
        <f t="shared" si="0"/>
        <v>28</v>
      </c>
      <c r="C31" s="23">
        <f t="shared" si="5"/>
        <v>26.915572690598008</v>
      </c>
      <c r="D31" s="20">
        <f>Bootstraping_CFR!N34</f>
        <v>0.8895867296184482</v>
      </c>
      <c r="E31" s="21">
        <f t="shared" si="1"/>
        <v>4.1022077312187644E-3</v>
      </c>
      <c r="F31" s="20" cm="1">
        <f t="array" ref="F31">NelsonSiegelPrice($L$4,$L$5,$L$6,$L$7,B31)</f>
        <v>0.88565178397207511</v>
      </c>
      <c r="G31" cm="1">
        <f t="array" ref="G31">NelsonSiegelSpot($L$4,$L$5,$L$6,$L$7,B31)</f>
        <v>4.3368366420478499E-3</v>
      </c>
      <c r="H31" s="25">
        <f t="shared" si="2"/>
        <v>1.548379723991053E-5</v>
      </c>
      <c r="I31" s="25">
        <f t="shared" si="3"/>
        <v>5.5050725796842959E-8</v>
      </c>
      <c r="J31" s="25"/>
    </row>
    <row r="32" spans="1:10">
      <c r="A32">
        <f t="shared" si="4"/>
        <v>10440</v>
      </c>
      <c r="B32">
        <f t="shared" si="0"/>
        <v>29</v>
      </c>
      <c r="C32" s="23">
        <f t="shared" si="5"/>
        <v>27.801754647217798</v>
      </c>
      <c r="D32" s="20">
        <f>Bootstraping_CFR!N35</f>
        <v>0.88618195661978905</v>
      </c>
      <c r="E32" s="21">
        <f t="shared" si="1"/>
        <v>4.0939158274170672E-3</v>
      </c>
      <c r="F32" s="20" cm="1">
        <f t="array" ref="F32">NelsonSiegelPrice($L$4,$L$5,$L$6,$L$7,B32)</f>
        <v>0.87981038258672672</v>
      </c>
      <c r="G32" cm="1">
        <f t="array" ref="G32">NelsonSiegelSpot($L$4,$L$5,$L$6,$L$7,B32)</f>
        <v>4.4154782434854987E-3</v>
      </c>
      <c r="H32" s="25">
        <f t="shared" si="2"/>
        <v>4.0596955658794059E-5</v>
      </c>
      <c r="I32" s="25">
        <f t="shared" si="3"/>
        <v>1.0340238742776706E-7</v>
      </c>
      <c r="J32" s="25"/>
    </row>
    <row r="33" spans="1:10">
      <c r="A33">
        <f t="shared" si="4"/>
        <v>10800</v>
      </c>
      <c r="B33">
        <f t="shared" si="0"/>
        <v>30</v>
      </c>
      <c r="C33" s="23">
        <f t="shared" si="5"/>
        <v>28.684544862147497</v>
      </c>
      <c r="D33" s="20">
        <f>Bootstraping_CFR!N36</f>
        <v>0.88279021492969856</v>
      </c>
      <c r="E33" s="21">
        <f t="shared" si="1"/>
        <v>4.0861650632279343E-3</v>
      </c>
      <c r="F33" s="20" cm="1">
        <f t="array" ref="F33">NelsonSiegelPrice($L$4,$L$5,$L$6,$L$7,B33)</f>
        <v>0.87400747550527835</v>
      </c>
      <c r="G33" cm="1">
        <f t="array" ref="G33">NelsonSiegelSpot($L$4,$L$5,$L$6,$L$7,B33)</f>
        <v>4.4888783384493128E-3</v>
      </c>
      <c r="H33" s="25">
        <f t="shared" si="2"/>
        <v>7.7136511797264956E-5</v>
      </c>
      <c r="I33" s="25">
        <f t="shared" si="3"/>
        <v>1.6217798203952978E-7</v>
      </c>
      <c r="J33" s="25"/>
    </row>
    <row r="34" spans="1:10">
      <c r="D34" s="20"/>
      <c r="E34" s="21"/>
      <c r="H34" s="25"/>
    </row>
    <row r="35" spans="1:10">
      <c r="D35" s="20"/>
      <c r="E35" s="21"/>
      <c r="H35" s="25"/>
    </row>
    <row r="36" spans="1:10">
      <c r="D36" s="20"/>
      <c r="E36" s="21"/>
      <c r="H36" s="25"/>
    </row>
    <row r="37" spans="1:10">
      <c r="D37" s="20"/>
      <c r="E37" s="21"/>
      <c r="H37" s="25"/>
    </row>
    <row r="38" spans="1:10">
      <c r="D38" s="20"/>
      <c r="E38" s="21"/>
      <c r="H38" s="25"/>
    </row>
    <row r="39" spans="1:10">
      <c r="D39" s="20"/>
      <c r="E39" s="21"/>
      <c r="H39" s="25"/>
    </row>
    <row r="40" spans="1:10">
      <c r="D40" s="20"/>
      <c r="E40" s="21"/>
      <c r="H40" s="25"/>
    </row>
    <row r="41" spans="1:10">
      <c r="D41" s="20"/>
      <c r="E41" s="21"/>
      <c r="H41" s="25"/>
    </row>
    <row r="42" spans="1:10">
      <c r="D42" s="20"/>
      <c r="E42" s="21"/>
      <c r="H42" s="25"/>
    </row>
    <row r="43" spans="1:10">
      <c r="D43" s="20"/>
      <c r="E43" s="21"/>
      <c r="H43" s="25"/>
    </row>
    <row r="44" spans="1:10">
      <c r="D44" s="20"/>
      <c r="E44" s="21"/>
      <c r="H44" s="25"/>
    </row>
    <row r="45" spans="1:10">
      <c r="D45" s="20"/>
      <c r="E45" s="21"/>
      <c r="H45" s="25"/>
    </row>
    <row r="46" spans="1:10">
      <c r="D46" s="20"/>
      <c r="E46" s="21"/>
      <c r="H46" s="25"/>
    </row>
    <row r="47" spans="1:10">
      <c r="D47" s="20"/>
      <c r="E47" s="21"/>
      <c r="H47" s="25"/>
    </row>
    <row r="48" spans="1:10">
      <c r="D48" s="20"/>
      <c r="E48" s="21"/>
      <c r="H48" s="25"/>
    </row>
    <row r="49" spans="4:8">
      <c r="D49" s="20"/>
      <c r="E49" s="21"/>
      <c r="H49" s="25"/>
    </row>
    <row r="50" spans="4:8">
      <c r="D50" s="20"/>
      <c r="E50" s="21"/>
      <c r="H50" s="25"/>
    </row>
    <row r="51" spans="4:8">
      <c r="D51" s="20"/>
      <c r="E51" s="21"/>
      <c r="H51" s="25"/>
    </row>
    <row r="52" spans="4:8">
      <c r="D52" s="20"/>
      <c r="E52" s="21"/>
      <c r="H52" s="25"/>
    </row>
    <row r="53" spans="4:8">
      <c r="D53" s="20"/>
      <c r="E53" s="21"/>
      <c r="H53" s="25"/>
    </row>
    <row r="54" spans="4:8">
      <c r="D54" s="20"/>
      <c r="E54" s="21"/>
      <c r="H54" s="25"/>
    </row>
    <row r="55" spans="4:8">
      <c r="D55" s="20"/>
      <c r="E55" s="21"/>
      <c r="H55" s="25"/>
    </row>
    <row r="56" spans="4:8">
      <c r="D56" s="20"/>
      <c r="E56" s="21"/>
      <c r="H56" s="25"/>
    </row>
    <row r="57" spans="4:8">
      <c r="D57" s="20"/>
      <c r="E57" s="21"/>
      <c r="H57" s="25"/>
    </row>
    <row r="58" spans="4:8">
      <c r="D58" s="20"/>
      <c r="E58" s="21"/>
      <c r="H58" s="25"/>
    </row>
    <row r="59" spans="4:8">
      <c r="D59" s="20"/>
      <c r="E59" s="21"/>
      <c r="H59" s="25"/>
    </row>
    <row r="60" spans="4:8">
      <c r="D60" s="20"/>
      <c r="E60" s="21"/>
      <c r="H60" s="25"/>
    </row>
    <row r="61" spans="4:8">
      <c r="D61" s="20"/>
      <c r="E61" s="21"/>
      <c r="H61" s="25"/>
    </row>
    <row r="62" spans="4:8">
      <c r="D62" s="20"/>
      <c r="E62" s="21"/>
      <c r="H62" s="25"/>
    </row>
    <row r="63" spans="4:8">
      <c r="D63" s="20"/>
      <c r="E63" s="21"/>
      <c r="H63" s="25"/>
    </row>
    <row r="64" spans="4:8">
      <c r="D64" s="20"/>
      <c r="E64" s="21"/>
      <c r="H64" s="25"/>
    </row>
    <row r="65" spans="4:8">
      <c r="D65" s="20"/>
      <c r="E65" s="21"/>
      <c r="H65" s="25"/>
    </row>
    <row r="66" spans="4:8">
      <c r="D66" s="20"/>
      <c r="E66" s="21"/>
      <c r="H66" s="25"/>
    </row>
    <row r="67" spans="4:8">
      <c r="D67" s="20"/>
      <c r="E67" s="21"/>
      <c r="H67" s="25"/>
    </row>
    <row r="68" spans="4:8">
      <c r="D68" s="20"/>
      <c r="E68" s="21"/>
      <c r="H68" s="25"/>
    </row>
    <row r="69" spans="4:8">
      <c r="D69" s="20"/>
      <c r="E69" s="21"/>
      <c r="H69" s="25"/>
    </row>
    <row r="70" spans="4:8">
      <c r="D70" s="20"/>
      <c r="E70" s="21"/>
      <c r="H70" s="25"/>
    </row>
    <row r="71" spans="4:8">
      <c r="D71" s="20"/>
      <c r="E71" s="21"/>
      <c r="H71" s="25"/>
    </row>
    <row r="72" spans="4:8">
      <c r="D72" s="20"/>
      <c r="E72" s="21"/>
      <c r="H72" s="25"/>
    </row>
    <row r="73" spans="4:8">
      <c r="D73" s="20"/>
      <c r="E73" s="21"/>
      <c r="H73" s="25"/>
    </row>
    <row r="74" spans="4:8">
      <c r="D74" s="20"/>
      <c r="E74" s="21"/>
      <c r="H74" s="25"/>
    </row>
    <row r="75" spans="4:8">
      <c r="D75" s="20"/>
      <c r="E75" s="21"/>
      <c r="H75" s="25"/>
    </row>
    <row r="76" spans="4:8">
      <c r="D76" s="20"/>
      <c r="E76" s="21"/>
      <c r="H76" s="25"/>
    </row>
    <row r="77" spans="4:8">
      <c r="D77" s="20"/>
      <c r="E77" s="21"/>
      <c r="H77" s="25"/>
    </row>
    <row r="78" spans="4:8">
      <c r="D78" s="20"/>
      <c r="E78" s="21"/>
      <c r="H78" s="25"/>
    </row>
    <row r="79" spans="4:8">
      <c r="D79" s="20"/>
      <c r="E79" s="21"/>
      <c r="H79" s="25"/>
    </row>
    <row r="80" spans="4:8">
      <c r="D80" s="20"/>
      <c r="E80" s="21"/>
      <c r="H80" s="25"/>
    </row>
    <row r="81" spans="4:8">
      <c r="D81" s="20"/>
      <c r="E81" s="21"/>
      <c r="H81" s="25"/>
    </row>
    <row r="82" spans="4:8">
      <c r="D82" s="20"/>
      <c r="E82" s="21"/>
      <c r="H82" s="25"/>
    </row>
    <row r="83" spans="4:8">
      <c r="D83" s="20"/>
      <c r="E83" s="21"/>
      <c r="H83" s="25"/>
    </row>
    <row r="84" spans="4:8">
      <c r="D84" s="20"/>
      <c r="E84" s="21"/>
      <c r="H84" s="25"/>
    </row>
    <row r="85" spans="4:8">
      <c r="D85" s="20"/>
      <c r="E85" s="21"/>
      <c r="H85" s="25"/>
    </row>
    <row r="86" spans="4:8">
      <c r="D86" s="20"/>
      <c r="E86" s="21"/>
      <c r="H86" s="25"/>
    </row>
    <row r="87" spans="4:8">
      <c r="D87" s="20"/>
      <c r="E87" s="21"/>
      <c r="H87" s="25"/>
    </row>
    <row r="88" spans="4:8">
      <c r="D88" s="20"/>
      <c r="E88" s="21"/>
      <c r="H88" s="25"/>
    </row>
    <row r="89" spans="4:8">
      <c r="D89" s="20"/>
      <c r="E89" s="21"/>
      <c r="H89" s="25"/>
    </row>
    <row r="90" spans="4:8">
      <c r="D90" s="20"/>
      <c r="E90" s="21"/>
      <c r="H90" s="25"/>
    </row>
    <row r="91" spans="4:8">
      <c r="D91" s="20"/>
      <c r="E91" s="21"/>
      <c r="H91" s="25"/>
    </row>
    <row r="92" spans="4:8">
      <c r="D92" s="20"/>
      <c r="E92" s="21"/>
      <c r="H92" s="25"/>
    </row>
    <row r="93" spans="4:8">
      <c r="D93" s="20"/>
      <c r="E93" s="21"/>
      <c r="H93" s="25"/>
    </row>
    <row r="94" spans="4:8">
      <c r="D94" s="20"/>
      <c r="E94" s="21"/>
      <c r="H94" s="25"/>
    </row>
    <row r="95" spans="4:8">
      <c r="D95" s="20"/>
      <c r="E95" s="21"/>
      <c r="H95" s="25"/>
    </row>
    <row r="96" spans="4:8">
      <c r="D96" s="20"/>
      <c r="E96" s="21"/>
      <c r="H96" s="25"/>
    </row>
    <row r="97" spans="4:8">
      <c r="D97" s="20"/>
      <c r="E97" s="21"/>
      <c r="H97" s="25"/>
    </row>
    <row r="98" spans="4:8">
      <c r="D98" s="20"/>
      <c r="E98" s="21"/>
      <c r="H98" s="25"/>
    </row>
    <row r="99" spans="4:8">
      <c r="D99" s="20"/>
      <c r="E99" s="21"/>
      <c r="H99" s="25"/>
    </row>
    <row r="100" spans="4:8">
      <c r="D100" s="20"/>
      <c r="E100" s="21"/>
      <c r="H100" s="25"/>
    </row>
    <row r="101" spans="4:8">
      <c r="D101" s="20"/>
      <c r="E101" s="21"/>
      <c r="H101" s="25"/>
    </row>
    <row r="102" spans="4:8">
      <c r="D102" s="20"/>
      <c r="E102" s="21"/>
      <c r="H102" s="25"/>
    </row>
    <row r="103" spans="4:8">
      <c r="D103" s="20"/>
      <c r="E103" s="21"/>
      <c r="H103" s="25"/>
    </row>
    <row r="104" spans="4:8">
      <c r="D104" s="20"/>
      <c r="E104" s="21"/>
      <c r="H104" s="25"/>
    </row>
    <row r="105" spans="4:8">
      <c r="D105" s="20"/>
      <c r="E105" s="21"/>
      <c r="H105" s="25"/>
    </row>
    <row r="106" spans="4:8">
      <c r="D106" s="20"/>
      <c r="E106" s="21"/>
      <c r="H106" s="25"/>
    </row>
    <row r="107" spans="4:8">
      <c r="D107" s="20"/>
      <c r="E107" s="21"/>
      <c r="H107" s="25"/>
    </row>
    <row r="108" spans="4:8">
      <c r="D108" s="20"/>
      <c r="E108" s="21"/>
      <c r="H108" s="25"/>
    </row>
    <row r="109" spans="4:8">
      <c r="D109" s="20"/>
      <c r="E109" s="21"/>
      <c r="H109" s="25"/>
    </row>
    <row r="110" spans="4:8">
      <c r="D110" s="20"/>
      <c r="E110" s="21"/>
      <c r="H110" s="25"/>
    </row>
    <row r="111" spans="4:8">
      <c r="D111" s="20"/>
      <c r="E111" s="21"/>
      <c r="H111" s="25"/>
    </row>
    <row r="112" spans="4:8">
      <c r="D112" s="20"/>
      <c r="E112" s="21"/>
      <c r="H112" s="25"/>
    </row>
    <row r="113" spans="4:8">
      <c r="D113" s="20"/>
      <c r="E113" s="21"/>
      <c r="H113" s="25"/>
    </row>
    <row r="114" spans="4:8">
      <c r="D114" s="20"/>
      <c r="E114" s="21"/>
      <c r="H114" s="25"/>
    </row>
    <row r="115" spans="4:8">
      <c r="D115" s="20"/>
      <c r="E115" s="21"/>
      <c r="H115" s="25"/>
    </row>
    <row r="116" spans="4:8">
      <c r="D116" s="20"/>
      <c r="E116" s="21"/>
      <c r="H116" s="25"/>
    </row>
    <row r="117" spans="4:8">
      <c r="D117" s="20"/>
      <c r="E117" s="21"/>
      <c r="H117" s="25"/>
    </row>
    <row r="118" spans="4:8">
      <c r="D118" s="20"/>
      <c r="E118" s="21"/>
      <c r="H118" s="25"/>
    </row>
    <row r="119" spans="4:8">
      <c r="D119" s="20"/>
      <c r="E119" s="21"/>
      <c r="H119" s="25"/>
    </row>
    <row r="120" spans="4:8">
      <c r="D120" s="20"/>
      <c r="E120" s="21"/>
      <c r="H120" s="25"/>
    </row>
    <row r="121" spans="4:8">
      <c r="D121" s="20"/>
      <c r="E121" s="21"/>
      <c r="H121" s="25"/>
    </row>
    <row r="122" spans="4:8">
      <c r="D122" s="20"/>
      <c r="E122" s="21"/>
      <c r="H122" s="25"/>
    </row>
    <row r="123" spans="4:8">
      <c r="D123" s="20"/>
      <c r="E123" s="21"/>
      <c r="H123" s="25"/>
    </row>
  </sheetData>
  <mergeCells count="3">
    <mergeCell ref="K3:L3"/>
    <mergeCell ref="N3:O3"/>
    <mergeCell ref="A1:I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5FE75-5AE5-4AE8-B6C1-47F5D234048C}">
  <sheetPr codeName="Sheet10"/>
  <dimension ref="A1:N39"/>
  <sheetViews>
    <sheetView topLeftCell="F1" zoomScale="56" workbookViewId="0">
      <selection activeCell="H5" sqref="H5"/>
    </sheetView>
  </sheetViews>
  <sheetFormatPr defaultRowHeight="14.5"/>
  <cols>
    <col min="2" max="2" width="14.36328125" bestFit="1" customWidth="1"/>
    <col min="3" max="4" width="12.26953125" customWidth="1"/>
    <col min="5" max="5" width="12.6328125" bestFit="1" customWidth="1"/>
    <col min="6" max="6" width="14.90625" bestFit="1" customWidth="1"/>
    <col min="7" max="7" width="12.26953125" bestFit="1" customWidth="1"/>
    <col min="8" max="8" width="12.54296875" bestFit="1" customWidth="1"/>
    <col min="9" max="9" width="8.81640625" bestFit="1" customWidth="1"/>
    <col min="10" max="10" width="12.54296875" bestFit="1" customWidth="1"/>
    <col min="12" max="12" width="14.26953125" bestFit="1" customWidth="1"/>
  </cols>
  <sheetData>
    <row r="1" spans="1:14" ht="14.5" customHeight="1">
      <c r="A1" s="310" t="s">
        <v>369</v>
      </c>
      <c r="B1" s="310"/>
      <c r="C1" s="310"/>
      <c r="D1" s="310"/>
      <c r="E1" s="310"/>
      <c r="F1" s="310"/>
      <c r="G1" s="310"/>
      <c r="H1" s="310"/>
      <c r="I1" s="310"/>
      <c r="J1" s="310"/>
    </row>
    <row r="2" spans="1:14" ht="15" customHeight="1" thickBot="1">
      <c r="A2" s="309"/>
      <c r="B2" s="309"/>
      <c r="C2" s="309"/>
      <c r="D2" s="309"/>
      <c r="E2" s="309"/>
      <c r="F2" s="309"/>
      <c r="G2" s="309"/>
      <c r="H2" s="309"/>
      <c r="I2" s="309"/>
      <c r="J2" s="309"/>
    </row>
    <row r="3" spans="1:14" ht="15" thickBot="1">
      <c r="B3" s="45" t="s">
        <v>297</v>
      </c>
      <c r="C3" s="43">
        <f>'NOTE 1 (Q1 to Q5)'!B18</f>
        <v>43873</v>
      </c>
      <c r="D3" s="38">
        <f>DAY(C3)</f>
        <v>12</v>
      </c>
      <c r="E3" s="38">
        <f>MONTH(C3)</f>
        <v>2</v>
      </c>
      <c r="F3" s="45">
        <f>YEAR(C3)</f>
        <v>2020</v>
      </c>
      <c r="G3" s="45"/>
      <c r="H3" s="46"/>
      <c r="I3" s="45"/>
      <c r="J3" s="20"/>
    </row>
    <row r="4" spans="1:14" ht="15.5" thickBot="1">
      <c r="A4" s="44"/>
      <c r="B4" s="44" t="s">
        <v>302</v>
      </c>
      <c r="C4" s="44" t="s">
        <v>374</v>
      </c>
      <c r="D4" s="44" t="s">
        <v>32</v>
      </c>
      <c r="E4" s="44" t="s">
        <v>378</v>
      </c>
      <c r="F4" s="44" t="s">
        <v>375</v>
      </c>
      <c r="G4" s="44" t="s">
        <v>376</v>
      </c>
      <c r="H4" s="44" t="s">
        <v>379</v>
      </c>
      <c r="I4" s="44" t="s">
        <v>380</v>
      </c>
      <c r="J4" s="44" t="s">
        <v>377</v>
      </c>
      <c r="L4" s="49" t="s">
        <v>381</v>
      </c>
      <c r="M4" s="39"/>
      <c r="N4" s="39"/>
    </row>
    <row r="5" spans="1:14">
      <c r="A5" t="s">
        <v>363</v>
      </c>
      <c r="B5" s="45">
        <v>1</v>
      </c>
      <c r="C5" s="43">
        <f>$C$3+7</f>
        <v>43880</v>
      </c>
      <c r="D5" s="43" t="str">
        <f>VLOOKUP(WEEKDAY(C5),Auxiliar!$A$1:$B$7,2)</f>
        <v>Wednesday</v>
      </c>
      <c r="E5" s="43">
        <f>IF(D5="Saturday",C5+2,IF(D5="Sunday",C5+1,C5))</f>
        <v>43880</v>
      </c>
      <c r="F5" s="48">
        <f>(E5-$C$3)/360</f>
        <v>1.9444444444444445E-2</v>
      </c>
      <c r="G5" s="21">
        <f>'Bootstraping-Linear_Interpol'!D7</f>
        <v>-5.1800000000000006E-3</v>
      </c>
      <c r="H5" s="21">
        <f>-LN(1/(1+G5*F5/100))/F5</f>
        <v>-5.1800026080559247E-5</v>
      </c>
      <c r="I5" s="87">
        <f t="array" ref="I5:I23">MMULT($L$5:$N$23,$L$32:$L$34)</f>
        <v>-4.6268486723502009E-3</v>
      </c>
      <c r="J5" s="21">
        <f>(G5-I5)</f>
        <v>-5.5315132764979964E-4</v>
      </c>
      <c r="L5" s="53">
        <v>1</v>
      </c>
      <c r="M5" s="54">
        <f>F5/2</f>
        <v>9.7222222222222224E-3</v>
      </c>
      <c r="N5" s="55">
        <f>-(F5^2/6)</f>
        <v>-6.3014403292181067E-5</v>
      </c>
    </row>
    <row r="6" spans="1:14">
      <c r="A6" t="s">
        <v>12</v>
      </c>
      <c r="B6" s="45">
        <v>1</v>
      </c>
      <c r="C6" s="43">
        <f>EDATE($C$3,1)</f>
        <v>43902</v>
      </c>
      <c r="D6" s="43" t="str">
        <f>VLOOKUP(WEEKDAY(C6),Auxiliar!$A$1:$B$7,2)</f>
        <v>Thursday</v>
      </c>
      <c r="E6" s="43">
        <f t="shared" ref="E6:E23" si="0">IF(D6="Saturday",C6+2,IF(D6="Sunday",C6+1,C6))</f>
        <v>43902</v>
      </c>
      <c r="F6" s="48">
        <f t="shared" ref="F6:F23" si="1">(E6-$C$3)/360</f>
        <v>8.0555555555555561E-2</v>
      </c>
      <c r="G6" s="21">
        <f>'Bootstraping-Linear_Interpol'!D8</f>
        <v>-4.6999999999999993E-3</v>
      </c>
      <c r="H6" s="21">
        <f t="shared" ref="H6:H23" si="2">-LN(1/(1+G6*F6/100))/F6</f>
        <v>-4.7000088974124764E-5</v>
      </c>
      <c r="I6" s="87">
        <v>-4.5944548558025152E-3</v>
      </c>
      <c r="J6" s="21">
        <f>(G6-I6)</f>
        <v>-1.0554514419748411E-4</v>
      </c>
      <c r="L6" s="53">
        <v>1</v>
      </c>
      <c r="M6" s="54">
        <f t="shared" ref="M6:M23" si="3">F6/2</f>
        <v>4.027777777777778E-2</v>
      </c>
      <c r="N6" s="55">
        <f t="shared" ref="N6:N23" si="4">-(F6^2/6)</f>
        <v>-1.0815329218106997E-3</v>
      </c>
    </row>
    <row r="7" spans="1:14">
      <c r="A7" t="s">
        <v>12</v>
      </c>
      <c r="B7" s="45">
        <v>3</v>
      </c>
      <c r="C7" s="43">
        <f>EDATE($C$3,3)</f>
        <v>43963</v>
      </c>
      <c r="D7" s="43" t="str">
        <f>VLOOKUP(WEEKDAY(C7),Auxiliar!$A$1:$B$7,2)</f>
        <v>Tuesday</v>
      </c>
      <c r="E7" s="43">
        <f t="shared" si="0"/>
        <v>43963</v>
      </c>
      <c r="F7" s="48">
        <f t="shared" si="1"/>
        <v>0.25</v>
      </c>
      <c r="G7" s="21">
        <f>'Bootstraping-Linear_Interpol'!D9</f>
        <v>-4.13E-3</v>
      </c>
      <c r="H7" s="21">
        <f t="shared" si="2"/>
        <v>-4.1300213213063491E-5</v>
      </c>
      <c r="I7" s="87">
        <v>-4.5049303767833761E-3</v>
      </c>
      <c r="J7" s="21">
        <f>(G7-I7)</f>
        <v>3.7493037678337608E-4</v>
      </c>
      <c r="L7" s="53">
        <v>1</v>
      </c>
      <c r="M7" s="54">
        <f t="shared" si="3"/>
        <v>0.125</v>
      </c>
      <c r="N7" s="55">
        <f t="shared" si="4"/>
        <v>-1.0416666666666666E-2</v>
      </c>
    </row>
    <row r="8" spans="1:14">
      <c r="A8" t="s">
        <v>12</v>
      </c>
      <c r="B8" s="45">
        <v>6</v>
      </c>
      <c r="C8" s="43">
        <f>EDATE($C$3,6)</f>
        <v>44055</v>
      </c>
      <c r="D8" s="43" t="str">
        <f>VLOOKUP(WEEKDAY(C8),Auxiliar!$A$1:$B$7,2)</f>
        <v>Wednesday</v>
      </c>
      <c r="E8" s="43">
        <f t="shared" si="0"/>
        <v>44055</v>
      </c>
      <c r="F8" s="48">
        <f t="shared" si="1"/>
        <v>0.50555555555555554</v>
      </c>
      <c r="G8" s="21">
        <f>'Bootstraping-Linear_Interpol'!D10</f>
        <v>-3.62E-3</v>
      </c>
      <c r="H8" s="21">
        <f t="shared" si="2"/>
        <v>-3.6200331254283117E-5</v>
      </c>
      <c r="I8" s="87">
        <v>-4.3707292771751755E-3</v>
      </c>
      <c r="J8" s="21">
        <f>(G8-I8)</f>
        <v>7.507292771751755E-4</v>
      </c>
      <c r="L8" s="53">
        <v>1</v>
      </c>
      <c r="M8" s="54">
        <f t="shared" si="3"/>
        <v>0.25277777777777777</v>
      </c>
      <c r="N8" s="55">
        <f t="shared" si="4"/>
        <v>-4.2597736625514394E-2</v>
      </c>
    </row>
    <row r="9" spans="1:14">
      <c r="A9" t="s">
        <v>362</v>
      </c>
      <c r="B9" s="45">
        <v>1</v>
      </c>
      <c r="C9" s="47">
        <f>DATE($F$3+B9,$E$3,$D$3)</f>
        <v>44239</v>
      </c>
      <c r="D9" s="43" t="str">
        <f>VLOOKUP(WEEKDAY(C9),Auxiliar!$A$1:$B$7,2)</f>
        <v>Friday</v>
      </c>
      <c r="E9" s="43">
        <f t="shared" si="0"/>
        <v>44239</v>
      </c>
      <c r="F9" s="48">
        <f t="shared" si="1"/>
        <v>1.0166666666666666</v>
      </c>
      <c r="G9" s="21">
        <f>'Bootstraping-Linear_Interpol'!D11</f>
        <v>-2.8799999999999997E-3</v>
      </c>
      <c r="H9" s="21">
        <f t="shared" si="2"/>
        <v>-2.8800421640167359E-5</v>
      </c>
      <c r="I9" s="87">
        <v>-4.1052834388824429E-3</v>
      </c>
      <c r="J9" s="21">
        <f>(H9-I9)</f>
        <v>4.0764830172422759E-3</v>
      </c>
      <c r="L9" s="53">
        <v>1</v>
      </c>
      <c r="M9" s="54">
        <f t="shared" si="3"/>
        <v>0.5083333333333333</v>
      </c>
      <c r="N9" s="55">
        <f t="shared" si="4"/>
        <v>-0.17226851851851852</v>
      </c>
    </row>
    <row r="10" spans="1:14">
      <c r="A10" t="s">
        <v>362</v>
      </c>
      <c r="B10" s="45">
        <v>2</v>
      </c>
      <c r="C10" s="47">
        <f t="shared" ref="C10:C19" si="5">DATE($F$3+B10,$E$3,$D$3)</f>
        <v>44604</v>
      </c>
      <c r="D10" s="43" t="str">
        <f>VLOOKUP(WEEKDAY(C10),Auxiliar!$A$1:$B$7,2)</f>
        <v>Saturday</v>
      </c>
      <c r="E10" s="43">
        <f t="shared" si="0"/>
        <v>44606</v>
      </c>
      <c r="F10" s="48">
        <f t="shared" si="1"/>
        <v>2.036111111111111</v>
      </c>
      <c r="G10" s="21">
        <f>'Bootstraping-Linear_Interpol'!D12</f>
        <v>-3.63E-3</v>
      </c>
      <c r="H10" s="21">
        <f t="shared" si="2"/>
        <v>-3.6301341547726723E-5</v>
      </c>
      <c r="I10" s="87">
        <v>-3.5876063473684653E-3</v>
      </c>
      <c r="J10" s="21">
        <f t="shared" ref="J10:J23" si="6">(H10-I10)</f>
        <v>3.5513050058207387E-3</v>
      </c>
      <c r="L10" s="53">
        <v>1</v>
      </c>
      <c r="M10" s="54">
        <f t="shared" si="3"/>
        <v>1.0180555555555555</v>
      </c>
      <c r="N10" s="55">
        <f t="shared" si="4"/>
        <v>-0.69095807613168725</v>
      </c>
    </row>
    <row r="11" spans="1:14">
      <c r="A11" t="s">
        <v>362</v>
      </c>
      <c r="B11" s="45">
        <v>3</v>
      </c>
      <c r="C11" s="47">
        <f t="shared" si="5"/>
        <v>44969</v>
      </c>
      <c r="D11" s="43" t="str">
        <f>VLOOKUP(WEEKDAY(C11),Auxiliar!$A$1:$B$7,2)</f>
        <v>Sunday</v>
      </c>
      <c r="E11" s="43">
        <f t="shared" si="0"/>
        <v>44970</v>
      </c>
      <c r="F11" s="48">
        <f t="shared" si="1"/>
        <v>3.0472222222222221</v>
      </c>
      <c r="G11" s="21">
        <f>'Bootstraping-Linear_Interpol'!D13</f>
        <v>-3.3899999999999998E-3</v>
      </c>
      <c r="H11" s="21">
        <f t="shared" si="2"/>
        <v>-3.3901751069744565E-5</v>
      </c>
      <c r="I11" s="87">
        <v>-3.0896508734803789E-3</v>
      </c>
      <c r="J11" s="21">
        <f t="shared" si="6"/>
        <v>3.0557491224106345E-3</v>
      </c>
      <c r="L11" s="53">
        <v>1</v>
      </c>
      <c r="M11" s="54">
        <f t="shared" si="3"/>
        <v>1.523611111111111</v>
      </c>
      <c r="N11" s="55">
        <f t="shared" si="4"/>
        <v>-1.547593878600823</v>
      </c>
    </row>
    <row r="12" spans="1:14">
      <c r="A12" t="s">
        <v>362</v>
      </c>
      <c r="B12" s="45">
        <v>4</v>
      </c>
      <c r="C12" s="47">
        <f t="shared" si="5"/>
        <v>45334</v>
      </c>
      <c r="D12" s="43" t="str">
        <f>VLOOKUP(WEEKDAY(C12),Auxiliar!$A$1:$B$7,2)</f>
        <v>Monday</v>
      </c>
      <c r="E12" s="43">
        <f t="shared" si="0"/>
        <v>45334</v>
      </c>
      <c r="F12" s="48">
        <f t="shared" si="1"/>
        <v>4.0583333333333336</v>
      </c>
      <c r="G12" s="21">
        <f>'Bootstraping-Linear_Interpol'!D14</f>
        <v>-3.0500000000000002E-3</v>
      </c>
      <c r="H12" s="21">
        <f t="shared" si="2"/>
        <v>-3.0501887788043843E-5</v>
      </c>
      <c r="I12" s="87">
        <v>-2.6071217542292849E-3</v>
      </c>
      <c r="J12" s="21">
        <f t="shared" si="6"/>
        <v>2.5766198664412413E-3</v>
      </c>
      <c r="L12" s="53">
        <v>1</v>
      </c>
      <c r="M12" s="54">
        <f t="shared" si="3"/>
        <v>2.0291666666666668</v>
      </c>
      <c r="N12" s="55">
        <f t="shared" si="4"/>
        <v>-2.7450115740740748</v>
      </c>
    </row>
    <row r="13" spans="1:14">
      <c r="A13" t="s">
        <v>362</v>
      </c>
      <c r="B13" s="45">
        <v>5</v>
      </c>
      <c r="C13" s="47">
        <f t="shared" si="5"/>
        <v>45700</v>
      </c>
      <c r="D13" s="43" t="str">
        <f>VLOOKUP(WEEKDAY(C13),Auxiliar!$A$1:$B$7,2)</f>
        <v>Wednesday</v>
      </c>
      <c r="E13" s="43">
        <f t="shared" si="0"/>
        <v>45700</v>
      </c>
      <c r="F13" s="48">
        <f t="shared" si="1"/>
        <v>5.0750000000000002</v>
      </c>
      <c r="G13" s="21">
        <f>'Bootstraping-Linear_Interpol'!D15</f>
        <v>-2.66E-3</v>
      </c>
      <c r="H13" s="21">
        <f t="shared" si="2"/>
        <v>-2.6601795595092799E-5</v>
      </c>
      <c r="I13" s="87">
        <v>-2.1374951038613346E-3</v>
      </c>
      <c r="J13" s="21">
        <f t="shared" si="6"/>
        <v>2.1108933082662419E-3</v>
      </c>
      <c r="L13" s="53">
        <v>1</v>
      </c>
      <c r="M13" s="54">
        <f t="shared" si="3"/>
        <v>2.5375000000000001</v>
      </c>
      <c r="N13" s="55">
        <f t="shared" si="4"/>
        <v>-4.292604166666667</v>
      </c>
    </row>
    <row r="14" spans="1:14">
      <c r="A14" t="s">
        <v>362</v>
      </c>
      <c r="B14" s="45">
        <v>6</v>
      </c>
      <c r="C14" s="47">
        <f t="shared" si="5"/>
        <v>46065</v>
      </c>
      <c r="D14" s="43" t="str">
        <f>VLOOKUP(WEEKDAY(C14),Auxiliar!$A$1:$B$7,2)</f>
        <v>Thursday</v>
      </c>
      <c r="E14" s="43">
        <f t="shared" si="0"/>
        <v>46065</v>
      </c>
      <c r="F14" s="48">
        <f t="shared" si="1"/>
        <v>6.0888888888888886</v>
      </c>
      <c r="G14" s="21">
        <f>'Bootstraping-Linear_Interpol'!D16</f>
        <v>-2.2200000000000002E-3</v>
      </c>
      <c r="H14" s="21">
        <f t="shared" si="2"/>
        <v>-2.2201500559218305E-5</v>
      </c>
      <c r="I14" s="87">
        <v>-1.68468406593602E-3</v>
      </c>
      <c r="J14" s="21">
        <f t="shared" si="6"/>
        <v>1.6624825653768016E-3</v>
      </c>
      <c r="L14" s="53">
        <v>1</v>
      </c>
      <c r="M14" s="54">
        <f t="shared" si="3"/>
        <v>3.0444444444444443</v>
      </c>
      <c r="N14" s="55">
        <f t="shared" si="4"/>
        <v>-6.1790946502057613</v>
      </c>
    </row>
    <row r="15" spans="1:14">
      <c r="A15" t="s">
        <v>362</v>
      </c>
      <c r="B15" s="45">
        <v>7</v>
      </c>
      <c r="C15" s="47">
        <f t="shared" si="5"/>
        <v>46430</v>
      </c>
      <c r="D15" s="43" t="str">
        <f>VLOOKUP(WEEKDAY(C15),Auxiliar!$A$1:$B$7,2)</f>
        <v>Friday</v>
      </c>
      <c r="E15" s="43">
        <f t="shared" si="0"/>
        <v>46430</v>
      </c>
      <c r="F15" s="48">
        <f t="shared" si="1"/>
        <v>7.1027777777777779</v>
      </c>
      <c r="G15" s="21">
        <f>'Bootstraping-Linear_Interpol'!D17</f>
        <v>-1.73E-3</v>
      </c>
      <c r="H15" s="21">
        <f t="shared" si="2"/>
        <v>-1.7301062982259991E-5</v>
      </c>
      <c r="I15" s="87">
        <v>-1.2473842592668435E-3</v>
      </c>
      <c r="J15" s="21">
        <f t="shared" si="6"/>
        <v>1.2300831962845835E-3</v>
      </c>
      <c r="L15" s="53">
        <v>1</v>
      </c>
      <c r="M15" s="54">
        <f t="shared" si="3"/>
        <v>3.5513888888888889</v>
      </c>
      <c r="N15" s="55">
        <f t="shared" si="4"/>
        <v>-8.4082420267489706</v>
      </c>
    </row>
    <row r="16" spans="1:14">
      <c r="A16" t="s">
        <v>362</v>
      </c>
      <c r="B16" s="45">
        <v>8</v>
      </c>
      <c r="C16" s="47">
        <f t="shared" si="5"/>
        <v>46795</v>
      </c>
      <c r="D16" s="43" t="str">
        <f>VLOOKUP(WEEKDAY(C16),Auxiliar!$A$1:$B$7,2)</f>
        <v>Saturday</v>
      </c>
      <c r="E16" s="43">
        <f t="shared" si="0"/>
        <v>46797</v>
      </c>
      <c r="F16" s="48">
        <f t="shared" si="1"/>
        <v>8.1222222222222218</v>
      </c>
      <c r="G16" s="21">
        <f>'Bootstraping-Linear_Interpol'!D18</f>
        <v>-1.1900000000000001E-3</v>
      </c>
      <c r="H16" s="21">
        <f t="shared" si="2"/>
        <v>-1.1900575131004356E-5</v>
      </c>
      <c r="I16" s="87">
        <v>-8.2332724295922555E-4</v>
      </c>
      <c r="J16" s="21">
        <f t="shared" si="6"/>
        <v>8.1142666782822118E-4</v>
      </c>
      <c r="L16" s="53">
        <v>1</v>
      </c>
      <c r="M16" s="54">
        <f t="shared" si="3"/>
        <v>4.0611111111111109</v>
      </c>
      <c r="N16" s="55">
        <f t="shared" si="4"/>
        <v>-10.995082304526747</v>
      </c>
    </row>
    <row r="17" spans="1:14">
      <c r="A17" t="s">
        <v>362</v>
      </c>
      <c r="B17" s="45">
        <v>9</v>
      </c>
      <c r="C17" s="47">
        <f t="shared" si="5"/>
        <v>47161</v>
      </c>
      <c r="D17" s="43" t="str">
        <f>VLOOKUP(WEEKDAY(C17),Auxiliar!$A$1:$B$7,2)</f>
        <v>Monday</v>
      </c>
      <c r="E17" s="43">
        <f t="shared" si="0"/>
        <v>47161</v>
      </c>
      <c r="F17" s="48">
        <f t="shared" si="1"/>
        <v>9.1333333333333329</v>
      </c>
      <c r="G17" s="21">
        <f>'Bootstraping-Linear_Interpol'!D19</f>
        <v>-6.4000000000000005E-4</v>
      </c>
      <c r="H17" s="21">
        <f t="shared" si="2"/>
        <v>-6.4001870579545249E-6</v>
      </c>
      <c r="I17" s="87">
        <v>-4.182265575591892E-4</v>
      </c>
      <c r="J17" s="21">
        <f t="shared" si="6"/>
        <v>4.1182637050123468E-4</v>
      </c>
      <c r="L17" s="53">
        <v>1</v>
      </c>
      <c r="M17" s="54">
        <f t="shared" si="3"/>
        <v>4.5666666666666664</v>
      </c>
      <c r="N17" s="55">
        <f t="shared" si="4"/>
        <v>-13.902962962962961</v>
      </c>
    </row>
    <row r="18" spans="1:14">
      <c r="A18" t="s">
        <v>362</v>
      </c>
      <c r="B18" s="45">
        <v>10</v>
      </c>
      <c r="C18" s="47">
        <f t="shared" si="5"/>
        <v>47526</v>
      </c>
      <c r="D18" s="43" t="str">
        <f>VLOOKUP(WEEKDAY(C18),Auxiliar!$A$1:$B$7,2)</f>
        <v>Tuesday</v>
      </c>
      <c r="E18" s="43">
        <f t="shared" si="0"/>
        <v>47526</v>
      </c>
      <c r="F18" s="48">
        <f t="shared" si="1"/>
        <v>10.147222222222222</v>
      </c>
      <c r="G18" s="21">
        <f>'Bootstraping-Linear_Interpol'!D20</f>
        <v>-8.0000000000000007E-5</v>
      </c>
      <c r="H18" s="21">
        <f t="shared" si="2"/>
        <v>-8.0000324712611716E-7</v>
      </c>
      <c r="I18" s="87">
        <v>-2.7502941182417262E-5</v>
      </c>
      <c r="J18" s="21">
        <f t="shared" si="6"/>
        <v>2.6702937935291144E-5</v>
      </c>
      <c r="L18" s="53">
        <v>1</v>
      </c>
      <c r="M18" s="54">
        <f t="shared" si="3"/>
        <v>5.0736111111111111</v>
      </c>
      <c r="N18" s="55">
        <f t="shared" si="4"/>
        <v>-17.161019804526749</v>
      </c>
    </row>
    <row r="19" spans="1:14">
      <c r="A19" t="s">
        <v>362</v>
      </c>
      <c r="B19" s="45">
        <v>12</v>
      </c>
      <c r="C19" s="47">
        <f t="shared" si="5"/>
        <v>48256</v>
      </c>
      <c r="D19" s="43" t="str">
        <f>VLOOKUP(WEEKDAY(C19),Auxiliar!$A$1:$B$7,2)</f>
        <v>Thursday</v>
      </c>
      <c r="E19" s="43">
        <f t="shared" si="0"/>
        <v>48256</v>
      </c>
      <c r="F19" s="48">
        <f t="shared" si="1"/>
        <v>12.175000000000001</v>
      </c>
      <c r="G19" s="21">
        <f>'Bootstraping-Linear_Interpol'!D21</f>
        <v>1E-3</v>
      </c>
      <c r="H19" s="21">
        <f t="shared" si="2"/>
        <v>9.9993912994002496E-6</v>
      </c>
      <c r="I19" s="87">
        <v>7.0741059780271153E-4</v>
      </c>
      <c r="J19" s="21">
        <f t="shared" si="6"/>
        <v>-6.974112065033113E-4</v>
      </c>
      <c r="L19" s="53">
        <v>1</v>
      </c>
      <c r="M19" s="54">
        <f t="shared" si="3"/>
        <v>6.0875000000000004</v>
      </c>
      <c r="N19" s="55">
        <f t="shared" si="4"/>
        <v>-24.705104166666668</v>
      </c>
    </row>
    <row r="20" spans="1:14">
      <c r="A20" t="s">
        <v>362</v>
      </c>
      <c r="B20" s="45">
        <v>15</v>
      </c>
      <c r="C20" s="47">
        <f>DATE($F$3+B20,$E$3,$D$3)</f>
        <v>49352</v>
      </c>
      <c r="D20" s="43" t="str">
        <f>VLOOKUP(WEEKDAY(C20),Auxiliar!$A$1:$B$7,2)</f>
        <v>Monday</v>
      </c>
      <c r="E20" s="43">
        <f t="shared" si="0"/>
        <v>49352</v>
      </c>
      <c r="F20" s="48">
        <f t="shared" si="1"/>
        <v>15.219444444444445</v>
      </c>
      <c r="G20" s="21">
        <f>'Bootstraping-Linear_Interpol'!D22</f>
        <v>2.3600000000000001E-3</v>
      </c>
      <c r="H20" s="21">
        <f t="shared" si="2"/>
        <v>2.3595762703707422E-5</v>
      </c>
      <c r="I20" s="87">
        <v>1.6942833584243132E-3</v>
      </c>
      <c r="J20" s="21">
        <f t="shared" si="6"/>
        <v>-1.6706875957206058E-3</v>
      </c>
      <c r="L20" s="53">
        <v>1</v>
      </c>
      <c r="M20" s="54">
        <f t="shared" si="3"/>
        <v>7.6097222222222225</v>
      </c>
      <c r="N20" s="55">
        <f t="shared" si="4"/>
        <v>-38.60524819958848</v>
      </c>
    </row>
    <row r="21" spans="1:14">
      <c r="A21" t="s">
        <v>362</v>
      </c>
      <c r="B21" s="45">
        <v>20</v>
      </c>
      <c r="C21" s="47">
        <f>DATE($F$3+B21,$E$3,$D$3)</f>
        <v>51178</v>
      </c>
      <c r="D21" s="43" t="str">
        <f>VLOOKUP(WEEKDAY(C21),Auxiliar!$A$1:$B$7,2)</f>
        <v>Sunday</v>
      </c>
      <c r="E21" s="43">
        <f t="shared" si="0"/>
        <v>51179</v>
      </c>
      <c r="F21" s="48">
        <f t="shared" si="1"/>
        <v>20.294444444444444</v>
      </c>
      <c r="G21" s="21">
        <f>'Bootstraping-Linear_Interpol'!D23</f>
        <v>3.6900000000000001E-3</v>
      </c>
      <c r="H21" s="21">
        <f t="shared" si="2"/>
        <v>3.6886190334706931E-5</v>
      </c>
      <c r="I21" s="87">
        <v>3.0284877660461929E-3</v>
      </c>
      <c r="J21" s="21">
        <f t="shared" si="6"/>
        <v>-2.9916015757114858E-3</v>
      </c>
      <c r="L21" s="53">
        <v>1</v>
      </c>
      <c r="M21" s="54">
        <f t="shared" si="3"/>
        <v>10.147222222222222</v>
      </c>
      <c r="N21" s="55">
        <f t="shared" si="4"/>
        <v>-68.644079218106995</v>
      </c>
    </row>
    <row r="22" spans="1:14">
      <c r="A22" t="s">
        <v>362</v>
      </c>
      <c r="B22" s="45">
        <v>25</v>
      </c>
      <c r="C22" s="47">
        <f>DATE($F$3+B22,$E$3,$D$3)</f>
        <v>53005</v>
      </c>
      <c r="D22" s="43" t="str">
        <f>VLOOKUP(WEEKDAY(C22),Auxiliar!$A$1:$B$7,2)</f>
        <v>Sunday</v>
      </c>
      <c r="E22" s="43">
        <f t="shared" si="0"/>
        <v>53006</v>
      </c>
      <c r="F22" s="48">
        <f t="shared" si="1"/>
        <v>25.369444444444444</v>
      </c>
      <c r="G22" s="21">
        <f>'Bootstraping-Linear_Interpol'!D24</f>
        <v>4.1000000000000003E-3</v>
      </c>
      <c r="H22" s="21">
        <f t="shared" si="2"/>
        <v>4.0978691756468581E-5</v>
      </c>
      <c r="I22" s="87">
        <v>3.9740609960694931E-3</v>
      </c>
      <c r="J22" s="21">
        <f t="shared" si="6"/>
        <v>-3.9330823043130245E-3</v>
      </c>
      <c r="L22" s="53">
        <v>1</v>
      </c>
      <c r="M22" s="54">
        <f t="shared" si="3"/>
        <v>12.684722222222222</v>
      </c>
      <c r="N22" s="55">
        <f t="shared" si="4"/>
        <v>-107.26811856995884</v>
      </c>
    </row>
    <row r="23" spans="1:14">
      <c r="A23" t="s">
        <v>362</v>
      </c>
      <c r="B23" s="45">
        <v>30</v>
      </c>
      <c r="C23" s="47">
        <f>DATE($F$3+B23,$E$3,$D$3)</f>
        <v>54831</v>
      </c>
      <c r="D23" s="43" t="str">
        <f>VLOOKUP(WEEKDAY(C23),Auxiliar!$A$1:$B$7,2)</f>
        <v>Saturday</v>
      </c>
      <c r="E23" s="43">
        <f t="shared" si="0"/>
        <v>54833</v>
      </c>
      <c r="F23" s="48">
        <f t="shared" si="1"/>
        <v>30.444444444444443</v>
      </c>
      <c r="G23" s="21">
        <f>'Bootstraping-Linear_Interpol'!D25</f>
        <v>4.0600000000000002E-3</v>
      </c>
      <c r="H23" s="21">
        <f t="shared" si="2"/>
        <v>4.0574928954932646E-5</v>
      </c>
      <c r="I23" s="87">
        <v>4.5310030484942134E-3</v>
      </c>
      <c r="J23" s="21">
        <f t="shared" si="6"/>
        <v>-4.4904281195392807E-3</v>
      </c>
      <c r="L23" s="53">
        <v>1</v>
      </c>
      <c r="M23" s="54">
        <f t="shared" si="3"/>
        <v>15.222222222222221</v>
      </c>
      <c r="N23" s="55">
        <f t="shared" si="4"/>
        <v>-154.47736625514401</v>
      </c>
    </row>
    <row r="26" spans="1:14" ht="15" thickBot="1">
      <c r="F26" s="49" t="s">
        <v>382</v>
      </c>
      <c r="G26" s="39"/>
      <c r="H26" s="39"/>
      <c r="L26" s="49" t="s">
        <v>384</v>
      </c>
      <c r="M26" s="39"/>
      <c r="N26" s="39"/>
    </row>
    <row r="27" spans="1:14">
      <c r="F27" s="50">
        <f t="array" ref="F27:H29">MMULT(TRANSPOSE(L5:N23),L5:N23)</f>
        <v>19</v>
      </c>
      <c r="G27" s="56">
        <v>80.093055555555566</v>
      </c>
      <c r="H27" s="57">
        <v>-459.84891332304528</v>
      </c>
      <c r="L27" s="69">
        <f t="array" ref="L27:L29">MMULT(TRANSPOSE(L5:N23),G5:G23)</f>
        <v>-2.3890000000000008E-2</v>
      </c>
      <c r="M27" s="39"/>
      <c r="N27" s="39"/>
    </row>
    <row r="28" spans="1:14">
      <c r="F28" s="51">
        <v>80.093055555555566</v>
      </c>
      <c r="G28" s="41">
        <v>689.77336998456781</v>
      </c>
      <c r="H28" s="58">
        <v>-5116.3766023358903</v>
      </c>
      <c r="L28" s="70">
        <v>0.12930116666666669</v>
      </c>
      <c r="M28" s="39"/>
      <c r="N28" s="39"/>
    </row>
    <row r="29" spans="1:14" ht="15" thickBot="1">
      <c r="F29" s="52">
        <v>-459.84891332304528</v>
      </c>
      <c r="G29" s="42">
        <v>-5116.3766023358903</v>
      </c>
      <c r="H29" s="59">
        <v>42928.853087884672</v>
      </c>
      <c r="L29" s="71">
        <v>-1.3562248596707818</v>
      </c>
      <c r="M29" s="39"/>
      <c r="N29" s="39"/>
    </row>
    <row r="30" spans="1:14">
      <c r="F30" s="39"/>
      <c r="G30" s="39"/>
      <c r="H30" s="39"/>
      <c r="L30" s="39"/>
      <c r="M30" s="39"/>
      <c r="N30" s="39"/>
    </row>
    <row r="31" spans="1:14" ht="17" thickBot="1">
      <c r="F31" s="49" t="s">
        <v>383</v>
      </c>
      <c r="G31" s="39"/>
      <c r="H31" s="39"/>
      <c r="L31" s="72" t="s">
        <v>385</v>
      </c>
      <c r="M31" s="73" t="s">
        <v>386</v>
      </c>
      <c r="N31" s="73" t="s">
        <v>387</v>
      </c>
    </row>
    <row r="32" spans="1:14">
      <c r="F32" s="60">
        <f t="array" ref="F32:H34">MINVERSE(F27:H29)</f>
        <v>0.16446789226007033</v>
      </c>
      <c r="G32" s="61">
        <v>-5.1992920167023664E-2</v>
      </c>
      <c r="H32" s="62">
        <v>-4.4348955306957177E-3</v>
      </c>
      <c r="K32" s="39" t="s">
        <v>370</v>
      </c>
      <c r="L32" s="74">
        <f t="array" ref="L32:L34">MMULT(F32:H34,L27:L29)</f>
        <v>-4.6371676133237262E-3</v>
      </c>
      <c r="M32" s="84">
        <f>($L$39*F32)^0.5</f>
        <v>1.0321994151485953E-3</v>
      </c>
      <c r="N32" s="77">
        <f>L32/M32</f>
        <v>-4.4925113745159022</v>
      </c>
    </row>
    <row r="33" spans="6:14">
      <c r="F33" s="63">
        <v>-5.1992920167023671E-2</v>
      </c>
      <c r="G33" s="64">
        <v>2.8938017241931967E-2</v>
      </c>
      <c r="H33" s="65">
        <v>2.8919688639516146E-3</v>
      </c>
      <c r="K33" s="40" t="s">
        <v>371</v>
      </c>
      <c r="L33" s="75">
        <v>1.0616701865070665E-3</v>
      </c>
      <c r="M33" s="85">
        <f>($L$39*G33)^0.5</f>
        <v>4.3296962633690715E-4</v>
      </c>
      <c r="N33" s="78">
        <f>L33/M33</f>
        <v>2.4520662003226708</v>
      </c>
    </row>
    <row r="34" spans="6:14" ht="15.5" thickBot="1">
      <c r="F34" s="66">
        <v>-4.434895530695716E-3</v>
      </c>
      <c r="G34" s="67">
        <v>2.8919688639516146E-3</v>
      </c>
      <c r="H34" s="68">
        <v>3.2046092430074212E-4</v>
      </c>
      <c r="K34" s="40" t="s">
        <v>388</v>
      </c>
      <c r="L34" s="76">
        <v>4.5267530211196114E-5</v>
      </c>
      <c r="M34" s="86">
        <f>($L$39*H34)^0.5</f>
        <v>4.5562818944076963E-5</v>
      </c>
      <c r="N34" s="79">
        <f>L34/M34</f>
        <v>0.99351908552358714</v>
      </c>
    </row>
    <row r="35" spans="6:14" ht="15" thickBot="1">
      <c r="K35" s="40" t="s">
        <v>372</v>
      </c>
      <c r="L35" s="80">
        <f>L34^0.5</f>
        <v>6.728114907698598E-3</v>
      </c>
      <c r="M35" s="81">
        <f>(M34^2/(4*L34))^0.5</f>
        <v>3.38600184220561E-3</v>
      </c>
      <c r="N35" s="82">
        <f>L35/M35</f>
        <v>1.9870381710471743</v>
      </c>
    </row>
    <row r="36" spans="6:14">
      <c r="K36" s="39" t="s">
        <v>389</v>
      </c>
      <c r="L36" s="41">
        <f>COUNT(G5:G23)</f>
        <v>19</v>
      </c>
    </row>
    <row r="37" spans="6:14">
      <c r="K37" s="39" t="s">
        <v>390</v>
      </c>
      <c r="L37" s="41">
        <f>COUNT(L32:L34)</f>
        <v>3</v>
      </c>
    </row>
    <row r="38" spans="6:14">
      <c r="K38" s="39" t="s">
        <v>373</v>
      </c>
      <c r="L38" s="83">
        <f>SUMPRODUCT(J5:J23,J5:J23)</f>
        <v>1.0364922835621647E-4</v>
      </c>
    </row>
    <row r="39" spans="6:14">
      <c r="K39" s="39" t="s">
        <v>391</v>
      </c>
      <c r="L39" s="83">
        <f>L38/(L36-L37)</f>
        <v>6.4780767722635296E-6</v>
      </c>
    </row>
  </sheetData>
  <mergeCells count="1">
    <mergeCell ref="A1:J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1180-5074-420C-AD59-78B58ACD973B}">
  <sheetPr codeName="Sheet11"/>
  <dimension ref="A1:I13"/>
  <sheetViews>
    <sheetView workbookViewId="0">
      <selection activeCell="G7" sqref="G7"/>
    </sheetView>
  </sheetViews>
  <sheetFormatPr defaultRowHeight="14.5"/>
  <cols>
    <col min="7" max="7" width="11.36328125" bestFit="1" customWidth="1"/>
    <col min="8" max="8" width="10.08984375" customWidth="1"/>
  </cols>
  <sheetData>
    <row r="1" spans="1:9">
      <c r="A1" s="90"/>
      <c r="B1" s="304" t="s">
        <v>414</v>
      </c>
      <c r="C1" s="304"/>
      <c r="D1" s="304"/>
      <c r="E1" s="304"/>
      <c r="F1" s="304"/>
      <c r="G1" s="304"/>
      <c r="H1" s="304"/>
      <c r="I1" s="90"/>
    </row>
    <row r="2" spans="1:9" ht="15" thickBot="1">
      <c r="A2" s="90"/>
      <c r="B2" s="304"/>
      <c r="C2" s="304"/>
      <c r="D2" s="304"/>
      <c r="E2" s="304"/>
      <c r="F2" s="304"/>
      <c r="G2" s="304"/>
      <c r="H2" s="304"/>
      <c r="I2" s="90"/>
    </row>
    <row r="3" spans="1:9" ht="15" thickBot="1">
      <c r="A3" s="90"/>
      <c r="B3" s="311" t="s">
        <v>415</v>
      </c>
      <c r="C3" s="311"/>
      <c r="D3" s="311"/>
      <c r="E3" s="117"/>
      <c r="F3" s="311" t="s">
        <v>417</v>
      </c>
      <c r="G3" s="311"/>
      <c r="H3" s="311"/>
      <c r="I3" s="90"/>
    </row>
    <row r="4" spans="1:9" ht="15" thickBot="1">
      <c r="A4" s="90"/>
      <c r="B4" s="118" t="s">
        <v>416</v>
      </c>
      <c r="C4" s="119">
        <v>-5.0000000000000001E-3</v>
      </c>
      <c r="D4" s="119">
        <v>-5.0000000000000001E-3</v>
      </c>
      <c r="E4" s="120"/>
      <c r="F4" s="120" t="s">
        <v>416</v>
      </c>
      <c r="G4" s="119">
        <v>-5.0000000000000001E-3</v>
      </c>
      <c r="H4" s="121">
        <v>-5.0000000000000001E-3</v>
      </c>
      <c r="I4" s="90"/>
    </row>
    <row r="5" spans="1:9">
      <c r="A5" s="122" t="s">
        <v>454</v>
      </c>
      <c r="B5" s="123">
        <v>2</v>
      </c>
      <c r="C5" s="109">
        <v>24</v>
      </c>
      <c r="D5" s="109">
        <v>24</v>
      </c>
      <c r="E5" s="109"/>
      <c r="F5" s="109">
        <f>('NOTE 1 (Q1 to Q5)'!$B$7-'NOTE 1 (Q1 to Q5)'!$B$18)/365</f>
        <v>2.9013698630136986</v>
      </c>
      <c r="G5" s="124">
        <f>($F$5-$B$5)*(C6-C5)/($B$6-$B$5)+C5</f>
        <v>31.932054794520546</v>
      </c>
      <c r="H5" s="125">
        <f>($F$5-$B$5)*(D6-D5)/($B$6-$B$5)+D5</f>
        <v>31.932054794520546</v>
      </c>
      <c r="I5" s="90"/>
    </row>
    <row r="6" spans="1:9" ht="15" thickBot="1">
      <c r="A6" s="126">
        <v>-5.0000000000000001E-3</v>
      </c>
      <c r="B6" s="127">
        <v>3</v>
      </c>
      <c r="C6" s="128">
        <v>32.799999999999997</v>
      </c>
      <c r="D6" s="128">
        <v>32.799999999999997</v>
      </c>
      <c r="E6" s="128"/>
      <c r="F6" s="128" t="s">
        <v>401</v>
      </c>
      <c r="G6" s="129">
        <f>A6</f>
        <v>-5.0000000000000001E-3</v>
      </c>
      <c r="H6" s="130"/>
      <c r="I6" s="90"/>
    </row>
    <row r="7" spans="1:9" ht="15" thickBot="1">
      <c r="A7" s="90"/>
      <c r="B7" s="90"/>
      <c r="C7" s="90"/>
      <c r="D7" s="90"/>
      <c r="E7" s="90"/>
      <c r="F7" s="131" t="s">
        <v>418</v>
      </c>
      <c r="G7" s="132">
        <f>IF(G4=H4,G5,(H4-G6)/(H4-G4)*G5+(G6-G4)/(H4-G4)*H5)</f>
        <v>31.932054794520546</v>
      </c>
      <c r="H7" s="90"/>
      <c r="I7" s="90"/>
    </row>
    <row r="8" spans="1:9" ht="15" thickBot="1">
      <c r="A8" s="90"/>
      <c r="B8" s="90"/>
      <c r="C8" s="90"/>
      <c r="D8" s="90"/>
      <c r="E8" s="90"/>
      <c r="F8" s="90"/>
      <c r="G8" s="90"/>
      <c r="H8" s="90"/>
      <c r="I8" s="90"/>
    </row>
    <row r="9" spans="1:9" ht="15" thickBot="1">
      <c r="A9" s="90"/>
      <c r="B9" s="118" t="s">
        <v>416</v>
      </c>
      <c r="C9" s="119">
        <v>2.5000000000000001E-2</v>
      </c>
      <c r="D9" s="119">
        <v>2.5000000000000001E-2</v>
      </c>
      <c r="E9" s="120"/>
      <c r="F9" s="120" t="s">
        <v>416</v>
      </c>
      <c r="G9" s="119">
        <v>2.5000000000000001E-2</v>
      </c>
      <c r="H9" s="121">
        <v>2.5000000000000001E-2</v>
      </c>
      <c r="I9" s="90"/>
    </row>
    <row r="10" spans="1:9">
      <c r="A10" s="122" t="s">
        <v>454</v>
      </c>
      <c r="B10" s="123">
        <v>2</v>
      </c>
      <c r="C10" s="133">
        <v>79.849999999999994</v>
      </c>
      <c r="D10" s="133">
        <v>79.849999999999994</v>
      </c>
      <c r="E10" s="109"/>
      <c r="F10" s="109">
        <f>('NOTE 1 (Q1 to Q5)'!$B$7-'NOTE 1 (Q1 to Q5)'!$B$18)/365</f>
        <v>2.9013698630136986</v>
      </c>
      <c r="G10" s="124">
        <f>($F$5-$B$5)*(C11-C10)/($B$6-$B$5)+C10</f>
        <v>78.470904109589029</v>
      </c>
      <c r="H10" s="125">
        <f>($F$5-$B$5)*(D11-D10)/($B$6-$B$5)+D10</f>
        <v>78.470904109589029</v>
      </c>
      <c r="I10" s="90"/>
    </row>
    <row r="11" spans="1:9" ht="15" thickBot="1">
      <c r="A11" s="126">
        <v>2.5000000000000001E-2</v>
      </c>
      <c r="B11" s="127">
        <v>3</v>
      </c>
      <c r="C11" s="134">
        <v>78.319999999999993</v>
      </c>
      <c r="D11" s="134">
        <v>78.319999999999993</v>
      </c>
      <c r="E11" s="128"/>
      <c r="F11" s="128" t="s">
        <v>401</v>
      </c>
      <c r="G11" s="129">
        <f>A11</f>
        <v>2.5000000000000001E-2</v>
      </c>
      <c r="H11" s="130"/>
      <c r="I11" s="90"/>
    </row>
    <row r="12" spans="1:9" ht="15" thickBot="1">
      <c r="A12" s="90"/>
      <c r="B12" s="90"/>
      <c r="C12" s="90"/>
      <c r="D12" s="90"/>
      <c r="E12" s="90"/>
      <c r="F12" s="131" t="s">
        <v>418</v>
      </c>
      <c r="G12" s="132">
        <f>IF(G9=H9,G10,(H9-G11)/(H9-G9)*G10+(G11-G9)/(H9-G9)*H10)</f>
        <v>78.470904109589029</v>
      </c>
      <c r="H12" s="90"/>
      <c r="I12" s="90"/>
    </row>
    <row r="13" spans="1:9">
      <c r="A13" s="90"/>
      <c r="B13" s="90"/>
      <c r="C13" s="90"/>
      <c r="D13" s="90"/>
      <c r="E13" s="90"/>
      <c r="F13" s="90"/>
      <c r="G13" s="90"/>
      <c r="H13" s="90"/>
      <c r="I13" s="90"/>
    </row>
  </sheetData>
  <mergeCells count="3">
    <mergeCell ref="B1:H2"/>
    <mergeCell ref="B3:D3"/>
    <mergeCell ref="F3:H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FBFD1-B2BA-4585-9604-F24086804A69}">
  <sheetPr codeName="Sheet12"/>
  <dimension ref="A1:K64"/>
  <sheetViews>
    <sheetView topLeftCell="A33" zoomScale="89" workbookViewId="0">
      <selection activeCell="B50" sqref="B50"/>
    </sheetView>
  </sheetViews>
  <sheetFormatPr defaultRowHeight="14.5"/>
  <cols>
    <col min="1" max="1" width="11.7265625" style="90" bestFit="1" customWidth="1"/>
    <col min="2" max="2" width="16.6328125" style="90" bestFit="1" customWidth="1"/>
    <col min="3" max="3" width="11.7265625" style="90" bestFit="1" customWidth="1"/>
    <col min="4" max="5" width="8.7265625" style="90"/>
    <col min="6" max="6" width="16.6328125" style="90" bestFit="1" customWidth="1"/>
    <col min="7" max="8" width="8.7265625" style="90"/>
    <col min="9" max="9" width="10" bestFit="1" customWidth="1"/>
  </cols>
  <sheetData>
    <row r="1" spans="1:4" ht="14.5" customHeight="1">
      <c r="A1" s="312" t="s">
        <v>422</v>
      </c>
      <c r="B1" s="312"/>
      <c r="C1" s="312"/>
      <c r="D1" s="312"/>
    </row>
    <row r="2" spans="1:4" ht="14.5" customHeight="1" thickBot="1">
      <c r="A2" s="312"/>
      <c r="B2" s="312"/>
      <c r="C2" s="312"/>
      <c r="D2" s="312"/>
    </row>
    <row r="3" spans="1:4" ht="14.5" customHeight="1" thickBot="1">
      <c r="A3" s="313" t="s">
        <v>423</v>
      </c>
      <c r="B3" s="313"/>
    </row>
    <row r="4" spans="1:4" ht="15" thickBot="1">
      <c r="A4" s="117" t="s">
        <v>30</v>
      </c>
      <c r="B4" s="117" t="s">
        <v>421</v>
      </c>
    </row>
    <row r="5" spans="1:4">
      <c r="A5" s="135">
        <v>0.5</v>
      </c>
      <c r="B5" s="136">
        <v>1.9767E-2</v>
      </c>
    </row>
    <row r="6" spans="1:4">
      <c r="A6" s="90">
        <v>1</v>
      </c>
      <c r="B6" s="137">
        <v>3.5333000000000003E-2</v>
      </c>
    </row>
    <row r="7" spans="1:4">
      <c r="A7" s="90">
        <v>2</v>
      </c>
      <c r="B7" s="137">
        <v>6.5809000000000006E-2</v>
      </c>
    </row>
    <row r="8" spans="1:4">
      <c r="A8" s="90">
        <v>3</v>
      </c>
      <c r="B8" s="137">
        <v>9.5322000000000004E-2</v>
      </c>
    </row>
    <row r="9" spans="1:4">
      <c r="A9" s="90">
        <v>4</v>
      </c>
      <c r="B9" s="137">
        <v>0.123903</v>
      </c>
    </row>
    <row r="10" spans="1:4">
      <c r="A10" s="90">
        <v>5</v>
      </c>
      <c r="B10" s="137">
        <v>0.15165600000000001</v>
      </c>
    </row>
    <row r="11" spans="1:4">
      <c r="A11" s="90">
        <v>7</v>
      </c>
      <c r="B11" s="137">
        <v>0.20441200000000001</v>
      </c>
    </row>
    <row r="12" spans="1:4">
      <c r="A12" s="90">
        <v>10</v>
      </c>
      <c r="B12" s="137">
        <v>0.27752199999999999</v>
      </c>
    </row>
    <row r="13" spans="1:4">
      <c r="A13" s="90">
        <v>15</v>
      </c>
      <c r="B13" s="137">
        <v>0.38471300000000003</v>
      </c>
    </row>
    <row r="14" spans="1:4">
      <c r="A14" s="90">
        <v>20</v>
      </c>
      <c r="B14" s="137">
        <v>0.47600100000000001</v>
      </c>
    </row>
    <row r="15" spans="1:4">
      <c r="A15" s="90">
        <v>30</v>
      </c>
      <c r="B15" s="137">
        <v>0.61998799999999998</v>
      </c>
    </row>
    <row r="16" spans="1:4" ht="15" thickBot="1"/>
    <row r="17" spans="1:9" ht="15" thickBot="1">
      <c r="A17" s="314" t="s">
        <v>424</v>
      </c>
      <c r="B17" s="314"/>
      <c r="C17" s="314"/>
      <c r="D17" s="314"/>
      <c r="E17" s="314"/>
    </row>
    <row r="18" spans="1:9" ht="15" thickBot="1">
      <c r="A18" s="138" t="s">
        <v>30</v>
      </c>
      <c r="B18" s="138" t="s">
        <v>420</v>
      </c>
      <c r="C18" s="138" t="s">
        <v>425</v>
      </c>
      <c r="D18" s="138" t="s">
        <v>303</v>
      </c>
      <c r="E18" s="138" t="s">
        <v>344</v>
      </c>
    </row>
    <row r="19" spans="1:9">
      <c r="A19" s="90">
        <f t="shared" ref="A19:B29" si="0">A5</f>
        <v>0.5</v>
      </c>
      <c r="B19" s="110">
        <f t="shared" si="0"/>
        <v>1.9767E-2</v>
      </c>
      <c r="C19" s="137">
        <f>1-B19</f>
        <v>0.98023300000000002</v>
      </c>
      <c r="D19" s="90">
        <f>A19</f>
        <v>0.5</v>
      </c>
      <c r="E19" s="100">
        <f>-LN(C19)/D19</f>
        <v>3.9929960949487565E-2</v>
      </c>
    </row>
    <row r="20" spans="1:9">
      <c r="A20" s="90">
        <f t="shared" si="0"/>
        <v>1</v>
      </c>
      <c r="B20" s="110">
        <f t="shared" si="0"/>
        <v>3.5333000000000003E-2</v>
      </c>
      <c r="C20" s="137">
        <f t="shared" ref="C20:C29" si="1">1-B20</f>
        <v>0.96466699999999994</v>
      </c>
      <c r="D20" s="90">
        <f t="shared" ref="D20:D29" si="2">A20</f>
        <v>1</v>
      </c>
      <c r="E20" s="100">
        <f t="shared" ref="E20:E29" si="3">-LN(C20)/D20</f>
        <v>3.5972314916375606E-2</v>
      </c>
    </row>
    <row r="21" spans="1:9">
      <c r="A21" s="90">
        <f t="shared" si="0"/>
        <v>2</v>
      </c>
      <c r="B21" s="110">
        <f t="shared" si="0"/>
        <v>6.5809000000000006E-2</v>
      </c>
      <c r="C21" s="137">
        <f t="shared" si="1"/>
        <v>0.93419099999999999</v>
      </c>
      <c r="D21" s="90">
        <f t="shared" si="2"/>
        <v>2</v>
      </c>
      <c r="E21" s="100">
        <f t="shared" si="3"/>
        <v>3.4037182435951926E-2</v>
      </c>
    </row>
    <row r="22" spans="1:9">
      <c r="A22" s="90">
        <f t="shared" si="0"/>
        <v>3</v>
      </c>
      <c r="B22" s="110">
        <f t="shared" si="0"/>
        <v>9.5322000000000004E-2</v>
      </c>
      <c r="C22" s="137">
        <f t="shared" si="1"/>
        <v>0.90467799999999998</v>
      </c>
      <c r="D22" s="90">
        <f t="shared" si="2"/>
        <v>3</v>
      </c>
      <c r="E22" s="100">
        <f t="shared" si="3"/>
        <v>3.3392066566471541E-2</v>
      </c>
    </row>
    <row r="23" spans="1:9">
      <c r="A23" s="90">
        <f t="shared" si="0"/>
        <v>4</v>
      </c>
      <c r="B23" s="110">
        <f t="shared" si="0"/>
        <v>0.123903</v>
      </c>
      <c r="C23" s="137">
        <f t="shared" si="1"/>
        <v>0.87609700000000001</v>
      </c>
      <c r="D23" s="90">
        <f t="shared" si="2"/>
        <v>4</v>
      </c>
      <c r="E23" s="100">
        <f t="shared" si="3"/>
        <v>3.3069615895579482E-2</v>
      </c>
      <c r="I23" s="20"/>
    </row>
    <row r="24" spans="1:9">
      <c r="A24" s="90">
        <f t="shared" si="0"/>
        <v>5</v>
      </c>
      <c r="B24" s="110">
        <f t="shared" si="0"/>
        <v>0.15165600000000001</v>
      </c>
      <c r="C24" s="137">
        <f t="shared" si="1"/>
        <v>0.84834399999999999</v>
      </c>
      <c r="D24" s="90">
        <f t="shared" si="2"/>
        <v>5</v>
      </c>
      <c r="E24" s="100">
        <f t="shared" si="3"/>
        <v>3.2893813014160257E-2</v>
      </c>
      <c r="I24" s="20"/>
    </row>
    <row r="25" spans="1:9">
      <c r="A25" s="90">
        <f t="shared" si="0"/>
        <v>7</v>
      </c>
      <c r="B25" s="110">
        <f t="shared" si="0"/>
        <v>0.20441200000000001</v>
      </c>
      <c r="C25" s="137">
        <f t="shared" si="1"/>
        <v>0.79558799999999996</v>
      </c>
      <c r="D25" s="90">
        <f t="shared" si="2"/>
        <v>7</v>
      </c>
      <c r="E25" s="100">
        <f t="shared" si="3"/>
        <v>3.2667687867475474E-2</v>
      </c>
      <c r="I25" s="20"/>
    </row>
    <row r="26" spans="1:9">
      <c r="A26" s="90">
        <f t="shared" si="0"/>
        <v>10</v>
      </c>
      <c r="B26" s="110">
        <f t="shared" si="0"/>
        <v>0.27752199999999999</v>
      </c>
      <c r="C26" s="137">
        <f t="shared" si="1"/>
        <v>0.72247799999999995</v>
      </c>
      <c r="D26" s="90">
        <f t="shared" si="2"/>
        <v>10</v>
      </c>
      <c r="E26" s="100">
        <f t="shared" si="3"/>
        <v>3.2506830928614491E-2</v>
      </c>
      <c r="I26" s="20"/>
    </row>
    <row r="27" spans="1:9">
      <c r="A27" s="90">
        <f t="shared" si="0"/>
        <v>15</v>
      </c>
      <c r="B27" s="110">
        <f t="shared" si="0"/>
        <v>0.38471300000000003</v>
      </c>
      <c r="C27" s="137">
        <f t="shared" si="1"/>
        <v>0.61528699999999992</v>
      </c>
      <c r="D27" s="90">
        <f t="shared" si="2"/>
        <v>15</v>
      </c>
      <c r="E27" s="100">
        <f t="shared" si="3"/>
        <v>3.2377763557598457E-2</v>
      </c>
      <c r="I27" s="20"/>
    </row>
    <row r="28" spans="1:9">
      <c r="A28" s="90">
        <f t="shared" si="0"/>
        <v>20</v>
      </c>
      <c r="B28" s="110">
        <f t="shared" si="0"/>
        <v>0.47600100000000001</v>
      </c>
      <c r="C28" s="137">
        <f t="shared" si="1"/>
        <v>0.52399899999999999</v>
      </c>
      <c r="D28" s="90">
        <f t="shared" si="2"/>
        <v>20</v>
      </c>
      <c r="E28" s="100">
        <f t="shared" si="3"/>
        <v>3.2313275152993121E-2</v>
      </c>
      <c r="I28" s="20"/>
    </row>
    <row r="29" spans="1:9">
      <c r="A29" s="90">
        <f t="shared" si="0"/>
        <v>30</v>
      </c>
      <c r="B29" s="110">
        <f t="shared" si="0"/>
        <v>0.61998799999999998</v>
      </c>
      <c r="C29" s="137">
        <f t="shared" si="1"/>
        <v>0.38001200000000002</v>
      </c>
      <c r="D29" s="90">
        <f t="shared" si="2"/>
        <v>30</v>
      </c>
      <c r="E29" s="100">
        <f t="shared" si="3"/>
        <v>3.2251748260431388E-2</v>
      </c>
      <c r="I29" s="20"/>
    </row>
    <row r="30" spans="1:9" ht="15" thickBot="1">
      <c r="I30" s="20"/>
    </row>
    <row r="31" spans="1:9" ht="15" thickBot="1">
      <c r="C31" s="314" t="s">
        <v>452</v>
      </c>
      <c r="D31" s="314"/>
      <c r="E31" s="314"/>
      <c r="F31" s="314"/>
      <c r="I31" s="20"/>
    </row>
    <row r="32" spans="1:9" ht="15" thickBot="1">
      <c r="C32" s="117"/>
      <c r="D32" s="117" t="s">
        <v>303</v>
      </c>
      <c r="E32" s="117" t="s">
        <v>426</v>
      </c>
      <c r="F32" s="117" t="s">
        <v>427</v>
      </c>
      <c r="I32" s="20"/>
    </row>
    <row r="33" spans="3:11">
      <c r="C33" s="90">
        <f>'NOTE 1 (Q1 to Q5)'!E72</f>
        <v>145</v>
      </c>
      <c r="D33" s="103">
        <f>'NOTE 1 (Q1 to Q5)'!G72</f>
        <v>0.40277777777777779</v>
      </c>
      <c r="E33" s="100" cm="1">
        <f t="array" ref="E33">LinterpDefault($D$19:$E$29,D33)</f>
        <v>4.0699503233703777E-2</v>
      </c>
      <c r="F33" s="110">
        <f t="shared" ref="F33:F38" si="4">EXP(-D33*E33)</f>
        <v>0.983740776188188</v>
      </c>
      <c r="I33" s="20"/>
    </row>
    <row r="34" spans="3:11">
      <c r="C34" s="90">
        <f>'NOTE 1 (Q1 to Q5)'!E73</f>
        <v>329</v>
      </c>
      <c r="D34" s="103">
        <f>'NOTE 1 (Q1 to Q5)'!G73</f>
        <v>0.91388888888888886</v>
      </c>
      <c r="E34" s="100" cm="1">
        <f t="array" ref="E34">LinterpDefault($D$19:$E$29,D34)</f>
        <v>3.6653909510967107E-2</v>
      </c>
      <c r="F34" s="110">
        <f t="shared" si="4"/>
        <v>0.96705723155052858</v>
      </c>
    </row>
    <row r="35" spans="3:11">
      <c r="C35" s="90">
        <f>'NOTE 1 (Q1 to Q5)'!E74</f>
        <v>510</v>
      </c>
      <c r="D35" s="103">
        <f>'NOTE 1 (Q1 to Q5)'!G74</f>
        <v>1.4166666666666667</v>
      </c>
      <c r="E35" s="100" cm="1">
        <f t="array" ref="E35">LinterpDefault($D$19:$E$29,D35)</f>
        <v>3.516600971619907E-2</v>
      </c>
      <c r="F35" s="110">
        <f t="shared" si="4"/>
        <v>0.95140207521434383</v>
      </c>
    </row>
    <row r="36" spans="3:11">
      <c r="C36" s="90">
        <f>'NOTE 1 (Q1 to Q5)'!E75</f>
        <v>694</v>
      </c>
      <c r="D36" s="103">
        <f>'NOTE 1 (Q1 to Q5)'!G75</f>
        <v>1.9277777777777778</v>
      </c>
      <c r="E36" s="100" cm="1">
        <f t="array" ref="E36">LinterpDefault($D$19:$E$29,D36)</f>
        <v>3.4176942003982524E-2</v>
      </c>
      <c r="F36" s="110">
        <f t="shared" si="4"/>
        <v>0.93623801124854633</v>
      </c>
      <c r="I36" s="21"/>
      <c r="J36" s="20"/>
      <c r="K36" s="21"/>
    </row>
    <row r="37" spans="3:11">
      <c r="C37" s="90">
        <f>'NOTE 1 (Q1 to Q5)'!E76</f>
        <v>875</v>
      </c>
      <c r="D37" s="103">
        <f>'NOTE 1 (Q1 to Q5)'!G76</f>
        <v>2.4305555555555554</v>
      </c>
      <c r="E37" s="100" cm="1">
        <f t="array" ref="E37">LinterpDefault($D$19:$E$29,D37)</f>
        <v>3.3759424214370094E-2</v>
      </c>
      <c r="F37" s="110">
        <f t="shared" si="4"/>
        <v>0.92122206757255554</v>
      </c>
      <c r="J37" s="20"/>
      <c r="K37" s="21"/>
    </row>
    <row r="38" spans="3:11">
      <c r="C38" s="90">
        <f>'NOTE 1 (Q1 to Q5)'!E77</f>
        <v>1059</v>
      </c>
      <c r="D38" s="103">
        <f>'NOTE 1 (Q1 to Q5)'!G77</f>
        <v>2.9416666666666669</v>
      </c>
      <c r="E38" s="100" cm="1">
        <f t="array" ref="E38">LinterpDefault($D$19:$E$29,D38)</f>
        <v>3.3429698325524566E-2</v>
      </c>
      <c r="F38" s="110">
        <f t="shared" si="4"/>
        <v>0.90634157536390114</v>
      </c>
      <c r="J38" s="20"/>
      <c r="K38" s="21"/>
    </row>
    <row r="39" spans="3:11" ht="15" thickBot="1">
      <c r="J39" s="20"/>
      <c r="K39" s="21"/>
    </row>
    <row r="40" spans="3:11" ht="15" thickBot="1">
      <c r="C40" s="314" t="s">
        <v>453</v>
      </c>
      <c r="D40" s="314"/>
      <c r="E40" s="314"/>
      <c r="F40" s="314"/>
      <c r="J40" s="20"/>
      <c r="K40" s="21"/>
    </row>
    <row r="41" spans="3:11" ht="15" thickBot="1">
      <c r="C41" s="117"/>
      <c r="D41" s="117" t="s">
        <v>303</v>
      </c>
      <c r="E41" s="117" t="s">
        <v>426</v>
      </c>
      <c r="F41" s="117" t="s">
        <v>427</v>
      </c>
      <c r="J41" s="20"/>
      <c r="K41" s="21"/>
    </row>
    <row r="42" spans="3:11">
      <c r="C42" s="90">
        <f>'NOTE 2 (Q1, Q3 to Q5)'!D116</f>
        <v>90</v>
      </c>
      <c r="D42" s="103">
        <f>'NOTE 2 (Q1, Q3 to Q5)'!F116</f>
        <v>0.25</v>
      </c>
      <c r="E42" s="100" cm="1">
        <f t="array" ref="E42">LinterpDefault($D$19:$E$29,D42)</f>
        <v>4.1908783966043542E-2</v>
      </c>
      <c r="F42" s="110">
        <f t="shared" ref="F42:F47" si="5">EXP(-D42*E42)</f>
        <v>0.98957749864427946</v>
      </c>
    </row>
    <row r="43" spans="3:11">
      <c r="C43" s="90">
        <f>'NOTE 2 (Q1, Q3 to Q5)'!D117</f>
        <v>270</v>
      </c>
      <c r="D43" s="103">
        <f>'NOTE 2 (Q1, Q3 to Q5)'!F117</f>
        <v>0.75</v>
      </c>
      <c r="E43" s="100" cm="1">
        <f t="array" ref="E43">LinterpDefault($D$19:$E$29,D43)</f>
        <v>3.7951137932931589E-2</v>
      </c>
      <c r="F43" s="110">
        <f t="shared" si="5"/>
        <v>0.9719379116650726</v>
      </c>
    </row>
    <row r="44" spans="3:11">
      <c r="C44" s="90">
        <f>'NOTE 2 (Q1, Q3 to Q5)'!D118</f>
        <v>450</v>
      </c>
      <c r="D44" s="103">
        <f>'NOTE 2 (Q1, Q3 to Q5)'!F118</f>
        <v>1.25</v>
      </c>
      <c r="E44" s="100" cm="1">
        <f t="array" ref="E44">LinterpDefault($D$19:$E$29,D44)</f>
        <v>3.5488531796269686E-2</v>
      </c>
      <c r="F44" s="110">
        <f t="shared" si="5"/>
        <v>0.95660888015002832</v>
      </c>
    </row>
    <row r="45" spans="3:11">
      <c r="C45" s="90">
        <f>'NOTE 2 (Q1, Q3 to Q5)'!D119</f>
        <v>630</v>
      </c>
      <c r="D45" s="103">
        <f>'NOTE 2 (Q1, Q3 to Q5)'!F119</f>
        <v>1.75</v>
      </c>
      <c r="E45" s="100" cm="1">
        <f t="array" ref="E45">LinterpDefault($D$19:$E$29,D45)</f>
        <v>3.4520965556057846E-2</v>
      </c>
      <c r="F45" s="110">
        <f t="shared" si="5"/>
        <v>0.94137689860233498</v>
      </c>
    </row>
    <row r="46" spans="3:11">
      <c r="C46" s="90">
        <f>'NOTE 2 (Q1, Q3 to Q5)'!D120</f>
        <v>810</v>
      </c>
      <c r="D46" s="103">
        <f>'NOTE 2 (Q1, Q3 to Q5)'!F120</f>
        <v>2.25</v>
      </c>
      <c r="E46" s="100" cm="1">
        <f t="array" ref="E46">LinterpDefault($D$19:$E$29,D46)</f>
        <v>3.3875903468581832E-2</v>
      </c>
      <c r="F46" s="110">
        <f t="shared" si="5"/>
        <v>0.92661160406540621</v>
      </c>
    </row>
    <row r="47" spans="3:11">
      <c r="C47" s="90">
        <f>'NOTE 2 (Q1, Q3 to Q5)'!D121</f>
        <v>992</v>
      </c>
      <c r="D47" s="103">
        <f>'NOTE 2 (Q1, Q3 to Q5)'!F121</f>
        <v>2.7555555555555555</v>
      </c>
      <c r="E47" s="100" cm="1">
        <f t="array" ref="E47">LinterpDefault($D$19:$E$29,D47)</f>
        <v>3.3549761556788966E-2</v>
      </c>
      <c r="F47" s="110">
        <f t="shared" si="5"/>
        <v>0.91169640658338413</v>
      </c>
    </row>
    <row r="48" spans="3:11">
      <c r="C48" s="90">
        <f>'NOTE 2 (Q1, Q3 to Q5)'!D122</f>
        <v>1170</v>
      </c>
      <c r="D48" s="103">
        <f>'NOTE 2 (Q1, Q3 to Q5)'!F122</f>
        <v>3.25</v>
      </c>
      <c r="E48" s="100" cm="1">
        <f t="array" ref="E48">LinterpDefault($D$19:$E$29,D48)</f>
        <v>3.3311453898748525E-2</v>
      </c>
      <c r="F48" s="110">
        <f t="shared" ref="F48:F55" si="6">EXP(-D48*E48)</f>
        <v>0.89739224673918205</v>
      </c>
    </row>
    <row r="49" spans="3:6">
      <c r="C49" s="90">
        <f>'NOTE 2 (Q1, Q3 to Q5)'!D123</f>
        <v>1351</v>
      </c>
      <c r="D49" s="103">
        <f>'NOTE 2 (Q1, Q3 to Q5)'!F123</f>
        <v>3.7527777777777778</v>
      </c>
      <c r="E49" s="100" cm="1">
        <f t="array" ref="E49">LinterpDefault($D$19:$E$29,D49)</f>
        <v>3.3149332866994466E-2</v>
      </c>
      <c r="F49" s="110">
        <f t="shared" si="6"/>
        <v>0.8830247231511964</v>
      </c>
    </row>
    <row r="50" spans="3:6">
      <c r="C50" s="90">
        <f>'NOTE 2 (Q1, Q3 to Q5)'!D124</f>
        <v>1531</v>
      </c>
      <c r="D50" s="103">
        <f>'NOTE 2 (Q1, Q3 to Q5)'!F124</f>
        <v>4.2527777777777782</v>
      </c>
      <c r="E50" s="100" cm="1">
        <f t="array" ref="E50">LinterpDefault($D$19:$E$29,D50)</f>
        <v>3.30251768338874E-2</v>
      </c>
      <c r="F50" s="110">
        <f t="shared" si="6"/>
        <v>0.86896820871222047</v>
      </c>
    </row>
    <row r="51" spans="3:6">
      <c r="C51" s="90">
        <f>'NOTE 2 (Q1, Q3 to Q5)'!D125</f>
        <v>1710</v>
      </c>
      <c r="D51" s="103">
        <f>'NOTE 2 (Q1, Q3 to Q5)'!F125</f>
        <v>4.75</v>
      </c>
      <c r="E51" s="100" cm="1">
        <f t="array" ref="E51">LinterpDefault($D$19:$E$29,D51)</f>
        <v>3.2937763734515062E-2</v>
      </c>
      <c r="F51" s="110">
        <f t="shared" si="6"/>
        <v>0.85517053162619039</v>
      </c>
    </row>
    <row r="52" spans="3:6">
      <c r="C52" s="90">
        <f>'NOTE 2 (Q1, Q3 to Q5)'!D126</f>
        <v>1890</v>
      </c>
      <c r="D52" s="103">
        <f>'NOTE 2 (Q1, Q3 to Q5)'!F126</f>
        <v>5.25</v>
      </c>
      <c r="E52" s="100" cm="1">
        <f t="array" ref="E52">LinterpDefault($D$19:$E$29,D52)</f>
        <v>3.2865547370824658E-2</v>
      </c>
      <c r="F52" s="110">
        <f t="shared" si="6"/>
        <v>0.84152115696817653</v>
      </c>
    </row>
    <row r="53" spans="3:6">
      <c r="C53" s="90">
        <f>'NOTE 2 (Q1, Q3 to Q5)'!D127</f>
        <v>2070</v>
      </c>
      <c r="D53" s="103">
        <f>'NOTE 2 (Q1, Q3 to Q5)'!F127</f>
        <v>5.75</v>
      </c>
      <c r="E53" s="100" cm="1">
        <f t="array" ref="E53">LinterpDefault($D$19:$E$29,D53)</f>
        <v>3.2809016084153465E-2</v>
      </c>
      <c r="F53" s="110">
        <f t="shared" si="6"/>
        <v>0.82807475696411736</v>
      </c>
    </row>
    <row r="54" spans="3:6">
      <c r="C54" s="90">
        <f>'NOTE 2 (Q1, Q3 to Q5)'!D128</f>
        <v>2250</v>
      </c>
      <c r="D54" s="103">
        <f>'NOTE 2 (Q1, Q3 to Q5)'!F128</f>
        <v>6.25</v>
      </c>
      <c r="E54" s="100" cm="1">
        <f t="array" ref="E54">LinterpDefault($D$19:$E$29,D54)</f>
        <v>3.2752484797482266E-2</v>
      </c>
      <c r="F54" s="110">
        <f t="shared" si="6"/>
        <v>0.81488927816370282</v>
      </c>
    </row>
    <row r="55" spans="3:6">
      <c r="C55" s="90">
        <f>'NOTE 2 (Q1, Q3 to Q5)'!D129</f>
        <v>2430</v>
      </c>
      <c r="D55" s="103">
        <f>'NOTE 2 (Q1, Q3 to Q5)'!F129</f>
        <v>6.75</v>
      </c>
      <c r="E55" s="100" cm="1">
        <f t="array" ref="E55">LinterpDefault($D$19:$E$29,D55)</f>
        <v>3.2695953510811074E-2</v>
      </c>
      <c r="F55" s="110">
        <f t="shared" si="6"/>
        <v>0.8019590869475538</v>
      </c>
    </row>
    <row r="56" spans="3:6">
      <c r="C56" s="90">
        <f>'NOTE 2 (Q1, Q3 to Q5)'!D130</f>
        <v>2610</v>
      </c>
      <c r="D56" s="103">
        <f>'NOTE 2 (Q1, Q3 to Q5)'!F130</f>
        <v>7.25</v>
      </c>
      <c r="E56" s="100" cm="1">
        <f t="array" ref="E56">LinterpDefault($D$19:$E$29,D56)</f>
        <v>3.2654283122570391E-2</v>
      </c>
      <c r="F56" s="110">
        <f>EXP(-D56*E56)</f>
        <v>0.78919364869788378</v>
      </c>
    </row>
    <row r="57" spans="3:6">
      <c r="D57" s="103"/>
      <c r="E57" s="100"/>
      <c r="F57" s="110"/>
    </row>
    <row r="58" spans="3:6">
      <c r="D58" s="103"/>
      <c r="E58" s="100"/>
      <c r="F58" s="110"/>
    </row>
    <row r="59" spans="3:6">
      <c r="D59" s="103"/>
      <c r="E59" s="100"/>
      <c r="F59" s="110"/>
    </row>
    <row r="60" spans="3:6">
      <c r="D60" s="103"/>
      <c r="E60" s="100"/>
      <c r="F60" s="110"/>
    </row>
    <row r="61" spans="3:6">
      <c r="D61" s="103"/>
      <c r="E61" s="100"/>
      <c r="F61" s="110"/>
    </row>
    <row r="62" spans="3:6">
      <c r="D62" s="103"/>
      <c r="E62" s="100"/>
      <c r="F62" s="110"/>
    </row>
    <row r="63" spans="3:6">
      <c r="D63" s="103"/>
      <c r="E63" s="100"/>
      <c r="F63" s="110"/>
    </row>
    <row r="64" spans="3:6">
      <c r="D64" s="103"/>
      <c r="E64" s="100"/>
      <c r="F64" s="110"/>
    </row>
  </sheetData>
  <mergeCells count="5">
    <mergeCell ref="A1:D2"/>
    <mergeCell ref="A3:B3"/>
    <mergeCell ref="C31:F31"/>
    <mergeCell ref="C40:F40"/>
    <mergeCell ref="A17:E17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pageSetUpPr fitToPage="1"/>
  </sheetPr>
  <dimension ref="A1:AO117"/>
  <sheetViews>
    <sheetView topLeftCell="J63" zoomScale="56" zoomScaleNormal="70" workbookViewId="0">
      <selection activeCell="G19" sqref="G19"/>
    </sheetView>
  </sheetViews>
  <sheetFormatPr defaultRowHeight="14.5"/>
  <cols>
    <col min="1" max="1" width="19.81640625" style="90" bestFit="1" customWidth="1"/>
    <col min="2" max="2" width="18.08984375" style="90" customWidth="1"/>
    <col min="3" max="3" width="13.26953125" style="90" customWidth="1"/>
    <col min="4" max="4" width="12.6328125" style="90" bestFit="1" customWidth="1"/>
    <col min="5" max="5" width="18.90625" style="90" customWidth="1"/>
    <col min="6" max="6" width="13.26953125" style="90" bestFit="1" customWidth="1"/>
    <col min="7" max="7" width="20.1796875" style="90" bestFit="1" customWidth="1"/>
    <col min="8" max="8" width="17.81640625" style="90" bestFit="1" customWidth="1"/>
    <col min="9" max="9" width="11.1796875" style="90" bestFit="1" customWidth="1"/>
    <col min="10" max="10" width="10.453125" style="90" bestFit="1" customWidth="1"/>
    <col min="11" max="11" width="17.81640625" style="90" bestFit="1" customWidth="1"/>
    <col min="12" max="12" width="12.36328125" style="90" bestFit="1" customWidth="1"/>
    <col min="13" max="13" width="17.6328125" style="90" bestFit="1" customWidth="1"/>
    <col min="14" max="14" width="17.81640625" style="90" bestFit="1" customWidth="1"/>
    <col min="15" max="15" width="11.1796875" style="90" bestFit="1" customWidth="1"/>
    <col min="16" max="16" width="10.90625" style="90" customWidth="1"/>
    <col min="17" max="17" width="13.7265625" style="90" bestFit="1" customWidth="1"/>
    <col min="18" max="18" width="18.90625" style="90" bestFit="1" customWidth="1"/>
    <col min="19" max="19" width="18.26953125" style="90" bestFit="1" customWidth="1"/>
    <col min="20" max="20" width="12.26953125" style="90" bestFit="1" customWidth="1"/>
    <col min="21" max="21" width="12.26953125" style="90" customWidth="1"/>
    <col min="22" max="22" width="18.90625" style="90" bestFit="1" customWidth="1"/>
    <col min="23" max="23" width="18.26953125" style="90" bestFit="1" customWidth="1"/>
    <col min="24" max="27" width="12.26953125" style="90" customWidth="1"/>
    <col min="28" max="29" width="10.90625" style="90" customWidth="1"/>
    <col min="30" max="30" width="12.26953125" style="90" bestFit="1" customWidth="1"/>
    <col min="31" max="31" width="18.08984375" style="90" bestFit="1" customWidth="1"/>
    <col min="32" max="32" width="10.90625" style="90" customWidth="1"/>
    <col min="33" max="33" width="18.90625" style="90" bestFit="1" customWidth="1"/>
    <col min="34" max="34" width="17.6328125" style="90" bestFit="1" customWidth="1"/>
    <col min="35" max="35" width="13.7265625" style="90" bestFit="1" customWidth="1"/>
    <col min="36" max="36" width="17.6328125" style="90" bestFit="1" customWidth="1"/>
    <col min="37" max="37" width="13.54296875" style="90" bestFit="1" customWidth="1"/>
    <col min="38" max="38" width="17.08984375" style="90" bestFit="1" customWidth="1"/>
    <col min="39" max="39" width="16.08984375" style="90" bestFit="1" customWidth="1"/>
    <col min="40" max="41" width="8.7265625" style="90"/>
  </cols>
  <sheetData>
    <row r="1" spans="1:27" ht="14.5" customHeight="1" thickBot="1">
      <c r="A1" s="304" t="s">
        <v>0</v>
      </c>
      <c r="B1" s="304"/>
      <c r="C1" s="304"/>
    </row>
    <row r="2" spans="1:27" ht="15" customHeight="1" thickBot="1">
      <c r="A2" s="305"/>
      <c r="B2" s="305"/>
      <c r="C2" s="305"/>
      <c r="E2" s="321" t="s">
        <v>461</v>
      </c>
      <c r="F2" s="322"/>
      <c r="H2" s="321" t="s">
        <v>460</v>
      </c>
      <c r="I2" s="322"/>
      <c r="K2" s="321" t="s">
        <v>464</v>
      </c>
      <c r="L2" s="322"/>
      <c r="N2" s="321" t="s">
        <v>463</v>
      </c>
      <c r="O2" s="322"/>
      <c r="Q2" s="321" t="s">
        <v>462</v>
      </c>
      <c r="R2" s="322"/>
    </row>
    <row r="3" spans="1:27" ht="15" thickBot="1">
      <c r="A3" s="92" t="s">
        <v>310</v>
      </c>
      <c r="B3" s="92"/>
      <c r="C3" s="92"/>
      <c r="E3" s="319" t="s">
        <v>428</v>
      </c>
      <c r="F3" s="320"/>
      <c r="H3" s="319" t="s">
        <v>428</v>
      </c>
      <c r="I3" s="320"/>
      <c r="K3" s="319" t="s">
        <v>428</v>
      </c>
      <c r="L3" s="320"/>
      <c r="N3" s="319" t="s">
        <v>428</v>
      </c>
      <c r="O3" s="320"/>
      <c r="Q3" s="319" t="s">
        <v>428</v>
      </c>
      <c r="R3" s="320"/>
      <c r="U3" s="139"/>
      <c r="V3" s="140" t="s">
        <v>468</v>
      </c>
      <c r="W3" s="141"/>
      <c r="Y3" s="139"/>
      <c r="Z3" s="140" t="s">
        <v>470</v>
      </c>
      <c r="AA3" s="141"/>
    </row>
    <row r="4" spans="1:27" ht="15" thickBot="1">
      <c r="A4" s="142" t="s">
        <v>1</v>
      </c>
      <c r="B4" s="142" t="s">
        <v>2</v>
      </c>
      <c r="C4" s="142"/>
      <c r="E4" s="143"/>
      <c r="F4" s="144" t="s">
        <v>438</v>
      </c>
      <c r="H4" s="143"/>
      <c r="I4" s="144" t="s">
        <v>438</v>
      </c>
      <c r="K4" s="143"/>
      <c r="L4" s="144" t="s">
        <v>438</v>
      </c>
      <c r="N4" s="143"/>
      <c r="O4" s="144" t="s">
        <v>438</v>
      </c>
      <c r="Q4" s="143"/>
      <c r="R4" s="144" t="s">
        <v>438</v>
      </c>
      <c r="U4" s="145"/>
      <c r="V4" s="117" t="s">
        <v>459</v>
      </c>
      <c r="W4" s="146"/>
      <c r="Y4" s="145"/>
      <c r="Z4" s="117" t="s">
        <v>459</v>
      </c>
      <c r="AA4" s="146"/>
    </row>
    <row r="5" spans="1:27">
      <c r="A5" s="142" t="s">
        <v>3</v>
      </c>
      <c r="B5" s="147">
        <v>42366</v>
      </c>
      <c r="C5" s="148" t="str">
        <f>VLOOKUP(WEEKDAY(B5),Auxiliar!$A$1:$B$7,2)</f>
        <v>Monday</v>
      </c>
      <c r="E5" s="149" t="s">
        <v>429</v>
      </c>
      <c r="F5" s="150">
        <f>SUM(AD72:AD77)</f>
        <v>3.8884812205015856E-2</v>
      </c>
      <c r="H5" s="149" t="s">
        <v>429</v>
      </c>
      <c r="I5" s="150">
        <f>SUM($AD$82:$AD$87)</f>
        <v>3.8157322510108838E-2</v>
      </c>
      <c r="K5" s="149" t="s">
        <v>429</v>
      </c>
      <c r="L5" s="150">
        <f>SUM($AG$92:$AG$97)</f>
        <v>3.9049541881708977E-2</v>
      </c>
      <c r="N5" s="149" t="s">
        <v>429</v>
      </c>
      <c r="O5" s="150">
        <f>SUM($AG$102:$AG$107)</f>
        <v>3.8722011194938941E-2</v>
      </c>
      <c r="Q5" s="149" t="s">
        <v>429</v>
      </c>
      <c r="R5" s="150">
        <f>SUM($AG$112:$AG$117)</f>
        <v>3.9431427435272545E-2</v>
      </c>
      <c r="U5" s="151">
        <v>1E-3</v>
      </c>
      <c r="V5" s="152">
        <f>L8</f>
        <v>1048.7757026473657</v>
      </c>
      <c r="W5" s="153"/>
      <c r="Y5" s="151">
        <v>2E-3</v>
      </c>
      <c r="Z5" s="152">
        <f>R8</f>
        <v>1048.0832025233738</v>
      </c>
      <c r="AA5" s="153"/>
    </row>
    <row r="6" spans="1:27">
      <c r="A6" s="142" t="s">
        <v>4</v>
      </c>
      <c r="B6" s="147">
        <v>42375</v>
      </c>
      <c r="C6" s="148" t="str">
        <f>VLOOKUP(WEEKDAY(B6),Auxiliar!$A$1:$B$7,2)</f>
        <v>Wednesday</v>
      </c>
      <c r="E6" s="149" t="s">
        <v>25</v>
      </c>
      <c r="F6" s="200">
        <f>H77</f>
        <v>1.0100232322367353</v>
      </c>
      <c r="H6" s="149" t="s">
        <v>25</v>
      </c>
      <c r="I6" s="154">
        <f>$H$87</f>
        <v>1.0099934428013357</v>
      </c>
      <c r="K6" s="149" t="s">
        <v>25</v>
      </c>
      <c r="L6" s="167">
        <f>$AF$97</f>
        <v>1.0097261607656567</v>
      </c>
      <c r="N6" s="149" t="s">
        <v>25</v>
      </c>
      <c r="O6" s="154">
        <f>$AF$107</f>
        <v>1.0103203911091929</v>
      </c>
      <c r="Q6" s="149" t="s">
        <v>25</v>
      </c>
      <c r="R6" s="154">
        <f>$AF$117</f>
        <v>1.0086517750881012</v>
      </c>
      <c r="U6" s="151">
        <v>0</v>
      </c>
      <c r="V6" s="152">
        <f>F8</f>
        <v>1048.9080444417511</v>
      </c>
      <c r="W6" s="155"/>
      <c r="Y6" s="151">
        <v>0</v>
      </c>
      <c r="Z6" s="152">
        <f>F8</f>
        <v>1048.9080444417511</v>
      </c>
      <c r="AA6" s="155"/>
    </row>
    <row r="7" spans="1:27" ht="15" thickBot="1">
      <c r="A7" s="142" t="s">
        <v>30</v>
      </c>
      <c r="B7" s="147">
        <v>44932</v>
      </c>
      <c r="C7" s="148" t="str">
        <f>VLOOKUP(WEEKDAY(B7),Auxiliar!$A$1:$B$7,2)</f>
        <v>Friday</v>
      </c>
      <c r="E7" s="156" t="s">
        <v>430</v>
      </c>
      <c r="F7" s="157">
        <f>F5+F6</f>
        <v>1.0489080444417511</v>
      </c>
      <c r="H7" s="156" t="s">
        <v>430</v>
      </c>
      <c r="I7" s="157">
        <f>I5+I6</f>
        <v>1.0481507653114446</v>
      </c>
      <c r="K7" s="156" t="s">
        <v>430</v>
      </c>
      <c r="L7" s="157">
        <f>L5+L6</f>
        <v>1.0487757026473656</v>
      </c>
      <c r="N7" s="156" t="s">
        <v>430</v>
      </c>
      <c r="O7" s="157">
        <f>O5+O6</f>
        <v>1.0490424023041318</v>
      </c>
      <c r="Q7" s="156" t="s">
        <v>430</v>
      </c>
      <c r="R7" s="157">
        <f>R5+R6</f>
        <v>1.0480832025233737</v>
      </c>
      <c r="U7" s="151" t="s">
        <v>471</v>
      </c>
      <c r="V7" s="103">
        <f>-(V5-V6)</f>
        <v>0.13234179438541105</v>
      </c>
      <c r="W7" s="155"/>
      <c r="Y7" s="151" t="s">
        <v>471</v>
      </c>
      <c r="Z7" s="152">
        <f>-(Z5-Z6)</f>
        <v>0.82484191837738763</v>
      </c>
      <c r="AA7" s="155"/>
    </row>
    <row r="8" spans="1:27" ht="15" thickBot="1">
      <c r="A8" s="142" t="s">
        <v>21</v>
      </c>
      <c r="B8" s="142" t="s">
        <v>20</v>
      </c>
      <c r="C8" s="142"/>
      <c r="E8" s="158" t="s">
        <v>441</v>
      </c>
      <c r="F8" s="159">
        <f>F7*$B$11</f>
        <v>1048.9080444417511</v>
      </c>
      <c r="H8" s="158" t="s">
        <v>441</v>
      </c>
      <c r="I8" s="159">
        <f>I7*$B$11</f>
        <v>1048.1507653114445</v>
      </c>
      <c r="K8" s="158" t="s">
        <v>441</v>
      </c>
      <c r="L8" s="159">
        <f>L7*$B$11</f>
        <v>1048.7757026473657</v>
      </c>
      <c r="N8" s="158" t="s">
        <v>441</v>
      </c>
      <c r="O8" s="159">
        <f>O7*$B$11</f>
        <v>1049.0424023041319</v>
      </c>
      <c r="Q8" s="158" t="s">
        <v>441</v>
      </c>
      <c r="R8" s="159">
        <f>R7*$B$11</f>
        <v>1048.0832025233738</v>
      </c>
    </row>
    <row r="9" spans="1:27">
      <c r="A9" s="142" t="s">
        <v>23</v>
      </c>
      <c r="B9" s="142" t="s">
        <v>22</v>
      </c>
      <c r="C9" s="142"/>
      <c r="E9" s="149" t="s">
        <v>431</v>
      </c>
      <c r="F9" s="150">
        <f>AB72</f>
        <v>5.9503888888888887E-3</v>
      </c>
      <c r="H9" s="149" t="s">
        <v>431</v>
      </c>
      <c r="I9" s="150">
        <f>$AB$82</f>
        <v>5.9503888888888887E-3</v>
      </c>
      <c r="K9" s="149" t="s">
        <v>431</v>
      </c>
      <c r="L9" s="150">
        <f>$AE$92</f>
        <v>5.9503888888888887E-3</v>
      </c>
      <c r="N9" s="149" t="s">
        <v>431</v>
      </c>
      <c r="O9" s="150">
        <f>$AE$102</f>
        <v>5.9503888888888887E-3</v>
      </c>
      <c r="Q9" s="149" t="s">
        <v>431</v>
      </c>
      <c r="R9" s="150">
        <f>$AE$112</f>
        <v>5.9503888888888887E-3</v>
      </c>
    </row>
    <row r="10" spans="1:27">
      <c r="A10" s="142" t="s">
        <v>31</v>
      </c>
      <c r="B10" s="90" t="s">
        <v>24</v>
      </c>
      <c r="E10" s="149" t="s">
        <v>432</v>
      </c>
      <c r="F10" s="150">
        <f>F9*(($H$36-$D$47)/$H$36)</f>
        <v>1.2096944444444444E-3</v>
      </c>
      <c r="H10" s="149" t="s">
        <v>432</v>
      </c>
      <c r="I10" s="150">
        <f>I9*(($H$36-$D$47)/$H$36)</f>
        <v>1.2096944444444444E-3</v>
      </c>
      <c r="J10" s="101"/>
      <c r="K10" s="149" t="s">
        <v>432</v>
      </c>
      <c r="L10" s="150">
        <f>L9*(($H$36-$D$47)/$H$36)</f>
        <v>1.2096944444444444E-3</v>
      </c>
      <c r="N10" s="149" t="s">
        <v>432</v>
      </c>
      <c r="O10" s="150">
        <f>O9*(($H$36-$D$47)/$H$36)</f>
        <v>1.2096944444444444E-3</v>
      </c>
      <c r="Q10" s="149" t="s">
        <v>432</v>
      </c>
      <c r="R10" s="150">
        <f>R9*(($H$36-$D$47)/$H$36)</f>
        <v>1.2096944444444444E-3</v>
      </c>
      <c r="V10" s="160"/>
    </row>
    <row r="11" spans="1:27" ht="15" thickBot="1">
      <c r="A11" s="142" t="s">
        <v>25</v>
      </c>
      <c r="B11" s="161">
        <v>1000</v>
      </c>
      <c r="E11" s="156" t="s">
        <v>440</v>
      </c>
      <c r="F11" s="157">
        <f>F7-F10</f>
        <v>1.0476983499973067</v>
      </c>
      <c r="H11" s="156" t="s">
        <v>440</v>
      </c>
      <c r="I11" s="157">
        <f>I7-I10</f>
        <v>1.0469410708670002</v>
      </c>
      <c r="J11" s="101"/>
      <c r="K11" s="156" t="s">
        <v>440</v>
      </c>
      <c r="L11" s="157">
        <f>L7-L10</f>
        <v>1.0475660082029212</v>
      </c>
      <c r="N11" s="156" t="s">
        <v>440</v>
      </c>
      <c r="O11" s="157">
        <f>O7-O10</f>
        <v>1.0478327078596874</v>
      </c>
      <c r="Q11" s="156" t="s">
        <v>440</v>
      </c>
      <c r="R11" s="157">
        <f>R7-R10</f>
        <v>1.0468735080789293</v>
      </c>
      <c r="V11" s="160"/>
    </row>
    <row r="12" spans="1:27" ht="15" thickBot="1">
      <c r="A12" s="142" t="s">
        <v>26</v>
      </c>
      <c r="B12" s="90" t="s">
        <v>27</v>
      </c>
      <c r="E12" s="158" t="s">
        <v>446</v>
      </c>
      <c r="F12" s="159">
        <f>F11*$B$11</f>
        <v>1047.6983499973067</v>
      </c>
      <c r="H12" s="158" t="s">
        <v>446</v>
      </c>
      <c r="I12" s="159">
        <f>I11*$B$11</f>
        <v>1046.9410708670002</v>
      </c>
      <c r="K12" s="158" t="s">
        <v>446</v>
      </c>
      <c r="L12" s="159">
        <f>L11*$B$11</f>
        <v>1047.5660082029212</v>
      </c>
      <c r="N12" s="158" t="s">
        <v>446</v>
      </c>
      <c r="O12" s="159">
        <f>O11*$B$11</f>
        <v>1047.8327078596874</v>
      </c>
      <c r="Q12" s="158" t="s">
        <v>446</v>
      </c>
      <c r="R12" s="159">
        <f>R11*$B$11</f>
        <v>1046.8735080789293</v>
      </c>
    </row>
    <row r="13" spans="1:27" ht="15" thickBot="1">
      <c r="A13" s="142" t="s">
        <v>306</v>
      </c>
      <c r="B13" s="90" t="s">
        <v>307</v>
      </c>
      <c r="E13" s="319" t="s">
        <v>433</v>
      </c>
      <c r="F13" s="320"/>
      <c r="H13" s="319" t="s">
        <v>433</v>
      </c>
      <c r="I13" s="320"/>
      <c r="K13" s="319" t="s">
        <v>433</v>
      </c>
      <c r="L13" s="320"/>
      <c r="N13" s="319" t="s">
        <v>433</v>
      </c>
      <c r="O13" s="320"/>
      <c r="Q13" s="319" t="s">
        <v>433</v>
      </c>
      <c r="R13" s="320"/>
    </row>
    <row r="14" spans="1:27">
      <c r="A14" s="142" t="s">
        <v>394</v>
      </c>
      <c r="B14" s="142">
        <v>150</v>
      </c>
      <c r="E14" s="149"/>
      <c r="F14" s="162" t="s">
        <v>438</v>
      </c>
      <c r="H14" s="149"/>
      <c r="I14" s="162" t="s">
        <v>438</v>
      </c>
      <c r="K14" s="149"/>
      <c r="L14" s="162" t="s">
        <v>438</v>
      </c>
      <c r="N14" s="149"/>
      <c r="O14" s="162" t="s">
        <v>438</v>
      </c>
      <c r="Q14" s="149"/>
      <c r="R14" s="162" t="s">
        <v>438</v>
      </c>
    </row>
    <row r="15" spans="1:27">
      <c r="A15" s="318" t="s">
        <v>28</v>
      </c>
      <c r="B15" s="163">
        <v>0.01</v>
      </c>
      <c r="C15" s="164" t="s">
        <v>311</v>
      </c>
      <c r="E15" s="149" t="s">
        <v>434</v>
      </c>
      <c r="F15" s="165">
        <f>SUM(AH72:AH77)</f>
        <v>3.6695997026613081E-2</v>
      </c>
      <c r="H15" s="149" t="s">
        <v>434</v>
      </c>
      <c r="I15" s="165">
        <f>SUM($AH$82:$AH$87)</f>
        <v>3.5992321925857836E-2</v>
      </c>
      <c r="J15" s="166"/>
      <c r="K15" s="149" t="s">
        <v>434</v>
      </c>
      <c r="L15" s="165">
        <f>SUM($AK$92:$AK$97)</f>
        <v>3.6850702064549629E-2</v>
      </c>
      <c r="N15" s="149" t="s">
        <v>434</v>
      </c>
      <c r="O15" s="165">
        <f>SUM($AK$102:$AK$107)</f>
        <v>3.6543100762133449E-2</v>
      </c>
      <c r="Q15" s="149" t="s">
        <v>434</v>
      </c>
      <c r="R15" s="165">
        <f>SUM($AK$112:$AK$117)</f>
        <v>3.7242101333801771E-2</v>
      </c>
    </row>
    <row r="16" spans="1:27">
      <c r="A16" s="318"/>
      <c r="B16" s="142" t="s">
        <v>29</v>
      </c>
      <c r="E16" s="149" t="s">
        <v>435</v>
      </c>
      <c r="F16" s="167">
        <f>H77*AE77</f>
        <v>0.915426047459582</v>
      </c>
      <c r="H16" s="149" t="s">
        <v>435</v>
      </c>
      <c r="I16" s="167">
        <f>$H$87*$AE$87</f>
        <v>0.91539904805577277</v>
      </c>
      <c r="K16" s="149" t="s">
        <v>435</v>
      </c>
      <c r="L16" s="167">
        <f>$AF$97*$AH$97</f>
        <v>0.915156799234489</v>
      </c>
      <c r="N16" s="149" t="s">
        <v>435</v>
      </c>
      <c r="O16" s="167">
        <f>$AF$107*$AH$107</f>
        <v>0.9156953749001786</v>
      </c>
      <c r="Q16" s="149" t="s">
        <v>435</v>
      </c>
      <c r="R16" s="167">
        <f>$AF$117*$AH$117</f>
        <v>0.91418303882694496</v>
      </c>
    </row>
    <row r="17" spans="1:18">
      <c r="A17" s="318"/>
      <c r="B17" s="163">
        <v>0.04</v>
      </c>
      <c r="C17" s="164" t="s">
        <v>312</v>
      </c>
      <c r="E17" s="149" t="s">
        <v>436</v>
      </c>
      <c r="F17" s="165">
        <f>SUM(AJ72:AJ77)</f>
        <v>3.7677527758050063E-2</v>
      </c>
      <c r="H17" s="149" t="s">
        <v>436</v>
      </c>
      <c r="I17" s="165">
        <f>SUM($AJ$82:$AJ$87)</f>
        <v>3.7671495564299516E-2</v>
      </c>
      <c r="K17" s="149" t="s">
        <v>436</v>
      </c>
      <c r="L17" s="165">
        <f>SUM($AM$92:$AM$97)</f>
        <v>3.7671344868670117E-2</v>
      </c>
      <c r="N17" s="149" t="s">
        <v>436</v>
      </c>
      <c r="O17" s="165">
        <f>SUM($AM$102:$AM$107)</f>
        <v>3.768371194522032E-2</v>
      </c>
      <c r="Q17" s="149" t="s">
        <v>436</v>
      </c>
      <c r="R17" s="165">
        <f>SUM($AM$112:$AM$117)</f>
        <v>3.7619231308206019E-2</v>
      </c>
    </row>
    <row r="18" spans="1:18" ht="15" thickBot="1">
      <c r="A18" s="168" t="s">
        <v>297</v>
      </c>
      <c r="B18" s="147">
        <v>43873</v>
      </c>
      <c r="E18" s="156" t="s">
        <v>430</v>
      </c>
      <c r="F18" s="169">
        <f>SUM(F15:F17)</f>
        <v>0.9897995722442452</v>
      </c>
      <c r="H18" s="156" t="s">
        <v>430</v>
      </c>
      <c r="I18" s="169">
        <f>SUM($I$15:$I$17)</f>
        <v>0.98906286554593015</v>
      </c>
      <c r="K18" s="156" t="s">
        <v>430</v>
      </c>
      <c r="L18" s="169">
        <f>SUM($L$15:$L$17)</f>
        <v>0.98967884616770874</v>
      </c>
      <c r="N18" s="156" t="s">
        <v>430</v>
      </c>
      <c r="O18" s="169">
        <f>SUM($O$15:$O$17)</f>
        <v>0.98992218760753237</v>
      </c>
      <c r="Q18" s="156" t="s">
        <v>430</v>
      </c>
      <c r="R18" s="169">
        <f>SUM($R$15:$R$17)</f>
        <v>0.98904437146895274</v>
      </c>
    </row>
    <row r="19" spans="1:18" ht="15" thickBot="1">
      <c r="A19" s="168" t="s">
        <v>393</v>
      </c>
      <c r="B19" s="170">
        <v>0.4</v>
      </c>
      <c r="E19" s="158" t="s">
        <v>441</v>
      </c>
      <c r="F19" s="159">
        <f>F18*$B$11</f>
        <v>989.79957224424516</v>
      </c>
      <c r="H19" s="158" t="s">
        <v>441</v>
      </c>
      <c r="I19" s="159">
        <f>I18*$B$11</f>
        <v>989.06286554593009</v>
      </c>
      <c r="K19" s="158" t="s">
        <v>441</v>
      </c>
      <c r="L19" s="159">
        <f>L18*$B$11</f>
        <v>989.67884616770868</v>
      </c>
      <c r="N19" s="158" t="s">
        <v>441</v>
      </c>
      <c r="O19" s="159">
        <f>O18*$B$11</f>
        <v>989.92218760753235</v>
      </c>
      <c r="Q19" s="158" t="s">
        <v>441</v>
      </c>
      <c r="R19" s="159">
        <f>R18*$B$11</f>
        <v>989.0443714689527</v>
      </c>
    </row>
    <row r="20" spans="1:18">
      <c r="E20" s="171" t="s">
        <v>437</v>
      </c>
      <c r="F20" s="172">
        <f>F7-F18</f>
        <v>5.9108472197505924E-2</v>
      </c>
      <c r="H20" s="171" t="s">
        <v>437</v>
      </c>
      <c r="I20" s="172">
        <f>I7-I18</f>
        <v>5.9087899765514429E-2</v>
      </c>
      <c r="K20" s="171" t="s">
        <v>437</v>
      </c>
      <c r="L20" s="172">
        <f>L7-L18</f>
        <v>5.9096856479656901E-2</v>
      </c>
      <c r="N20" s="171" t="s">
        <v>437</v>
      </c>
      <c r="O20" s="172">
        <f>O7-O18</f>
        <v>5.9120214696599449E-2</v>
      </c>
      <c r="Q20" s="171" t="s">
        <v>437</v>
      </c>
      <c r="R20" s="172">
        <f>R7-R18</f>
        <v>5.9038831054420982E-2</v>
      </c>
    </row>
    <row r="21" spans="1:18" ht="15" thickBot="1">
      <c r="E21" s="173" t="s">
        <v>447</v>
      </c>
      <c r="F21" s="174">
        <f>F20*$B$11</f>
        <v>59.108472197505925</v>
      </c>
      <c r="H21" s="173" t="s">
        <v>447</v>
      </c>
      <c r="I21" s="174">
        <f>I20*$B$11</f>
        <v>59.087899765514429</v>
      </c>
      <c r="K21" s="173" t="s">
        <v>447</v>
      </c>
      <c r="L21" s="174">
        <f>L20*$B$11</f>
        <v>59.0968564796569</v>
      </c>
      <c r="N21" s="173" t="s">
        <v>447</v>
      </c>
      <c r="O21" s="174">
        <f>O20*$B$11</f>
        <v>59.120214696599447</v>
      </c>
      <c r="Q21" s="173" t="s">
        <v>447</v>
      </c>
      <c r="R21" s="174">
        <f>R20*$B$11</f>
        <v>59.038831054420982</v>
      </c>
    </row>
    <row r="22" spans="1:18" ht="15" thickBot="1">
      <c r="E22" s="158" t="s">
        <v>446</v>
      </c>
      <c r="F22" s="159">
        <f>(F18-F10)*$B$11</f>
        <v>988.58987779980077</v>
      </c>
      <c r="H22" s="158" t="s">
        <v>446</v>
      </c>
      <c r="I22" s="159">
        <f>(I18-I10)*$B$11</f>
        <v>987.85317110148571</v>
      </c>
      <c r="K22" s="158" t="s">
        <v>446</v>
      </c>
      <c r="L22" s="159">
        <f>(L18-L10)*$B$11</f>
        <v>988.4691517232643</v>
      </c>
      <c r="N22" s="158" t="s">
        <v>446</v>
      </c>
      <c r="O22" s="159">
        <f>(O18-O10)*$B$11</f>
        <v>988.71249316308797</v>
      </c>
      <c r="Q22" s="158" t="s">
        <v>446</v>
      </c>
      <c r="R22" s="159">
        <f>(R18-R10)*$B$11</f>
        <v>987.83467702450832</v>
      </c>
    </row>
    <row r="23" spans="1:18">
      <c r="E23" s="175"/>
      <c r="F23" s="176"/>
    </row>
    <row r="24" spans="1:18">
      <c r="E24" s="175"/>
      <c r="F24" s="176"/>
    </row>
    <row r="25" spans="1:18" ht="15" thickBot="1">
      <c r="A25" s="177" t="s">
        <v>335</v>
      </c>
    </row>
    <row r="26" spans="1:18" ht="15" thickBot="1">
      <c r="A26" s="323" t="s">
        <v>324</v>
      </c>
      <c r="B26" s="323"/>
      <c r="C26" s="323"/>
      <c r="D26" s="323"/>
      <c r="E26" s="323"/>
      <c r="F26" s="323"/>
      <c r="G26" s="323"/>
      <c r="H26" s="323"/>
      <c r="I26" s="323"/>
      <c r="J26" s="323"/>
      <c r="K26" s="323"/>
      <c r="L26" s="323"/>
      <c r="M26" s="323"/>
      <c r="N26" s="323"/>
    </row>
    <row r="27" spans="1:18" ht="15" thickBot="1">
      <c r="A27" s="99" t="s">
        <v>323</v>
      </c>
      <c r="B27" s="99" t="s">
        <v>298</v>
      </c>
      <c r="C27" s="99" t="s">
        <v>32</v>
      </c>
      <c r="D27" s="99" t="s">
        <v>300</v>
      </c>
      <c r="E27" s="99" t="s">
        <v>32</v>
      </c>
      <c r="F27" s="99" t="s">
        <v>299</v>
      </c>
      <c r="G27" s="99" t="s">
        <v>301</v>
      </c>
      <c r="H27" s="99" t="s">
        <v>302</v>
      </c>
      <c r="I27" s="99" t="s">
        <v>303</v>
      </c>
      <c r="J27" s="99" t="s">
        <v>34</v>
      </c>
      <c r="K27" s="298" t="s">
        <v>304</v>
      </c>
      <c r="L27" s="99" t="s">
        <v>307</v>
      </c>
      <c r="M27" s="99" t="s">
        <v>308</v>
      </c>
      <c r="N27" s="99" t="s">
        <v>309</v>
      </c>
    </row>
    <row r="28" spans="1:18">
      <c r="A28" s="142">
        <v>1</v>
      </c>
      <c r="B28" s="178">
        <v>42375</v>
      </c>
      <c r="C28" s="142" t="str">
        <f>VLOOKUP(WEEKDAY(B28),Auxiliar!$A$1:$B$7,2)</f>
        <v>Wednesday</v>
      </c>
      <c r="D28" s="178">
        <v>42557</v>
      </c>
      <c r="E28" s="142" t="str">
        <f>VLOOKUP(WEEKDAY(D28),Auxiliar!$A$1:$B$7,2)</f>
        <v>Wednesday</v>
      </c>
      <c r="F28" s="147">
        <f t="shared" ref="F28:F41" si="0">IF(C28="Saturday",B28+2,IF(C28="Sunday",B28+1,B28))</f>
        <v>42375</v>
      </c>
      <c r="G28" s="147">
        <f>IF(E28="Saturday",D28+2,IF(E28="Sunday",D28+1,D28))</f>
        <v>42557</v>
      </c>
      <c r="H28" s="142">
        <f>G28-F28</f>
        <v>182</v>
      </c>
      <c r="I28" s="142">
        <f>G28-$B$6</f>
        <v>182</v>
      </c>
      <c r="J28" s="179">
        <f>H28/360</f>
        <v>0.50555555555555554</v>
      </c>
      <c r="K28" s="178">
        <f>B28-2</f>
        <v>42373</v>
      </c>
      <c r="L28" s="180">
        <v>-4.0999999999999999E-4</v>
      </c>
      <c r="M28" s="181">
        <f>IF(L28+0.015&gt;=0.01,IF(L28+0.015&lt;0.04,L28+0.015,0.04),0.01)</f>
        <v>1.4589999999999999E-2</v>
      </c>
      <c r="N28" s="182">
        <f>M28*J28*$B$11</f>
        <v>7.3760555555555554</v>
      </c>
    </row>
    <row r="29" spans="1:18">
      <c r="A29" s="142">
        <v>2</v>
      </c>
      <c r="B29" s="183">
        <f>EDATE(B28,6)</f>
        <v>42557</v>
      </c>
      <c r="C29" s="142" t="str">
        <f>VLOOKUP(WEEKDAY(B29),Auxiliar!$A$1:$B$7,2)</f>
        <v>Wednesday</v>
      </c>
      <c r="D29" s="183">
        <f>EDATE(D28,6)</f>
        <v>42741</v>
      </c>
      <c r="E29" s="142" t="str">
        <f>VLOOKUP(WEEKDAY(D29),Auxiliar!$A$1:$B$7,2)</f>
        <v>Friday</v>
      </c>
      <c r="F29" s="147">
        <f t="shared" si="0"/>
        <v>42557</v>
      </c>
      <c r="G29" s="147">
        <f t="shared" ref="G29:G41" si="1">IF(E29="Saturday",D29+2,IF(E29="Sunday",D29+1,D29))</f>
        <v>42741</v>
      </c>
      <c r="H29" s="142">
        <f t="shared" ref="H29:H41" si="2">G29-F29</f>
        <v>184</v>
      </c>
      <c r="I29" s="142">
        <f t="shared" ref="I29:I41" si="3">G29-$B$6</f>
        <v>366</v>
      </c>
      <c r="J29" s="179">
        <f t="shared" ref="J29:J41" si="4">H29/360</f>
        <v>0.51111111111111107</v>
      </c>
      <c r="K29" s="178">
        <f t="shared" ref="K29:K41" si="5">B29-2</f>
        <v>42555</v>
      </c>
      <c r="L29" s="180">
        <v>-1.8500000000000001E-3</v>
      </c>
      <c r="M29" s="181">
        <f t="shared" ref="M29:M36" si="6">IF(L29+0.015&gt;=0.01,IF(L29+0.015&lt;0.04,L29+0.015,0.04),0.01)</f>
        <v>1.3149999999999998E-2</v>
      </c>
      <c r="N29" s="182">
        <f t="shared" ref="N29:N35" si="7">M29*J29*$B$11</f>
        <v>6.7211111111111101</v>
      </c>
    </row>
    <row r="30" spans="1:18">
      <c r="A30" s="142">
        <v>3</v>
      </c>
      <c r="B30" s="183">
        <f t="shared" ref="B30:B41" si="8">EDATE(B29,6)</f>
        <v>42741</v>
      </c>
      <c r="C30" s="142" t="str">
        <f>VLOOKUP(WEEKDAY(B30),Auxiliar!$A$1:$B$7,2)</f>
        <v>Friday</v>
      </c>
      <c r="D30" s="183">
        <f t="shared" ref="D30:D41" si="9">EDATE(D29,6)</f>
        <v>42922</v>
      </c>
      <c r="E30" s="142" t="str">
        <f>VLOOKUP(WEEKDAY(D30),Auxiliar!$A$1:$B$7,2)</f>
        <v>Thursday</v>
      </c>
      <c r="F30" s="147">
        <f t="shared" si="0"/>
        <v>42741</v>
      </c>
      <c r="G30" s="147">
        <f t="shared" si="1"/>
        <v>42922</v>
      </c>
      <c r="H30" s="142">
        <f t="shared" si="2"/>
        <v>181</v>
      </c>
      <c r="I30" s="142">
        <f t="shared" si="3"/>
        <v>547</v>
      </c>
      <c r="J30" s="179">
        <f t="shared" si="4"/>
        <v>0.50277777777777777</v>
      </c>
      <c r="K30" s="178">
        <f t="shared" si="5"/>
        <v>42739</v>
      </c>
      <c r="L30" s="180">
        <v>-2.2399999999999998E-3</v>
      </c>
      <c r="M30" s="181">
        <f t="shared" si="6"/>
        <v>1.2760000000000001E-2</v>
      </c>
      <c r="N30" s="182">
        <f t="shared" si="7"/>
        <v>6.4154444444444447</v>
      </c>
    </row>
    <row r="31" spans="1:18">
      <c r="A31" s="142">
        <v>4</v>
      </c>
      <c r="B31" s="183">
        <f t="shared" si="8"/>
        <v>42922</v>
      </c>
      <c r="C31" s="142" t="str">
        <f>VLOOKUP(WEEKDAY(B31),Auxiliar!$A$1:$B$7,2)</f>
        <v>Thursday</v>
      </c>
      <c r="D31" s="183">
        <f t="shared" si="9"/>
        <v>43106</v>
      </c>
      <c r="E31" s="142" t="str">
        <f>VLOOKUP(WEEKDAY(D31),Auxiliar!$A$1:$B$7,2)</f>
        <v>Saturday</v>
      </c>
      <c r="F31" s="147">
        <f t="shared" si="0"/>
        <v>42922</v>
      </c>
      <c r="G31" s="147">
        <f t="shared" si="1"/>
        <v>43108</v>
      </c>
      <c r="H31" s="142">
        <f t="shared" si="2"/>
        <v>186</v>
      </c>
      <c r="I31" s="142">
        <f t="shared" si="3"/>
        <v>733</v>
      </c>
      <c r="J31" s="179">
        <f t="shared" si="4"/>
        <v>0.51666666666666672</v>
      </c>
      <c r="K31" s="178">
        <f t="shared" si="5"/>
        <v>42920</v>
      </c>
      <c r="L31" s="180">
        <v>-2.7200000000000002E-3</v>
      </c>
      <c r="M31" s="181">
        <f t="shared" si="6"/>
        <v>1.2279999999999999E-2</v>
      </c>
      <c r="N31" s="182">
        <f t="shared" si="7"/>
        <v>6.3446666666666669</v>
      </c>
    </row>
    <row r="32" spans="1:18">
      <c r="A32" s="142">
        <v>5</v>
      </c>
      <c r="B32" s="183">
        <f t="shared" si="8"/>
        <v>43106</v>
      </c>
      <c r="C32" s="142" t="str">
        <f>VLOOKUP(WEEKDAY(B32),Auxiliar!$A$1:$B$7,2)</f>
        <v>Saturday</v>
      </c>
      <c r="D32" s="183">
        <f t="shared" si="9"/>
        <v>43287</v>
      </c>
      <c r="E32" s="142" t="str">
        <f>VLOOKUP(WEEKDAY(D32),Auxiliar!$A$1:$B$7,2)</f>
        <v>Friday</v>
      </c>
      <c r="F32" s="147">
        <f t="shared" si="0"/>
        <v>43108</v>
      </c>
      <c r="G32" s="147">
        <f t="shared" si="1"/>
        <v>43287</v>
      </c>
      <c r="H32" s="142">
        <f t="shared" si="2"/>
        <v>179</v>
      </c>
      <c r="I32" s="142">
        <f t="shared" si="3"/>
        <v>912</v>
      </c>
      <c r="J32" s="179">
        <f t="shared" si="4"/>
        <v>0.49722222222222223</v>
      </c>
      <c r="K32" s="178">
        <f>B32-2</f>
        <v>43104</v>
      </c>
      <c r="L32" s="180">
        <v>-2.7100000000000002E-3</v>
      </c>
      <c r="M32" s="181">
        <f t="shared" si="6"/>
        <v>1.2289999999999999E-2</v>
      </c>
      <c r="N32" s="182">
        <f t="shared" si="7"/>
        <v>6.1108611111111104</v>
      </c>
    </row>
    <row r="33" spans="1:14">
      <c r="A33" s="142">
        <v>6</v>
      </c>
      <c r="B33" s="183">
        <f t="shared" si="8"/>
        <v>43287</v>
      </c>
      <c r="C33" s="142" t="str">
        <f>VLOOKUP(WEEKDAY(B33),Auxiliar!$A$1:$B$7,2)</f>
        <v>Friday</v>
      </c>
      <c r="D33" s="183">
        <f t="shared" si="9"/>
        <v>43471</v>
      </c>
      <c r="E33" s="142" t="str">
        <f>VLOOKUP(WEEKDAY(D33),Auxiliar!$A$1:$B$7,2)</f>
        <v>Sunday</v>
      </c>
      <c r="F33" s="147">
        <f t="shared" si="0"/>
        <v>43287</v>
      </c>
      <c r="G33" s="147">
        <f t="shared" si="1"/>
        <v>43472</v>
      </c>
      <c r="H33" s="142">
        <f t="shared" si="2"/>
        <v>185</v>
      </c>
      <c r="I33" s="142">
        <f t="shared" si="3"/>
        <v>1097</v>
      </c>
      <c r="J33" s="179">
        <f t="shared" si="4"/>
        <v>0.51388888888888884</v>
      </c>
      <c r="K33" s="178">
        <f t="shared" si="5"/>
        <v>43285</v>
      </c>
      <c r="L33" s="180">
        <v>-2.6900000000000001E-3</v>
      </c>
      <c r="M33" s="181">
        <f t="shared" si="6"/>
        <v>1.231E-2</v>
      </c>
      <c r="N33" s="182">
        <f t="shared" si="7"/>
        <v>6.3259722222222212</v>
      </c>
    </row>
    <row r="34" spans="1:14">
      <c r="A34" s="142">
        <v>7</v>
      </c>
      <c r="B34" s="183">
        <f t="shared" si="8"/>
        <v>43471</v>
      </c>
      <c r="C34" s="142" t="str">
        <f>VLOOKUP(WEEKDAY(B34),Auxiliar!$A$1:$B$7,2)</f>
        <v>Sunday</v>
      </c>
      <c r="D34" s="183">
        <f t="shared" si="9"/>
        <v>43652</v>
      </c>
      <c r="E34" s="142" t="str">
        <f>VLOOKUP(WEEKDAY(D34),Auxiliar!$A$1:$B$7,2)</f>
        <v>Saturday</v>
      </c>
      <c r="F34" s="147">
        <f t="shared" si="0"/>
        <v>43472</v>
      </c>
      <c r="G34" s="147">
        <f t="shared" si="1"/>
        <v>43654</v>
      </c>
      <c r="H34" s="142">
        <f t="shared" si="2"/>
        <v>182</v>
      </c>
      <c r="I34" s="142">
        <f t="shared" si="3"/>
        <v>1279</v>
      </c>
      <c r="J34" s="179">
        <f t="shared" si="4"/>
        <v>0.50555555555555554</v>
      </c>
      <c r="K34" s="178">
        <f>B34-3</f>
        <v>43468</v>
      </c>
      <c r="L34" s="180">
        <v>-2.3700000000000001E-3</v>
      </c>
      <c r="M34" s="181">
        <f t="shared" si="6"/>
        <v>1.2629999999999999E-2</v>
      </c>
      <c r="N34" s="182">
        <f t="shared" si="7"/>
        <v>6.3851666666666658</v>
      </c>
    </row>
    <row r="35" spans="1:14">
      <c r="A35" s="142">
        <v>8</v>
      </c>
      <c r="B35" s="183">
        <f t="shared" si="8"/>
        <v>43652</v>
      </c>
      <c r="C35" s="142" t="str">
        <f>VLOOKUP(WEEKDAY(B35),Auxiliar!$A$1:$B$7,2)</f>
        <v>Saturday</v>
      </c>
      <c r="D35" s="183">
        <f t="shared" si="9"/>
        <v>43836</v>
      </c>
      <c r="E35" s="142" t="str">
        <f>VLOOKUP(WEEKDAY(D35),Auxiliar!$A$1:$B$7,2)</f>
        <v>Monday</v>
      </c>
      <c r="F35" s="147">
        <f t="shared" si="0"/>
        <v>43654</v>
      </c>
      <c r="G35" s="147">
        <f t="shared" si="1"/>
        <v>43836</v>
      </c>
      <c r="H35" s="142">
        <f t="shared" si="2"/>
        <v>182</v>
      </c>
      <c r="I35" s="142">
        <f t="shared" si="3"/>
        <v>1461</v>
      </c>
      <c r="J35" s="179">
        <f t="shared" si="4"/>
        <v>0.50555555555555554</v>
      </c>
      <c r="K35" s="178">
        <f t="shared" si="5"/>
        <v>43650</v>
      </c>
      <c r="L35" s="180">
        <v>-3.3800000000000002E-3</v>
      </c>
      <c r="M35" s="181">
        <f t="shared" si="6"/>
        <v>1.1619999999999998E-2</v>
      </c>
      <c r="N35" s="182">
        <f t="shared" si="7"/>
        <v>5.8745555555555544</v>
      </c>
    </row>
    <row r="36" spans="1:14">
      <c r="A36" s="142">
        <v>9</v>
      </c>
      <c r="B36" s="183">
        <f t="shared" si="8"/>
        <v>43836</v>
      </c>
      <c r="C36" s="142" t="str">
        <f>VLOOKUP(WEEKDAY(B36),Auxiliar!$A$1:$B$7,2)</f>
        <v>Monday</v>
      </c>
      <c r="D36" s="183">
        <f t="shared" si="9"/>
        <v>44018</v>
      </c>
      <c r="E36" s="142" t="str">
        <f>VLOOKUP(WEEKDAY(D36),Auxiliar!$A$1:$B$7,2)</f>
        <v>Monday</v>
      </c>
      <c r="F36" s="147">
        <f t="shared" si="0"/>
        <v>43836</v>
      </c>
      <c r="G36" s="147">
        <f t="shared" si="1"/>
        <v>44018</v>
      </c>
      <c r="H36" s="142">
        <f t="shared" si="2"/>
        <v>182</v>
      </c>
      <c r="I36" s="142">
        <f t="shared" si="3"/>
        <v>1643</v>
      </c>
      <c r="J36" s="179">
        <f t="shared" si="4"/>
        <v>0.50555555555555554</v>
      </c>
      <c r="K36" s="178">
        <f>B36-4</f>
        <v>43832</v>
      </c>
      <c r="L36" s="180">
        <v>-3.2299999999999998E-3</v>
      </c>
      <c r="M36" s="181">
        <f t="shared" si="6"/>
        <v>1.1769999999999999E-2</v>
      </c>
      <c r="N36" s="182" t="s">
        <v>322</v>
      </c>
    </row>
    <row r="37" spans="1:14">
      <c r="A37" s="142">
        <v>10</v>
      </c>
      <c r="B37" s="183">
        <f t="shared" si="8"/>
        <v>44018</v>
      </c>
      <c r="C37" s="142" t="str">
        <f>VLOOKUP(WEEKDAY(B37),Auxiliar!$A$1:$B$7,2)</f>
        <v>Monday</v>
      </c>
      <c r="D37" s="183">
        <f t="shared" si="9"/>
        <v>44202</v>
      </c>
      <c r="E37" s="142" t="str">
        <f>VLOOKUP(WEEKDAY(D37),Auxiliar!$A$1:$B$7,2)</f>
        <v>Wednesday</v>
      </c>
      <c r="F37" s="147">
        <f t="shared" si="0"/>
        <v>44018</v>
      </c>
      <c r="G37" s="147">
        <f t="shared" si="1"/>
        <v>44202</v>
      </c>
      <c r="H37" s="142">
        <f t="shared" si="2"/>
        <v>184</v>
      </c>
      <c r="I37" s="142">
        <f t="shared" si="3"/>
        <v>1827</v>
      </c>
      <c r="J37" s="179">
        <f t="shared" si="4"/>
        <v>0.51111111111111107</v>
      </c>
      <c r="K37" s="178">
        <f>B37-4</f>
        <v>44014</v>
      </c>
      <c r="L37" s="142" t="s">
        <v>305</v>
      </c>
      <c r="M37" s="181" t="s">
        <v>305</v>
      </c>
      <c r="N37" s="142" t="s">
        <v>305</v>
      </c>
    </row>
    <row r="38" spans="1:14">
      <c r="A38" s="142">
        <v>11</v>
      </c>
      <c r="B38" s="183">
        <f t="shared" si="8"/>
        <v>44202</v>
      </c>
      <c r="C38" s="142" t="str">
        <f>VLOOKUP(WEEKDAY(B38),Auxiliar!$A$1:$B$7,2)</f>
        <v>Wednesday</v>
      </c>
      <c r="D38" s="183">
        <f t="shared" si="9"/>
        <v>44383</v>
      </c>
      <c r="E38" s="142" t="str">
        <f>VLOOKUP(WEEKDAY(D38),Auxiliar!$A$1:$B$7,2)</f>
        <v>Tuesday</v>
      </c>
      <c r="F38" s="147">
        <f t="shared" si="0"/>
        <v>44202</v>
      </c>
      <c r="G38" s="147">
        <f t="shared" si="1"/>
        <v>44383</v>
      </c>
      <c r="H38" s="142">
        <f t="shared" si="2"/>
        <v>181</v>
      </c>
      <c r="I38" s="142">
        <f t="shared" si="3"/>
        <v>2008</v>
      </c>
      <c r="J38" s="179">
        <f t="shared" si="4"/>
        <v>0.50277777777777777</v>
      </c>
      <c r="K38" s="178">
        <f t="shared" si="5"/>
        <v>44200</v>
      </c>
      <c r="L38" s="142" t="s">
        <v>305</v>
      </c>
      <c r="M38" s="181" t="s">
        <v>305</v>
      </c>
      <c r="N38" s="142" t="s">
        <v>305</v>
      </c>
    </row>
    <row r="39" spans="1:14">
      <c r="A39" s="142">
        <v>12</v>
      </c>
      <c r="B39" s="183">
        <f t="shared" si="8"/>
        <v>44383</v>
      </c>
      <c r="C39" s="142" t="str">
        <f>VLOOKUP(WEEKDAY(B39),Auxiliar!$A$1:$B$7,2)</f>
        <v>Tuesday</v>
      </c>
      <c r="D39" s="183">
        <f t="shared" si="9"/>
        <v>44567</v>
      </c>
      <c r="E39" s="142" t="str">
        <f>VLOOKUP(WEEKDAY(D39),Auxiliar!$A$1:$B$7,2)</f>
        <v>Thursday</v>
      </c>
      <c r="F39" s="147">
        <f t="shared" si="0"/>
        <v>44383</v>
      </c>
      <c r="G39" s="147">
        <f t="shared" si="1"/>
        <v>44567</v>
      </c>
      <c r="H39" s="142">
        <f t="shared" si="2"/>
        <v>184</v>
      </c>
      <c r="I39" s="142">
        <f t="shared" si="3"/>
        <v>2192</v>
      </c>
      <c r="J39" s="179">
        <f t="shared" si="4"/>
        <v>0.51111111111111107</v>
      </c>
      <c r="K39" s="178">
        <f>B39-4</f>
        <v>44379</v>
      </c>
      <c r="L39" s="142" t="s">
        <v>305</v>
      </c>
      <c r="M39" s="181" t="s">
        <v>305</v>
      </c>
      <c r="N39" s="142" t="s">
        <v>305</v>
      </c>
    </row>
    <row r="40" spans="1:14">
      <c r="A40" s="142">
        <v>13</v>
      </c>
      <c r="B40" s="183">
        <f t="shared" si="8"/>
        <v>44567</v>
      </c>
      <c r="C40" s="142" t="str">
        <f>VLOOKUP(WEEKDAY(B40),Auxiliar!$A$1:$B$7,2)</f>
        <v>Thursday</v>
      </c>
      <c r="D40" s="183">
        <f t="shared" si="9"/>
        <v>44748</v>
      </c>
      <c r="E40" s="142" t="str">
        <f>VLOOKUP(WEEKDAY(D40),Auxiliar!$A$1:$B$7,2)</f>
        <v>Wednesday</v>
      </c>
      <c r="F40" s="147">
        <f t="shared" si="0"/>
        <v>44567</v>
      </c>
      <c r="G40" s="147">
        <f t="shared" si="1"/>
        <v>44748</v>
      </c>
      <c r="H40" s="142">
        <f t="shared" si="2"/>
        <v>181</v>
      </c>
      <c r="I40" s="142">
        <f t="shared" si="3"/>
        <v>2373</v>
      </c>
      <c r="J40" s="179">
        <f t="shared" si="4"/>
        <v>0.50277777777777777</v>
      </c>
      <c r="K40" s="178">
        <f t="shared" si="5"/>
        <v>44565</v>
      </c>
      <c r="L40" s="142" t="s">
        <v>305</v>
      </c>
      <c r="M40" s="181" t="s">
        <v>305</v>
      </c>
      <c r="N40" s="142" t="s">
        <v>305</v>
      </c>
    </row>
    <row r="41" spans="1:14" ht="15" thickBot="1">
      <c r="A41" s="184">
        <v>14</v>
      </c>
      <c r="B41" s="185">
        <f t="shared" si="8"/>
        <v>44748</v>
      </c>
      <c r="C41" s="184" t="str">
        <f>VLOOKUP(WEEKDAY(B41),Auxiliar!$A$1:$B$7,2)</f>
        <v>Wednesday</v>
      </c>
      <c r="D41" s="185">
        <f t="shared" si="9"/>
        <v>44932</v>
      </c>
      <c r="E41" s="184" t="str">
        <f>VLOOKUP(WEEKDAY(D41),Auxiliar!$A$1:$B$7,2)</f>
        <v>Friday</v>
      </c>
      <c r="F41" s="186">
        <f t="shared" si="0"/>
        <v>44748</v>
      </c>
      <c r="G41" s="186">
        <f t="shared" si="1"/>
        <v>44932</v>
      </c>
      <c r="H41" s="184">
        <f t="shared" si="2"/>
        <v>184</v>
      </c>
      <c r="I41" s="184">
        <f t="shared" si="3"/>
        <v>2557</v>
      </c>
      <c r="J41" s="187">
        <f t="shared" si="4"/>
        <v>0.51111111111111107</v>
      </c>
      <c r="K41" s="188">
        <f t="shared" si="5"/>
        <v>44746</v>
      </c>
      <c r="L41" s="184" t="s">
        <v>305</v>
      </c>
      <c r="M41" s="189" t="s">
        <v>305</v>
      </c>
      <c r="N41" s="184" t="s">
        <v>305</v>
      </c>
    </row>
    <row r="42" spans="1:14">
      <c r="B42" s="147"/>
      <c r="E42" s="147"/>
      <c r="F42" s="142"/>
      <c r="H42" s="116"/>
      <c r="K42" s="147"/>
    </row>
    <row r="43" spans="1:14" ht="15" thickBot="1">
      <c r="B43" s="147"/>
      <c r="G43" s="190"/>
      <c r="H43" s="191"/>
      <c r="J43" s="161"/>
    </row>
    <row r="44" spans="1:14" ht="15" thickBot="1">
      <c r="A44" s="314" t="s">
        <v>358</v>
      </c>
      <c r="B44" s="314"/>
      <c r="C44" s="314"/>
      <c r="D44" s="314"/>
      <c r="E44" s="314"/>
    </row>
    <row r="45" spans="1:14" ht="17.5" thickBot="1">
      <c r="A45" s="99" t="s">
        <v>326</v>
      </c>
      <c r="B45" s="99" t="s">
        <v>319</v>
      </c>
      <c r="C45" s="99" t="s">
        <v>325</v>
      </c>
      <c r="D45" s="99" t="s">
        <v>545</v>
      </c>
      <c r="E45" s="99" t="s">
        <v>546</v>
      </c>
    </row>
    <row r="46" spans="1:14">
      <c r="A46" s="192">
        <f>'Bootstraping-Linear_Interpol'!N9</f>
        <v>90</v>
      </c>
      <c r="B46" s="100">
        <f>'Bootstraping-Linear_Interpol'!R9</f>
        <v>1.0012966791995634</v>
      </c>
    </row>
    <row r="47" spans="1:14">
      <c r="A47" s="193">
        <f>'Bootstraping-Linear_Interpol'!N10</f>
        <v>182</v>
      </c>
      <c r="B47" s="106">
        <f>'Bootstraping-Linear_Interpol'!R10</f>
        <v>1.002625653781553</v>
      </c>
      <c r="C47" s="194">
        <f>(B47/B46)^(1/(A47-A46))</f>
        <v>1.0000144172075953</v>
      </c>
      <c r="D47" s="195">
        <f>G36-B18</f>
        <v>145</v>
      </c>
      <c r="E47" s="106">
        <f>B46*C47^(D47-A46)</f>
        <v>1.0020909629593862</v>
      </c>
    </row>
    <row r="48" spans="1:14">
      <c r="A48" s="192">
        <f>'Bootstraping-Linear_Interpol'!N10</f>
        <v>182</v>
      </c>
      <c r="B48" s="100">
        <f>'Bootstraping-Linear_Interpol'!R10</f>
        <v>1.002625653781553</v>
      </c>
      <c r="C48" s="115"/>
      <c r="D48" s="196"/>
      <c r="E48" s="100"/>
    </row>
    <row r="49" spans="1:5">
      <c r="A49" s="193">
        <f>'Bootstraping-Linear_Interpol'!N11</f>
        <v>366</v>
      </c>
      <c r="B49" s="106">
        <f>'Bootstraping-Linear_Interpol'!R11</f>
        <v>1.0029493816043955</v>
      </c>
      <c r="C49" s="194">
        <f>(B49/B48)^(1/(A49-A48))</f>
        <v>1.0000017545011972</v>
      </c>
      <c r="D49" s="195">
        <f>D47+H37</f>
        <v>329</v>
      </c>
      <c r="E49" s="106">
        <f>B48*C49^(D49-A48)</f>
        <v>1.0028842757668066</v>
      </c>
    </row>
    <row r="50" spans="1:5">
      <c r="A50" s="192">
        <f>'Bootstraping-Linear_Interpol'!N11</f>
        <v>366</v>
      </c>
      <c r="B50" s="100">
        <f>'Bootstraping-Linear_Interpol'!R11</f>
        <v>1.0029493816043955</v>
      </c>
      <c r="C50" s="115"/>
      <c r="D50" s="166"/>
      <c r="E50" s="100"/>
    </row>
    <row r="51" spans="1:5">
      <c r="A51" s="193">
        <f>'Bootstraping-Linear_Interpol'!N12</f>
        <v>547</v>
      </c>
      <c r="B51" s="106">
        <f>'Bootstraping-Linear_Interpol'!R12</f>
        <v>1.0049578930286021</v>
      </c>
      <c r="C51" s="194">
        <f>(B51/B50)^(1/(A51-A50))</f>
        <v>1.0000110531132269</v>
      </c>
      <c r="D51" s="195">
        <f>D49+H38</f>
        <v>510</v>
      </c>
      <c r="E51" s="106">
        <f>B50*C51^(D51-A50)</f>
        <v>1.0045469865333863</v>
      </c>
    </row>
    <row r="52" spans="1:5">
      <c r="A52" s="192">
        <f>'Bootstraping-Linear_Interpol'!N12</f>
        <v>547</v>
      </c>
      <c r="B52" s="100">
        <f>'Bootstraping-Linear_Interpol'!R12</f>
        <v>1.0049578930286021</v>
      </c>
      <c r="D52" s="166"/>
      <c r="E52" s="100"/>
    </row>
    <row r="53" spans="1:5">
      <c r="A53" s="193">
        <f>'Bootstraping-Linear_Interpol'!N13</f>
        <v>733</v>
      </c>
      <c r="B53" s="106">
        <f>'Bootstraping-Linear_Interpol'!R13</f>
        <v>1.0073760986995521</v>
      </c>
      <c r="C53" s="96">
        <f>(B53/B52)^(1/(A53-A52))</f>
        <v>1.0000129215091194</v>
      </c>
      <c r="D53" s="195">
        <f>D51+H39</f>
        <v>694</v>
      </c>
      <c r="E53" s="106">
        <f>B52*C53^(D53-A52)</f>
        <v>1.006868573911591</v>
      </c>
    </row>
    <row r="54" spans="1:5">
      <c r="A54" s="192">
        <f>'Bootstraping-Linear_Interpol'!N13</f>
        <v>733</v>
      </c>
      <c r="B54" s="100">
        <f>'Bootstraping-Linear_Interpol'!R13</f>
        <v>1.0073760986995521</v>
      </c>
      <c r="E54" s="100"/>
    </row>
    <row r="55" spans="1:5">
      <c r="A55" s="193">
        <f>'Bootstraping-Linear_Interpol'!N14</f>
        <v>912</v>
      </c>
      <c r="B55" s="106">
        <f>'Bootstraping-Linear_Interpol'!R14</f>
        <v>1.0088897868252849</v>
      </c>
      <c r="C55" s="96">
        <f>(B55/B54)^(1/(A55-A54))</f>
        <v>1.0000083881747546</v>
      </c>
      <c r="D55" s="195">
        <f>D53+H40</f>
        <v>875</v>
      </c>
      <c r="E55" s="106">
        <f>B54*C55^(D55-A54)</f>
        <v>1.0085767152016145</v>
      </c>
    </row>
    <row r="56" spans="1:5">
      <c r="A56" s="192">
        <f>'Bootstraping-Linear_Interpol'!N14</f>
        <v>912</v>
      </c>
      <c r="B56" s="100">
        <f>'Bootstraping-Linear_Interpol'!R14</f>
        <v>1.0088897868252849</v>
      </c>
      <c r="E56" s="100"/>
    </row>
    <row r="57" spans="1:5">
      <c r="A57" s="193">
        <f>'Bootstraping-Linear_Interpol'!N15</f>
        <v>1097</v>
      </c>
      <c r="B57" s="106">
        <f>'Bootstraping-Linear_Interpol'!R15</f>
        <v>1.0103164388058028</v>
      </c>
      <c r="C57" s="96">
        <f>(B57/B56)^(1/(A57-A56))</f>
        <v>1.0000076383114953</v>
      </c>
      <c r="D57" s="195">
        <f>D55+H41</f>
        <v>1059</v>
      </c>
      <c r="E57" s="106">
        <f>B56*C57^(D57-A56)</f>
        <v>1.0100232322367353</v>
      </c>
    </row>
    <row r="58" spans="1:5">
      <c r="A58" s="316" t="s">
        <v>336</v>
      </c>
      <c r="B58" s="317"/>
    </row>
    <row r="59" spans="1:5" ht="15" thickBot="1"/>
    <row r="60" spans="1:5" ht="15" thickBot="1">
      <c r="A60" s="314" t="s">
        <v>367</v>
      </c>
      <c r="B60" s="314"/>
      <c r="C60" s="314"/>
      <c r="D60" s="314"/>
      <c r="E60" s="314"/>
    </row>
    <row r="61" spans="1:5" ht="17.5" thickBot="1">
      <c r="A61" s="99" t="s">
        <v>545</v>
      </c>
      <c r="B61" s="99" t="s">
        <v>303</v>
      </c>
      <c r="C61" s="99" t="s">
        <v>366</v>
      </c>
      <c r="D61" s="99"/>
      <c r="E61" s="99"/>
    </row>
    <row r="62" spans="1:5" ht="15">
      <c r="A62" s="90">
        <f>D47</f>
        <v>145</v>
      </c>
      <c r="B62" s="90">
        <f t="shared" ref="B62:B67" si="10">A62/360</f>
        <v>0.40277777777777779</v>
      </c>
      <c r="C62" s="90" cm="1">
        <f t="array" ref="C62">NelsonSiegelPrice($E$62,$E$63,$E$64,$E$65,B62)</f>
        <v>1.0012047113773439</v>
      </c>
      <c r="D62" s="197" t="s">
        <v>547</v>
      </c>
      <c r="E62" s="198">
        <f>'Nelson Siegel_linearBoot'!J4</f>
        <v>1.1170843567446877E-2</v>
      </c>
    </row>
    <row r="63" spans="1:5" ht="15">
      <c r="A63" s="90">
        <f>D49</f>
        <v>329</v>
      </c>
      <c r="B63" s="90">
        <f t="shared" si="10"/>
        <v>0.91388888888888886</v>
      </c>
      <c r="C63" s="90" cm="1">
        <f t="array" ref="C63">NelsonSiegelPrice($E$62,$E$63,$E$64,$E$65,B63)</f>
        <v>1.0029624744242212</v>
      </c>
      <c r="D63" s="199" t="s">
        <v>548</v>
      </c>
      <c r="E63" s="200">
        <f>'Nelson Siegel_linearBoot'!J5</f>
        <v>-1.3883361242843246E-2</v>
      </c>
    </row>
    <row r="64" spans="1:5" ht="15">
      <c r="A64" s="90">
        <f>D51</f>
        <v>510</v>
      </c>
      <c r="B64" s="90">
        <f t="shared" si="10"/>
        <v>1.4166666666666667</v>
      </c>
      <c r="C64" s="90" cm="1">
        <f t="array" ref="C64">NelsonSiegelPrice($E$62,$E$63,$E$64,$E$65,B64)</f>
        <v>1.0048045476420251</v>
      </c>
      <c r="D64" s="199" t="s">
        <v>549</v>
      </c>
      <c r="E64" s="200">
        <f>'Nelson Siegel_linearBoot'!J6</f>
        <v>-4.8607799447655921E-3</v>
      </c>
    </row>
    <row r="65" spans="1:36" ht="15" thickBot="1">
      <c r="A65" s="90">
        <f>D53</f>
        <v>694</v>
      </c>
      <c r="B65" s="90">
        <f t="shared" si="10"/>
        <v>1.9277777777777778</v>
      </c>
      <c r="C65" s="90" cm="1">
        <f t="array" ref="C65">NelsonSiegelPrice($E$62,$E$63,$E$64,$E$65,B65)</f>
        <v>1.0066706553259992</v>
      </c>
      <c r="D65" s="201" t="s">
        <v>343</v>
      </c>
      <c r="E65" s="202">
        <f>'Nelson Siegel_linearBoot'!J7</f>
        <v>0.23701571681317693</v>
      </c>
    </row>
    <row r="66" spans="1:36">
      <c r="A66" s="90">
        <f>D55</f>
        <v>875</v>
      </c>
      <c r="B66" s="90">
        <f t="shared" si="10"/>
        <v>2.4305555555555554</v>
      </c>
      <c r="C66" s="90" cm="1">
        <f t="array" ref="C66">NelsonSiegelPrice($E$62,$E$63,$E$64,$E$65,B66)</f>
        <v>1.0084060312761931</v>
      </c>
      <c r="D66" s="114"/>
    </row>
    <row r="67" spans="1:36">
      <c r="A67" s="90">
        <f>D57</f>
        <v>1059</v>
      </c>
      <c r="B67" s="90">
        <f t="shared" si="10"/>
        <v>2.9416666666666669</v>
      </c>
      <c r="C67" s="90" cm="1">
        <f t="array" ref="C67">NelsonSiegelPrice($E$62,$E$63,$E$64,$E$65,B67)</f>
        <v>1.0099934428013357</v>
      </c>
      <c r="D67" s="203"/>
      <c r="E67" s="204"/>
    </row>
    <row r="69" spans="1:36" ht="15" thickBot="1">
      <c r="A69" s="315" t="s">
        <v>442</v>
      </c>
      <c r="B69" s="315"/>
    </row>
    <row r="70" spans="1:36" ht="15" thickBot="1">
      <c r="A70" s="314" t="s">
        <v>334</v>
      </c>
      <c r="B70" s="314"/>
      <c r="C70" s="314"/>
      <c r="D70" s="314"/>
      <c r="E70" s="314"/>
      <c r="F70" s="314"/>
      <c r="G70" s="314"/>
      <c r="H70" s="314"/>
      <c r="I70" s="140"/>
      <c r="J70" s="140"/>
      <c r="K70" s="205"/>
      <c r="L70" s="206"/>
      <c r="M70" s="207" t="s">
        <v>412</v>
      </c>
      <c r="N70" s="319" t="s">
        <v>455</v>
      </c>
      <c r="O70" s="314"/>
      <c r="P70" s="314"/>
      <c r="Q70" s="314"/>
      <c r="R70" s="314"/>
      <c r="S70" s="314"/>
      <c r="T70" s="320"/>
      <c r="U70" s="319" t="s">
        <v>456</v>
      </c>
      <c r="V70" s="314"/>
      <c r="W70" s="314"/>
      <c r="X70" s="314"/>
      <c r="Y70" s="314"/>
      <c r="Z70" s="314"/>
      <c r="AA70" s="320"/>
      <c r="AB70" s="208"/>
      <c r="AC70" s="209"/>
      <c r="AD70" s="209"/>
      <c r="AE70" s="319" t="s">
        <v>413</v>
      </c>
      <c r="AF70" s="314"/>
      <c r="AG70" s="314"/>
      <c r="AH70" s="314"/>
      <c r="AI70" s="314"/>
      <c r="AJ70" s="320"/>
    </row>
    <row r="71" spans="1:36" ht="15" thickBot="1">
      <c r="A71" s="99" t="s">
        <v>323</v>
      </c>
      <c r="B71" s="99" t="s">
        <v>304</v>
      </c>
      <c r="C71" s="99" t="s">
        <v>299</v>
      </c>
      <c r="D71" s="99" t="s">
        <v>301</v>
      </c>
      <c r="E71" s="99" t="s">
        <v>33</v>
      </c>
      <c r="F71" s="99" t="s">
        <v>395</v>
      </c>
      <c r="G71" s="99" t="s">
        <v>303</v>
      </c>
      <c r="H71" s="99" t="s">
        <v>319</v>
      </c>
      <c r="I71" s="99" t="s">
        <v>344</v>
      </c>
      <c r="J71" s="99" t="s">
        <v>302</v>
      </c>
      <c r="K71" s="210" t="s">
        <v>396</v>
      </c>
      <c r="L71" s="211" t="s">
        <v>397</v>
      </c>
      <c r="M71" s="212" t="s">
        <v>398</v>
      </c>
      <c r="N71" s="210" t="s">
        <v>400</v>
      </c>
      <c r="O71" s="99" t="s">
        <v>401</v>
      </c>
      <c r="P71" s="99" t="s">
        <v>303</v>
      </c>
      <c r="Q71" s="99" t="s">
        <v>402</v>
      </c>
      <c r="R71" s="99" t="s">
        <v>403</v>
      </c>
      <c r="S71" s="99" t="s">
        <v>419</v>
      </c>
      <c r="T71" s="211" t="s">
        <v>404</v>
      </c>
      <c r="U71" s="210" t="s">
        <v>400</v>
      </c>
      <c r="V71" s="99" t="s">
        <v>401</v>
      </c>
      <c r="W71" s="99" t="s">
        <v>303</v>
      </c>
      <c r="X71" s="99" t="s">
        <v>402</v>
      </c>
      <c r="Y71" s="99" t="s">
        <v>403</v>
      </c>
      <c r="Z71" s="99" t="s">
        <v>419</v>
      </c>
      <c r="AA71" s="211" t="s">
        <v>404</v>
      </c>
      <c r="AB71" s="210" t="s">
        <v>405</v>
      </c>
      <c r="AC71" s="99" t="s">
        <v>319</v>
      </c>
      <c r="AD71" s="99" t="s">
        <v>406</v>
      </c>
      <c r="AE71" s="210" t="s">
        <v>407</v>
      </c>
      <c r="AF71" s="99" t="s">
        <v>408</v>
      </c>
      <c r="AG71" s="99" t="s">
        <v>409</v>
      </c>
      <c r="AH71" s="99" t="s">
        <v>410</v>
      </c>
      <c r="AI71" s="99" t="s">
        <v>411</v>
      </c>
      <c r="AJ71" s="211" t="s">
        <v>439</v>
      </c>
    </row>
    <row r="72" spans="1:36">
      <c r="A72" s="142">
        <v>9</v>
      </c>
      <c r="B72" s="101">
        <f t="shared" ref="B72:B77" si="11">K36</f>
        <v>43832</v>
      </c>
      <c r="C72" s="178">
        <f t="shared" ref="C72:D77" si="12">F36</f>
        <v>43836</v>
      </c>
      <c r="D72" s="178">
        <f t="shared" si="12"/>
        <v>44018</v>
      </c>
      <c r="E72" s="142">
        <f>D47</f>
        <v>145</v>
      </c>
      <c r="F72" s="142">
        <f t="shared" ref="F72:F77" si="13">D72-C72</f>
        <v>182</v>
      </c>
      <c r="G72" s="103">
        <f t="shared" ref="G72:G77" si="14">E72/360</f>
        <v>0.40277777777777779</v>
      </c>
      <c r="H72" s="104">
        <f>E47</f>
        <v>1.0020909629593862</v>
      </c>
      <c r="I72" s="100">
        <f t="shared" ref="I72:I77" si="15">-LN(H72)/G72</f>
        <v>-5.1859363999888783E-3</v>
      </c>
      <c r="J72" s="103">
        <f t="shared" ref="J72:J77" si="16">F72/360</f>
        <v>0.50555555555555554</v>
      </c>
      <c r="K72" s="213">
        <f>L36</f>
        <v>-3.2299999999999998E-3</v>
      </c>
      <c r="L72" s="214">
        <f t="shared" ref="L72:L77" si="17">J72</f>
        <v>0.50555555555555554</v>
      </c>
      <c r="M72" s="215">
        <f t="shared" ref="M72:M77" si="18">$B$15*L72</f>
        <v>5.0555555555555553E-3</v>
      </c>
      <c r="N72" s="216"/>
      <c r="O72" s="217">
        <v>-5.0000000000000001E-3</v>
      </c>
      <c r="P72" s="109"/>
      <c r="Q72" s="109"/>
      <c r="R72" s="109"/>
      <c r="S72" s="109"/>
      <c r="T72" s="218">
        <f>(MAX($K72-O72,0))*$L72</f>
        <v>8.9483333333333342E-4</v>
      </c>
      <c r="U72" s="219"/>
      <c r="V72" s="220">
        <v>2.5000000000000001E-2</v>
      </c>
      <c r="W72" s="219"/>
      <c r="X72" s="219"/>
      <c r="Y72" s="109"/>
      <c r="Z72" s="109"/>
      <c r="AA72" s="218">
        <f>(MAX($K72-V72,0))*$L72</f>
        <v>0</v>
      </c>
      <c r="AB72" s="263">
        <f t="shared" ref="AB72:AB77" si="19">T72+M72-AA72</f>
        <v>5.9503888888888887E-3</v>
      </c>
      <c r="AC72" s="222">
        <f t="shared" ref="AC72:AC77" si="20">H72</f>
        <v>1.0020909629593862</v>
      </c>
      <c r="AD72" s="222">
        <f t="shared" ref="AD72:AD77" si="21">AB72*AC72</f>
        <v>5.9628309316494986E-3</v>
      </c>
      <c r="AE72" s="223">
        <f>'Survival Probability (Q3)'!F33</f>
        <v>0.983740776188188</v>
      </c>
      <c r="AF72" s="224">
        <v>0.4</v>
      </c>
      <c r="AG72" s="225">
        <f t="shared" ref="AG72:AG77" si="22">AB72*AE72</f>
        <v>5.8536401841771252E-3</v>
      </c>
      <c r="AH72" s="222">
        <f t="shared" ref="AH72:AH77" si="23">AG72*AC72</f>
        <v>5.8658799289798141E-3</v>
      </c>
      <c r="AI72" s="222">
        <f>(1-AE72)*AF72</f>
        <v>6.5036895247247983E-3</v>
      </c>
      <c r="AJ72" s="200">
        <f t="shared" ref="AJ72:AJ77" si="24">AC72*AI72</f>
        <v>6.517288498620346E-3</v>
      </c>
    </row>
    <row r="73" spans="1:36">
      <c r="A73" s="142">
        <v>10</v>
      </c>
      <c r="B73" s="101">
        <f t="shared" si="11"/>
        <v>44014</v>
      </c>
      <c r="C73" s="178">
        <f t="shared" si="12"/>
        <v>44018</v>
      </c>
      <c r="D73" s="178">
        <f t="shared" si="12"/>
        <v>44202</v>
      </c>
      <c r="E73" s="142">
        <f>D49</f>
        <v>329</v>
      </c>
      <c r="F73" s="142">
        <f t="shared" si="13"/>
        <v>184</v>
      </c>
      <c r="G73" s="103">
        <f t="shared" si="14"/>
        <v>0.91388888888888886</v>
      </c>
      <c r="H73" s="104">
        <f>E49</f>
        <v>1.0028842757668066</v>
      </c>
      <c r="I73" s="100">
        <f t="shared" si="15"/>
        <v>-3.1515037105206275E-3</v>
      </c>
      <c r="J73" s="103">
        <f t="shared" si="16"/>
        <v>0.51111111111111107</v>
      </c>
      <c r="K73" s="213">
        <f>(H72/H73-1)/J73</f>
        <v>-1.5476698470139473E-3</v>
      </c>
      <c r="L73" s="214">
        <f t="shared" si="17"/>
        <v>0.51111111111111107</v>
      </c>
      <c r="M73" s="215">
        <f t="shared" si="18"/>
        <v>5.1111111111111105E-3</v>
      </c>
      <c r="N73" s="226">
        <f>'IVOL (Q2)'!$G$7/10000</f>
        <v>3.1932054794520546E-3</v>
      </c>
      <c r="O73" s="217">
        <f>O72</f>
        <v>-5.0000000000000001E-3</v>
      </c>
      <c r="P73" s="227">
        <f>G73</f>
        <v>0.91388888888888886</v>
      </c>
      <c r="Q73" s="227">
        <f>($K73-O73)/(N73*P73^0.5)</f>
        <v>1.1309378964215746</v>
      </c>
      <c r="R73" s="227">
        <f>_xlfn.NORM.DIST(Q73,0,1,TRUE)</f>
        <v>0.87095938428191066</v>
      </c>
      <c r="S73" s="227">
        <f>_xlfn.NORM.DIST(Q73,0,1,FALSE)</f>
        <v>0.21046228806696171</v>
      </c>
      <c r="T73" s="218">
        <f>(($K73-O73)*R73+N73*P73^0.5*S73)*$L73</f>
        <v>1.865198772380703E-3</v>
      </c>
      <c r="U73" s="219">
        <f>'IVOL (Q2)'!$G$12/10000</f>
        <v>7.8470904109589033E-3</v>
      </c>
      <c r="V73" s="220">
        <f>V72</f>
        <v>2.5000000000000001E-2</v>
      </c>
      <c r="W73" s="227">
        <f>G73</f>
        <v>0.91388888888888886</v>
      </c>
      <c r="X73" s="217">
        <f>($K73-V73)/(U73*W73^0.5)</f>
        <v>-3.5389225084487674</v>
      </c>
      <c r="Y73" s="227">
        <f>_xlfn.NORM.DIST(X73,0,1,TRUE)</f>
        <v>2.0088188661466534E-4</v>
      </c>
      <c r="Z73" s="227">
        <f>_xlfn.NORM.DIST(X73,0,1,FALSE)</f>
        <v>7.6096378220476377E-4</v>
      </c>
      <c r="AA73" s="218">
        <f>(($K73-V73)*Y73+U73*W73^0.5*Z73)*$L73</f>
        <v>1.919319281103054E-7</v>
      </c>
      <c r="AB73" s="263">
        <f t="shared" si="19"/>
        <v>6.9761179515637033E-3</v>
      </c>
      <c r="AC73" s="222">
        <f t="shared" si="20"/>
        <v>1.0028842757668066</v>
      </c>
      <c r="AD73" s="222">
        <f t="shared" si="21"/>
        <v>6.9962389995177829E-3</v>
      </c>
      <c r="AE73" s="223">
        <f>'Survival Probability (Q3)'!F34</f>
        <v>0.96705723155052858</v>
      </c>
      <c r="AF73" s="224">
        <v>0.4</v>
      </c>
      <c r="AG73" s="225">
        <f t="shared" si="22"/>
        <v>6.7463053132091394E-3</v>
      </c>
      <c r="AH73" s="222">
        <f t="shared" si="23"/>
        <v>6.7657635181395072E-3</v>
      </c>
      <c r="AI73" s="222">
        <f>(AE72-AE73)*AF73</f>
        <v>6.6734178550637681E-3</v>
      </c>
      <c r="AJ73" s="200">
        <f t="shared" si="24"/>
        <v>6.692665832464903E-3</v>
      </c>
    </row>
    <row r="74" spans="1:36">
      <c r="A74" s="142">
        <v>11</v>
      </c>
      <c r="B74" s="101">
        <f t="shared" si="11"/>
        <v>44200</v>
      </c>
      <c r="C74" s="178">
        <f t="shared" si="12"/>
        <v>44202</v>
      </c>
      <c r="D74" s="178">
        <f t="shared" si="12"/>
        <v>44383</v>
      </c>
      <c r="E74" s="142">
        <f>D51</f>
        <v>510</v>
      </c>
      <c r="F74" s="142">
        <f t="shared" si="13"/>
        <v>181</v>
      </c>
      <c r="G74" s="103">
        <f t="shared" si="14"/>
        <v>1.4166666666666667</v>
      </c>
      <c r="H74" s="104">
        <f>E51</f>
        <v>1.0045469865333863</v>
      </c>
      <c r="I74" s="100">
        <f t="shared" si="15"/>
        <v>-3.2023625082974131E-3</v>
      </c>
      <c r="J74" s="103">
        <f t="shared" si="16"/>
        <v>0.50277777777777777</v>
      </c>
      <c r="K74" s="213">
        <f>(H73/H74-1)/J74</f>
        <v>-3.2920799950963606E-3</v>
      </c>
      <c r="L74" s="214">
        <f t="shared" si="17"/>
        <v>0.50277777777777777</v>
      </c>
      <c r="M74" s="215">
        <f t="shared" si="18"/>
        <v>5.0277777777777777E-3</v>
      </c>
      <c r="N74" s="226">
        <f>'IVOL (Q2)'!$G$7/10000</f>
        <v>3.1932054794520546E-3</v>
      </c>
      <c r="O74" s="217">
        <f>O73</f>
        <v>-5.0000000000000001E-3</v>
      </c>
      <c r="P74" s="227">
        <f>G74</f>
        <v>1.4166666666666667</v>
      </c>
      <c r="Q74" s="227">
        <f>($K74-O74)/(N74*P74^0.5)</f>
        <v>0.44937284181097675</v>
      </c>
      <c r="R74" s="227">
        <f>_xlfn.NORM.DIST(Q74,0,1,TRUE)</f>
        <v>0.67341864038087784</v>
      </c>
      <c r="S74" s="227">
        <f>_xlfn.NORM.DIST(Q74,0,1,FALSE)</f>
        <v>0.36062865424478907</v>
      </c>
      <c r="T74" s="218">
        <f>(($K74-O74)*R74+N74*P74^0.5*S74)*$L74</f>
        <v>1.267390850008717E-3</v>
      </c>
      <c r="U74" s="219">
        <f>'IVOL (Q2)'!$G$12/10000</f>
        <v>7.8470904109589033E-3</v>
      </c>
      <c r="V74" s="220">
        <f>V73</f>
        <v>2.5000000000000001E-2</v>
      </c>
      <c r="W74" s="227">
        <f>G74</f>
        <v>1.4166666666666667</v>
      </c>
      <c r="X74" s="217">
        <f>($K74-V74)/(U74*W74^0.5)</f>
        <v>-3.0291611854656524</v>
      </c>
      <c r="Y74" s="227">
        <f>_xlfn.NORM.DIST(X74,0,1,TRUE)</f>
        <v>1.226169022107401E-3</v>
      </c>
      <c r="Z74" s="227">
        <f>_xlfn.NORM.DIST(X74,0,1,FALSE)</f>
        <v>4.0588837687687979E-3</v>
      </c>
      <c r="AA74" s="218">
        <f>(($K74-V74)*Y74+U74*W74^0.5*Z74)*$L74</f>
        <v>1.6183007974132331E-6</v>
      </c>
      <c r="AB74" s="263">
        <f t="shared" si="19"/>
        <v>6.2935503269890818E-3</v>
      </c>
      <c r="AC74" s="222">
        <f t="shared" si="20"/>
        <v>1.0045469865333863</v>
      </c>
      <c r="AD74" s="222">
        <f t="shared" si="21"/>
        <v>6.3221670155730898E-3</v>
      </c>
      <c r="AE74" s="223">
        <f>'Survival Probability (Q3)'!F35</f>
        <v>0.95140207521434383</v>
      </c>
      <c r="AF74" s="224">
        <v>0.4</v>
      </c>
      <c r="AG74" s="225">
        <f t="shared" si="22"/>
        <v>5.9876968415633249E-3</v>
      </c>
      <c r="AH74" s="222">
        <f t="shared" si="23"/>
        <v>6.014922818467913E-3</v>
      </c>
      <c r="AI74" s="222">
        <f>(AE73-AE74)*AF74</f>
        <v>6.2620625344739006E-3</v>
      </c>
      <c r="AJ74" s="200">
        <f t="shared" si="24"/>
        <v>6.2905360484893759E-3</v>
      </c>
    </row>
    <row r="75" spans="1:36">
      <c r="A75" s="142">
        <v>12</v>
      </c>
      <c r="B75" s="101">
        <f t="shared" si="11"/>
        <v>44379</v>
      </c>
      <c r="C75" s="178">
        <f t="shared" si="12"/>
        <v>44383</v>
      </c>
      <c r="D75" s="178">
        <f t="shared" si="12"/>
        <v>44567</v>
      </c>
      <c r="E75" s="142">
        <f>D53</f>
        <v>694</v>
      </c>
      <c r="F75" s="142">
        <f t="shared" si="13"/>
        <v>184</v>
      </c>
      <c r="G75" s="103">
        <f t="shared" si="14"/>
        <v>1.9277777777777778</v>
      </c>
      <c r="H75" s="104">
        <f>E53</f>
        <v>1.006868573911591</v>
      </c>
      <c r="I75" s="100">
        <f t="shared" si="15"/>
        <v>-3.5507685569005905E-3</v>
      </c>
      <c r="J75" s="103">
        <f t="shared" si="16"/>
        <v>0.51111111111111107</v>
      </c>
      <c r="K75" s="213">
        <f>(H74/H75-1)/J75</f>
        <v>-4.5112503185021722E-3</v>
      </c>
      <c r="L75" s="214">
        <f t="shared" si="17"/>
        <v>0.51111111111111107</v>
      </c>
      <c r="M75" s="215">
        <f t="shared" si="18"/>
        <v>5.1111111111111105E-3</v>
      </c>
      <c r="N75" s="226">
        <f>'IVOL (Q2)'!$G$7/10000</f>
        <v>3.1932054794520546E-3</v>
      </c>
      <c r="O75" s="217">
        <f>O74</f>
        <v>-5.0000000000000001E-3</v>
      </c>
      <c r="P75" s="227">
        <f>G75</f>
        <v>1.9277777777777778</v>
      </c>
      <c r="Q75" s="227">
        <f>($K75-O75)/(N75*P75^0.5)</f>
        <v>0.11023795209887531</v>
      </c>
      <c r="R75" s="227">
        <f>_xlfn.NORM.DIST(Q75,0,1,TRUE)</f>
        <v>0.54388966787195847</v>
      </c>
      <c r="S75" s="227">
        <f>_xlfn.NORM.DIST(Q75,0,1,FALSE)</f>
        <v>0.39652557573344988</v>
      </c>
      <c r="T75" s="218">
        <f>(($K75-O75)*R75+N75*P75^0.5*S75)*$L75</f>
        <v>1.0344158040311822E-3</v>
      </c>
      <c r="U75" s="219">
        <f>'IVOL (Q2)'!$G$12/10000</f>
        <v>7.8470904109589033E-3</v>
      </c>
      <c r="V75" s="220">
        <f>V74</f>
        <v>2.5000000000000001E-2</v>
      </c>
      <c r="W75" s="227">
        <f>G75</f>
        <v>1.9277777777777778</v>
      </c>
      <c r="X75" s="217">
        <f>($K75-V75)/(U75*W75^0.5)</f>
        <v>-2.7086348918780256</v>
      </c>
      <c r="Y75" s="227">
        <f>_xlfn.NORM.DIST(X75,0,1,TRUE)</f>
        <v>3.3780321006888878E-3</v>
      </c>
      <c r="Z75" s="227">
        <f>_xlfn.NORM.DIST(X75,0,1,FALSE)</f>
        <v>1.018040971156301E-2</v>
      </c>
      <c r="AA75" s="218">
        <f>(($K75-V75)*Y75+U75*W75^0.5*Z75)*$L75</f>
        <v>5.7388286528891603E-6</v>
      </c>
      <c r="AB75" s="263">
        <f t="shared" si="19"/>
        <v>6.1397880864894035E-3</v>
      </c>
      <c r="AC75" s="222">
        <f t="shared" si="20"/>
        <v>1.006868573911591</v>
      </c>
      <c r="AD75" s="222">
        <f t="shared" si="21"/>
        <v>6.1819596747629615E-3</v>
      </c>
      <c r="AE75" s="223">
        <f>'Survival Probability (Q3)'!F36</f>
        <v>0.93623801124854633</v>
      </c>
      <c r="AF75" s="224">
        <v>0.4</v>
      </c>
      <c r="AG75" s="225">
        <f t="shared" si="22"/>
        <v>5.7483029875823573E-3</v>
      </c>
      <c r="AH75" s="222">
        <f t="shared" si="23"/>
        <v>5.7877856315187862E-3</v>
      </c>
      <c r="AI75" s="222">
        <f>(AE74-AE75)*AF75</f>
        <v>6.0656255863190019E-3</v>
      </c>
      <c r="AJ75" s="200">
        <f t="shared" si="24"/>
        <v>6.1072877839786713E-3</v>
      </c>
    </row>
    <row r="76" spans="1:36">
      <c r="A76" s="142">
        <v>13</v>
      </c>
      <c r="B76" s="101">
        <f t="shared" si="11"/>
        <v>44565</v>
      </c>
      <c r="C76" s="178">
        <f t="shared" si="12"/>
        <v>44567</v>
      </c>
      <c r="D76" s="178">
        <f t="shared" si="12"/>
        <v>44748</v>
      </c>
      <c r="E76" s="142">
        <f>D55</f>
        <v>875</v>
      </c>
      <c r="F76" s="142">
        <f t="shared" si="13"/>
        <v>181</v>
      </c>
      <c r="G76" s="103">
        <f t="shared" si="14"/>
        <v>2.4305555555555554</v>
      </c>
      <c r="H76" s="104">
        <f>E55</f>
        <v>1.0085767152016145</v>
      </c>
      <c r="I76" s="100">
        <f t="shared" si="15"/>
        <v>-3.5136593022516661E-3</v>
      </c>
      <c r="J76" s="103">
        <f t="shared" si="16"/>
        <v>0.50277777777777777</v>
      </c>
      <c r="K76" s="213">
        <f>(H75/H76-1)/J76</f>
        <v>-3.3685172773152321E-3</v>
      </c>
      <c r="L76" s="214">
        <f t="shared" si="17"/>
        <v>0.50277777777777777</v>
      </c>
      <c r="M76" s="215">
        <f t="shared" si="18"/>
        <v>5.0277777777777777E-3</v>
      </c>
      <c r="N76" s="226">
        <f>'IVOL (Q2)'!$G$7/10000</f>
        <v>3.1932054794520546E-3</v>
      </c>
      <c r="O76" s="217">
        <f>O75</f>
        <v>-5.0000000000000001E-3</v>
      </c>
      <c r="P76" s="227">
        <f>G76</f>
        <v>2.4305555555555554</v>
      </c>
      <c r="Q76" s="227">
        <f>($K76-O76)/(N76*P76^0.5)</f>
        <v>0.32771991762826347</v>
      </c>
      <c r="R76" s="227">
        <f>_xlfn.NORM.DIST(Q76,0,1,TRUE)</f>
        <v>0.6284382788669185</v>
      </c>
      <c r="S76" s="227">
        <f>_xlfn.NORM.DIST(Q76,0,1,FALSE)</f>
        <v>0.37808406821324736</v>
      </c>
      <c r="T76" s="218">
        <f>(($K76-O76)*R76+N76*P76^0.5*S76)*$L76</f>
        <v>1.46182435094698E-3</v>
      </c>
      <c r="U76" s="219">
        <f>'IVOL (Q2)'!$G$12/10000</f>
        <v>7.8470904109589033E-3</v>
      </c>
      <c r="V76" s="220">
        <f>V75</f>
        <v>2.5000000000000001E-2</v>
      </c>
      <c r="W76" s="227">
        <f>G76</f>
        <v>2.4305555555555554</v>
      </c>
      <c r="X76" s="217">
        <f>($K76-V76)/(U76*W76^0.5)</f>
        <v>-2.3188636077884621</v>
      </c>
      <c r="Y76" s="227">
        <f>_xlfn.NORM.DIST(X76,0,1,TRUE)</f>
        <v>1.0201216465686816E-2</v>
      </c>
      <c r="Z76" s="227">
        <f>_xlfn.NORM.DIST(X76,0,1,FALSE)</f>
        <v>2.7119486540338807E-2</v>
      </c>
      <c r="AA76" s="218">
        <f>(($K76-V76)*Y76+U76*W76^0.5*Z76)*$L76</f>
        <v>2.1308241003160072E-5</v>
      </c>
      <c r="AB76" s="263">
        <f t="shared" si="19"/>
        <v>6.4682938877215976E-3</v>
      </c>
      <c r="AC76" s="222">
        <f t="shared" si="20"/>
        <v>1.0085767152016145</v>
      </c>
      <c r="AD76" s="222">
        <f t="shared" si="21"/>
        <v>6.5237706022369295E-3</v>
      </c>
      <c r="AE76" s="223">
        <f>'Survival Probability (Q3)'!F37</f>
        <v>0.92122206757255554</v>
      </c>
      <c r="AF76" s="224">
        <v>0.4</v>
      </c>
      <c r="AG76" s="225">
        <f t="shared" si="22"/>
        <v>5.9587350689138136E-3</v>
      </c>
      <c r="AH76" s="222">
        <f t="shared" si="23"/>
        <v>6.0098414425617599E-3</v>
      </c>
      <c r="AI76" s="222">
        <f>(AE75-AE76)*AF76</f>
        <v>6.0063774703963185E-3</v>
      </c>
      <c r="AJ76" s="200">
        <f t="shared" si="24"/>
        <v>6.0578924593533015E-3</v>
      </c>
    </row>
    <row r="77" spans="1:36">
      <c r="A77" s="228">
        <v>14</v>
      </c>
      <c r="B77" s="101">
        <f t="shared" si="11"/>
        <v>44746</v>
      </c>
      <c r="C77" s="178">
        <f t="shared" si="12"/>
        <v>44748</v>
      </c>
      <c r="D77" s="178">
        <f t="shared" si="12"/>
        <v>44932</v>
      </c>
      <c r="E77" s="142">
        <f>D57</f>
        <v>1059</v>
      </c>
      <c r="F77" s="142">
        <f t="shared" si="13"/>
        <v>184</v>
      </c>
      <c r="G77" s="103">
        <f t="shared" si="14"/>
        <v>2.9416666666666669</v>
      </c>
      <c r="H77" s="104">
        <f>E57</f>
        <v>1.0100232322367353</v>
      </c>
      <c r="I77" s="100">
        <f t="shared" si="15"/>
        <v>-3.3903680917429795E-3</v>
      </c>
      <c r="J77" s="103">
        <f t="shared" si="16"/>
        <v>0.51111111111111107</v>
      </c>
      <c r="K77" s="213">
        <f>(H76/H77-1)/J77</f>
        <v>-2.8020563635638746E-3</v>
      </c>
      <c r="L77" s="214">
        <f t="shared" si="17"/>
        <v>0.51111111111111107</v>
      </c>
      <c r="M77" s="215">
        <f t="shared" si="18"/>
        <v>5.1111111111111105E-3</v>
      </c>
      <c r="N77" s="226">
        <f>'IVOL (Q2)'!$G$7/10000</f>
        <v>3.1932054794520546E-3</v>
      </c>
      <c r="O77" s="217">
        <f>O76</f>
        <v>-5.0000000000000001E-3</v>
      </c>
      <c r="P77" s="227">
        <f>G77</f>
        <v>2.9416666666666669</v>
      </c>
      <c r="Q77" s="227">
        <f>($K77-O77)/(N77*P77^0.5)</f>
        <v>0.40132198879627562</v>
      </c>
      <c r="R77" s="227">
        <f>_xlfn.NORM.DIST(Q77,0,1,TRUE)</f>
        <v>0.65590846176895867</v>
      </c>
      <c r="S77" s="227">
        <f>_xlfn.NORM.DIST(Q77,0,1,FALSE)</f>
        <v>0.36807513054897206</v>
      </c>
      <c r="T77" s="218">
        <f>(($K77-O77)*R77+N77*P77^0.5*S77)*$L77</f>
        <v>1.7671709858884412E-3</v>
      </c>
      <c r="U77" s="219">
        <f>'IVOL (Q2)'!$G$12/10000</f>
        <v>7.8470904109589033E-3</v>
      </c>
      <c r="V77" s="220">
        <f>V76</f>
        <v>2.5000000000000001E-2</v>
      </c>
      <c r="W77" s="227">
        <f>G77</f>
        <v>2.9416666666666669</v>
      </c>
      <c r="X77" s="217">
        <f>($K77-V77)/(U77*W77^0.5)</f>
        <v>-2.0657203761112832</v>
      </c>
      <c r="Y77" s="227">
        <f>_xlfn.NORM.DIST(X77,0,1,TRUE)</f>
        <v>1.9427445086815293E-2</v>
      </c>
      <c r="Z77" s="227">
        <f>_xlfn.NORM.DIST(X77,0,1,FALSE)</f>
        <v>4.7238838775125032E-2</v>
      </c>
      <c r="AA77" s="218">
        <f>(($K77-V77)*Y77+U77*W77^0.5*Z77)*$L77</f>
        <v>4.8889701737466271E-5</v>
      </c>
      <c r="AB77" s="263">
        <f t="shared" si="19"/>
        <v>6.8293923952620853E-3</v>
      </c>
      <c r="AC77" s="222">
        <f t="shared" si="20"/>
        <v>1.0100232322367353</v>
      </c>
      <c r="AD77" s="222">
        <f t="shared" si="21"/>
        <v>6.8978449812755914E-3</v>
      </c>
      <c r="AE77" s="223">
        <f>'Survival Probability (Q3)'!F38</f>
        <v>0.90634157536390114</v>
      </c>
      <c r="AF77" s="224">
        <v>0.4</v>
      </c>
      <c r="AG77" s="225">
        <f t="shared" si="22"/>
        <v>6.189762262300085E-3</v>
      </c>
      <c r="AH77" s="222">
        <f t="shared" si="23"/>
        <v>6.2518036869452986E-3</v>
      </c>
      <c r="AI77" s="222">
        <f>(AE76-AE77)*AF77</f>
        <v>5.9521968834617585E-3</v>
      </c>
      <c r="AJ77" s="200">
        <f t="shared" si="24"/>
        <v>6.0118571351434674E-3</v>
      </c>
    </row>
    <row r="78" spans="1:36">
      <c r="C78" s="147"/>
      <c r="D78" s="101"/>
      <c r="E78" s="142"/>
      <c r="H78" s="100"/>
      <c r="K78" s="229"/>
      <c r="L78" s="182"/>
      <c r="M78" s="182"/>
      <c r="N78" s="110"/>
      <c r="O78" s="137"/>
      <c r="Q78" s="137"/>
      <c r="T78" s="219"/>
      <c r="U78" s="219"/>
      <c r="V78" s="219"/>
      <c r="W78" s="219"/>
      <c r="X78" s="219"/>
      <c r="Y78" s="219"/>
      <c r="Z78" s="219"/>
      <c r="AA78" s="219"/>
      <c r="AB78" s="230"/>
      <c r="AC78" s="104"/>
      <c r="AE78" s="217"/>
      <c r="AF78" s="231"/>
      <c r="AG78" s="232"/>
    </row>
    <row r="79" spans="1:36" ht="15" thickBot="1">
      <c r="A79" s="315" t="s">
        <v>443</v>
      </c>
      <c r="B79" s="315"/>
    </row>
    <row r="80" spans="1:36" ht="15" thickBot="1">
      <c r="A80" s="314" t="s">
        <v>334</v>
      </c>
      <c r="B80" s="314"/>
      <c r="C80" s="314"/>
      <c r="D80" s="314"/>
      <c r="E80" s="314"/>
      <c r="F80" s="314"/>
      <c r="G80" s="314"/>
      <c r="H80" s="314"/>
      <c r="I80" s="140"/>
      <c r="J80" s="140"/>
      <c r="K80" s="205"/>
      <c r="L80" s="206"/>
      <c r="M80" s="207" t="s">
        <v>412</v>
      </c>
      <c r="N80" s="319" t="s">
        <v>399</v>
      </c>
      <c r="O80" s="314"/>
      <c r="P80" s="314"/>
      <c r="Q80" s="314"/>
      <c r="R80" s="314"/>
      <c r="S80" s="314"/>
      <c r="T80" s="320"/>
      <c r="U80" s="319" t="s">
        <v>456</v>
      </c>
      <c r="V80" s="314"/>
      <c r="W80" s="314"/>
      <c r="X80" s="314"/>
      <c r="Y80" s="314"/>
      <c r="Z80" s="314"/>
      <c r="AA80" s="320"/>
      <c r="AB80" s="208"/>
      <c r="AC80" s="209"/>
      <c r="AD80" s="209"/>
      <c r="AE80" s="319" t="s">
        <v>413</v>
      </c>
      <c r="AF80" s="314"/>
      <c r="AG80" s="314"/>
      <c r="AH80" s="314"/>
      <c r="AI80" s="314"/>
      <c r="AJ80" s="320"/>
    </row>
    <row r="81" spans="1:39" ht="15" thickBot="1">
      <c r="A81" s="99" t="s">
        <v>323</v>
      </c>
      <c r="B81" s="99" t="s">
        <v>304</v>
      </c>
      <c r="C81" s="99" t="s">
        <v>299</v>
      </c>
      <c r="D81" s="99" t="s">
        <v>301</v>
      </c>
      <c r="E81" s="99" t="s">
        <v>33</v>
      </c>
      <c r="F81" s="99" t="s">
        <v>395</v>
      </c>
      <c r="G81" s="99" t="s">
        <v>303</v>
      </c>
      <c r="H81" s="99" t="s">
        <v>319</v>
      </c>
      <c r="I81" s="99" t="s">
        <v>344</v>
      </c>
      <c r="J81" s="99" t="s">
        <v>302</v>
      </c>
      <c r="K81" s="210" t="s">
        <v>396</v>
      </c>
      <c r="L81" s="211" t="s">
        <v>397</v>
      </c>
      <c r="M81" s="212" t="s">
        <v>398</v>
      </c>
      <c r="N81" s="210" t="s">
        <v>400</v>
      </c>
      <c r="O81" s="99" t="s">
        <v>401</v>
      </c>
      <c r="P81" s="99" t="s">
        <v>303</v>
      </c>
      <c r="Q81" s="99" t="s">
        <v>402</v>
      </c>
      <c r="R81" s="99" t="s">
        <v>403</v>
      </c>
      <c r="S81" s="99" t="s">
        <v>419</v>
      </c>
      <c r="T81" s="211" t="s">
        <v>404</v>
      </c>
      <c r="U81" s="210" t="s">
        <v>400</v>
      </c>
      <c r="V81" s="99" t="s">
        <v>401</v>
      </c>
      <c r="W81" s="99" t="s">
        <v>303</v>
      </c>
      <c r="X81" s="99" t="s">
        <v>402</v>
      </c>
      <c r="Y81" s="99" t="s">
        <v>403</v>
      </c>
      <c r="Z81" s="99" t="s">
        <v>419</v>
      </c>
      <c r="AA81" s="211" t="s">
        <v>404</v>
      </c>
      <c r="AB81" s="210" t="s">
        <v>405</v>
      </c>
      <c r="AC81" s="99" t="s">
        <v>319</v>
      </c>
      <c r="AD81" s="99" t="s">
        <v>406</v>
      </c>
      <c r="AE81" s="210" t="s">
        <v>407</v>
      </c>
      <c r="AF81" s="99" t="s">
        <v>408</v>
      </c>
      <c r="AG81" s="99" t="s">
        <v>409</v>
      </c>
      <c r="AH81" s="99" t="s">
        <v>410</v>
      </c>
      <c r="AI81" s="99" t="s">
        <v>411</v>
      </c>
      <c r="AJ81" s="211" t="s">
        <v>439</v>
      </c>
    </row>
    <row r="82" spans="1:39">
      <c r="A82" s="142">
        <f>A72</f>
        <v>9</v>
      </c>
      <c r="B82" s="101">
        <f t="shared" ref="B82:G82" si="25">B72</f>
        <v>43832</v>
      </c>
      <c r="C82" s="178">
        <f t="shared" si="25"/>
        <v>43836</v>
      </c>
      <c r="D82" s="178">
        <f t="shared" si="25"/>
        <v>44018</v>
      </c>
      <c r="E82" s="142">
        <f t="shared" si="25"/>
        <v>145</v>
      </c>
      <c r="F82" s="142">
        <f t="shared" si="25"/>
        <v>182</v>
      </c>
      <c r="G82" s="103">
        <f t="shared" si="25"/>
        <v>0.40277777777777779</v>
      </c>
      <c r="H82" s="104">
        <f t="shared" ref="H82:H87" si="26">C62</f>
        <v>1.0012047113773439</v>
      </c>
      <c r="I82" s="100">
        <f t="shared" ref="I82:J87" si="27">I72</f>
        <v>-5.1859363999888783E-3</v>
      </c>
      <c r="J82" s="103">
        <f t="shared" si="27"/>
        <v>0.50555555555555554</v>
      </c>
      <c r="K82" s="213">
        <f>L36</f>
        <v>-3.2299999999999998E-3</v>
      </c>
      <c r="L82" s="214">
        <f t="shared" ref="L82:L87" si="28">J82</f>
        <v>0.50555555555555554</v>
      </c>
      <c r="M82" s="215">
        <f t="shared" ref="M82:M87" si="29">$B$15*L82</f>
        <v>5.0555555555555553E-3</v>
      </c>
      <c r="N82" s="216"/>
      <c r="O82" s="217">
        <v>-5.0000000000000001E-3</v>
      </c>
      <c r="P82" s="109"/>
      <c r="Q82" s="109"/>
      <c r="R82" s="109"/>
      <c r="S82" s="109"/>
      <c r="T82" s="218">
        <f>(MAX(K82-O82,0))*L82</f>
        <v>8.9483333333333342E-4</v>
      </c>
      <c r="U82" s="219"/>
      <c r="V82" s="220">
        <v>2.5000000000000001E-2</v>
      </c>
      <c r="W82" s="219"/>
      <c r="X82" s="219"/>
      <c r="Y82" s="109"/>
      <c r="Z82" s="109"/>
      <c r="AA82" s="218">
        <f>(MAX($K82-V82,0))*$L82</f>
        <v>0</v>
      </c>
      <c r="AB82" s="221">
        <f t="shared" ref="AB82:AB87" si="30">T82+M82-AA82</f>
        <v>5.9503888888888887E-3</v>
      </c>
      <c r="AC82" s="204">
        <f t="shared" ref="AC82:AC87" si="31">H82</f>
        <v>1.0012047113773439</v>
      </c>
      <c r="AD82" s="222">
        <f t="shared" ref="AD82:AD87" si="32">AB82*AC82</f>
        <v>5.9575573900829543E-3</v>
      </c>
      <c r="AE82" s="223">
        <f t="shared" ref="AE82:AE87" si="33">AE72</f>
        <v>0.983740776188188</v>
      </c>
      <c r="AF82" s="224">
        <v>0.4</v>
      </c>
      <c r="AG82" s="225">
        <f t="shared" ref="AG82:AG87" si="34">AB82*AE82</f>
        <v>5.8536401841771252E-3</v>
      </c>
      <c r="AH82" s="222">
        <f t="shared" ref="AH82:AH87" si="35">AG82*AC82</f>
        <v>5.8606921311058812E-3</v>
      </c>
      <c r="AI82" s="222">
        <f>(1-AE82)*AF82</f>
        <v>6.5036895247247983E-3</v>
      </c>
      <c r="AJ82" s="200">
        <f t="shared" ref="AJ82:AJ87" si="36">AC82*AI82</f>
        <v>6.5115245934899467E-3</v>
      </c>
    </row>
    <row r="83" spans="1:39">
      <c r="A83" s="142">
        <f>A73</f>
        <v>10</v>
      </c>
      <c r="B83" s="101">
        <f t="shared" ref="B83:G83" si="37">B73</f>
        <v>44014</v>
      </c>
      <c r="C83" s="178">
        <f t="shared" si="37"/>
        <v>44018</v>
      </c>
      <c r="D83" s="178">
        <f t="shared" si="37"/>
        <v>44202</v>
      </c>
      <c r="E83" s="142">
        <f t="shared" si="37"/>
        <v>329</v>
      </c>
      <c r="F83" s="142">
        <f t="shared" si="37"/>
        <v>184</v>
      </c>
      <c r="G83" s="103">
        <f t="shared" si="37"/>
        <v>0.91388888888888886</v>
      </c>
      <c r="H83" s="104">
        <f t="shared" si="26"/>
        <v>1.0029624744242212</v>
      </c>
      <c r="I83" s="100">
        <f t="shared" si="27"/>
        <v>-3.1515037105206275E-3</v>
      </c>
      <c r="J83" s="103">
        <f t="shared" si="27"/>
        <v>0.51111111111111107</v>
      </c>
      <c r="K83" s="213">
        <f>(H82/H83-1)/J83</f>
        <v>-3.4289434561645031E-3</v>
      </c>
      <c r="L83" s="214">
        <f t="shared" si="28"/>
        <v>0.51111111111111107</v>
      </c>
      <c r="M83" s="215">
        <f t="shared" si="29"/>
        <v>5.1111111111111105E-3</v>
      </c>
      <c r="N83" s="226">
        <f>'IVOL (Q2)'!$G$7/10000</f>
        <v>3.1932054794520546E-3</v>
      </c>
      <c r="O83" s="217">
        <f>O82</f>
        <v>-5.0000000000000001E-3</v>
      </c>
      <c r="P83" s="227">
        <f>G83</f>
        <v>0.91388888888888886</v>
      </c>
      <c r="Q83" s="217">
        <f>(K83-O83)/(N83*P83^0.5)</f>
        <v>0.514657435444832</v>
      </c>
      <c r="R83" s="227">
        <f>_xlfn.NORM.DIST(Q83,0,1,TRUE)</f>
        <v>0.69660378896023345</v>
      </c>
      <c r="S83" s="227">
        <f>_xlfn.NORM.DIST(Q83,0,1,FALSE)</f>
        <v>0.34945703027960856</v>
      </c>
      <c r="T83" s="218">
        <f>((K83-O83)*R83+N83*P83^0.5*S83)*L83</f>
        <v>1.1045956861748035E-3</v>
      </c>
      <c r="U83" s="219">
        <f>'IVOL (Q2)'!$G$12/10000</f>
        <v>7.8470904109589033E-3</v>
      </c>
      <c r="V83" s="220">
        <f>V82</f>
        <v>2.5000000000000001E-2</v>
      </c>
      <c r="W83" s="227">
        <f>G83</f>
        <v>0.91388888888888886</v>
      </c>
      <c r="X83" s="217">
        <f>($K83-V83)/(U83*W83^0.5)</f>
        <v>-3.7897046508492007</v>
      </c>
      <c r="Y83" s="227">
        <f>_xlfn.NORM.DIST(X83,0,1,TRUE)</f>
        <v>7.5413253970861056E-5</v>
      </c>
      <c r="Z83" s="227">
        <f>_xlfn.NORM.DIST(X83,0,1,FALSE)</f>
        <v>3.0357884252053596E-4</v>
      </c>
      <c r="AA83" s="218">
        <f>(($K83-V83)*Y83+U83*W83^0.5*Z83)*$L83</f>
        <v>6.819015770855798E-8</v>
      </c>
      <c r="AB83" s="221">
        <f t="shared" si="30"/>
        <v>6.2156386071282052E-3</v>
      </c>
      <c r="AC83" s="204">
        <f t="shared" si="31"/>
        <v>1.0029624744242212</v>
      </c>
      <c r="AD83" s="222">
        <f t="shared" si="32"/>
        <v>6.2340522775320237E-3</v>
      </c>
      <c r="AE83" s="223">
        <f t="shared" si="33"/>
        <v>0.96705723155052858</v>
      </c>
      <c r="AF83" s="224">
        <v>0.4</v>
      </c>
      <c r="AG83" s="225">
        <f t="shared" si="34"/>
        <v>6.0108782637279855E-3</v>
      </c>
      <c r="AH83" s="222">
        <f t="shared" si="35"/>
        <v>6.0286853368513868E-3</v>
      </c>
      <c r="AI83" s="222">
        <f>(AE82-AE83)*AF83</f>
        <v>6.6734178550637681E-3</v>
      </c>
      <c r="AJ83" s="200">
        <f t="shared" si="36"/>
        <v>6.693187684781535E-3</v>
      </c>
    </row>
    <row r="84" spans="1:39">
      <c r="A84" s="142">
        <f t="shared" ref="A84:G87" si="38">A74</f>
        <v>11</v>
      </c>
      <c r="B84" s="101">
        <f t="shared" si="38"/>
        <v>44200</v>
      </c>
      <c r="C84" s="178">
        <f t="shared" si="38"/>
        <v>44202</v>
      </c>
      <c r="D84" s="178">
        <f t="shared" si="38"/>
        <v>44383</v>
      </c>
      <c r="E84" s="142">
        <f t="shared" si="38"/>
        <v>510</v>
      </c>
      <c r="F84" s="142">
        <f t="shared" si="38"/>
        <v>181</v>
      </c>
      <c r="G84" s="103">
        <f t="shared" si="38"/>
        <v>1.4166666666666667</v>
      </c>
      <c r="H84" s="104">
        <f t="shared" si="26"/>
        <v>1.0048045476420251</v>
      </c>
      <c r="I84" s="100">
        <f t="shared" si="27"/>
        <v>-3.2023625082974131E-3</v>
      </c>
      <c r="J84" s="103">
        <f t="shared" si="27"/>
        <v>0.50277777777777777</v>
      </c>
      <c r="K84" s="213">
        <f>(H83/H84-1)/J84</f>
        <v>-3.6462733414263969E-3</v>
      </c>
      <c r="L84" s="214">
        <f t="shared" si="28"/>
        <v>0.50277777777777777</v>
      </c>
      <c r="M84" s="215">
        <f t="shared" si="29"/>
        <v>5.0277777777777777E-3</v>
      </c>
      <c r="N84" s="226">
        <f>'IVOL (Q2)'!$G$7/10000</f>
        <v>3.1932054794520546E-3</v>
      </c>
      <c r="O84" s="217">
        <f>O83</f>
        <v>-5.0000000000000001E-3</v>
      </c>
      <c r="P84" s="227">
        <f>G84</f>
        <v>1.4166666666666667</v>
      </c>
      <c r="Q84" s="217">
        <f>(K84-O84)/(N84*P84^0.5)</f>
        <v>0.35618061375937782</v>
      </c>
      <c r="R84" s="227">
        <f>_xlfn.NORM.DIST(Q84,0,1,TRUE)</f>
        <v>0.63914734541218721</v>
      </c>
      <c r="S84" s="227">
        <f>_xlfn.NORM.DIST(Q84,0,1,FALSE)</f>
        <v>0.3744223472419711</v>
      </c>
      <c r="T84" s="218">
        <f>((K84-O84)*R84+N84*P84^0.5*S84)*L84</f>
        <v>1.1505005337003309E-3</v>
      </c>
      <c r="U84" s="219">
        <f>'IVOL (Q2)'!$G$12/10000</f>
        <v>7.8470904109589033E-3</v>
      </c>
      <c r="V84" s="220">
        <f>V83</f>
        <v>2.5000000000000001E-2</v>
      </c>
      <c r="W84" s="227">
        <f>G84</f>
        <v>1.4166666666666667</v>
      </c>
      <c r="X84" s="217">
        <f>($K84-V84)/(U84*W84^0.5)</f>
        <v>-3.0670837679353435</v>
      </c>
      <c r="Y84" s="227">
        <f>_xlfn.NORM.DIST(X84,0,1,TRUE)</f>
        <v>1.0807913582665137E-3</v>
      </c>
      <c r="Z84" s="227">
        <f>_xlfn.NORM.DIST(X84,0,1,FALSE)</f>
        <v>3.615807935769327E-3</v>
      </c>
      <c r="AA84" s="218">
        <f>(($K84-V84)*Y84+U84*W84^0.5*Z84)*$L84</f>
        <v>1.4131377316050215E-6</v>
      </c>
      <c r="AB84" s="221">
        <f t="shared" si="30"/>
        <v>6.1768651737465034E-3</v>
      </c>
      <c r="AC84" s="204">
        <f t="shared" si="31"/>
        <v>1.0048045476420251</v>
      </c>
      <c r="AD84" s="222">
        <f t="shared" si="32"/>
        <v>6.2065422167521343E-3</v>
      </c>
      <c r="AE84" s="223">
        <f t="shared" si="33"/>
        <v>0.95140207521434383</v>
      </c>
      <c r="AF84" s="224">
        <v>0.4</v>
      </c>
      <c r="AG84" s="225">
        <f t="shared" si="34"/>
        <v>5.8766823446216318E-3</v>
      </c>
      <c r="AH84" s="222">
        <f t="shared" si="35"/>
        <v>5.9049171449234144E-3</v>
      </c>
      <c r="AI84" s="222">
        <f>(AE83-AE84)*AF84</f>
        <v>6.2620625344739006E-3</v>
      </c>
      <c r="AJ84" s="200">
        <f t="shared" si="36"/>
        <v>6.2921489122581206E-3</v>
      </c>
    </row>
    <row r="85" spans="1:39">
      <c r="A85" s="142">
        <f t="shared" si="38"/>
        <v>12</v>
      </c>
      <c r="B85" s="101">
        <f t="shared" si="38"/>
        <v>44379</v>
      </c>
      <c r="C85" s="178">
        <f t="shared" si="38"/>
        <v>44383</v>
      </c>
      <c r="D85" s="178">
        <f t="shared" si="38"/>
        <v>44567</v>
      </c>
      <c r="E85" s="142">
        <f t="shared" si="38"/>
        <v>694</v>
      </c>
      <c r="F85" s="142">
        <f t="shared" si="38"/>
        <v>184</v>
      </c>
      <c r="G85" s="103">
        <f t="shared" si="38"/>
        <v>1.9277777777777778</v>
      </c>
      <c r="H85" s="104">
        <f t="shared" si="26"/>
        <v>1.0066706553259992</v>
      </c>
      <c r="I85" s="100">
        <f t="shared" si="27"/>
        <v>-3.5507685569005905E-3</v>
      </c>
      <c r="J85" s="103">
        <f t="shared" si="27"/>
        <v>0.51111111111111107</v>
      </c>
      <c r="K85" s="213">
        <f>(H84/H85-1)/J85</f>
        <v>-3.6268865412306963E-3</v>
      </c>
      <c r="L85" s="214">
        <f t="shared" si="28"/>
        <v>0.51111111111111107</v>
      </c>
      <c r="M85" s="215">
        <f t="shared" si="29"/>
        <v>5.1111111111111105E-3</v>
      </c>
      <c r="N85" s="226">
        <f>'IVOL (Q2)'!$G$7/10000</f>
        <v>3.1932054794520546E-3</v>
      </c>
      <c r="O85" s="217">
        <f>O84</f>
        <v>-5.0000000000000001E-3</v>
      </c>
      <c r="P85" s="227">
        <f>G85</f>
        <v>1.9277777777777778</v>
      </c>
      <c r="Q85" s="217">
        <f>(K85-O85)/(N85*P85^0.5)</f>
        <v>0.30970703700561741</v>
      </c>
      <c r="R85" s="227">
        <f>_xlfn.NORM.DIST(Q85,0,1,TRUE)</f>
        <v>0.62160812451378833</v>
      </c>
      <c r="S85" s="227">
        <f>_xlfn.NORM.DIST(Q85,0,1,FALSE)</f>
        <v>0.38026087159898514</v>
      </c>
      <c r="T85" s="218">
        <f>((K85-O85)*R85+N85*P85^0.5*S85)*L85</f>
        <v>1.297945500421229E-3</v>
      </c>
      <c r="U85" s="219">
        <f>'IVOL (Q2)'!$G$12/10000</f>
        <v>7.8470904109589033E-3</v>
      </c>
      <c r="V85" s="220">
        <f>V84</f>
        <v>2.5000000000000001E-2</v>
      </c>
      <c r="W85" s="227">
        <f>G85</f>
        <v>1.9277777777777778</v>
      </c>
      <c r="X85" s="217">
        <f>($K85-V85)/(U85*W85^0.5)</f>
        <v>-2.6274652173173805</v>
      </c>
      <c r="Y85" s="227">
        <f>_xlfn.NORM.DIST(X85,0,1,TRUE)</f>
        <v>4.3011817970517122E-3</v>
      </c>
      <c r="Z85" s="227">
        <f>_xlfn.NORM.DIST(X85,0,1,FALSE)</f>
        <v>1.2642068363329812E-2</v>
      </c>
      <c r="AA85" s="218">
        <f>(($K85-V85)*Y85+U85*W85^0.5*Z85)*$L85</f>
        <v>7.4668393078857413E-6</v>
      </c>
      <c r="AB85" s="221">
        <f t="shared" si="30"/>
        <v>6.4015897722244537E-3</v>
      </c>
      <c r="AC85" s="204">
        <f t="shared" si="31"/>
        <v>1.0066706553259992</v>
      </c>
      <c r="AD85" s="222">
        <f t="shared" si="32"/>
        <v>6.4442925711334044E-3</v>
      </c>
      <c r="AE85" s="223">
        <f t="shared" si="33"/>
        <v>0.93623801124854633</v>
      </c>
      <c r="AF85" s="224">
        <v>0.4</v>
      </c>
      <c r="AG85" s="225">
        <f t="shared" si="34"/>
        <v>5.993411677176457E-3</v>
      </c>
      <c r="AH85" s="222">
        <f t="shared" si="35"/>
        <v>6.0333916607017198E-3</v>
      </c>
      <c r="AI85" s="222">
        <f>(AE84-AE85)*AF85</f>
        <v>6.0656255863190019E-3</v>
      </c>
      <c r="AJ85" s="200">
        <f t="shared" si="36"/>
        <v>6.1060872839418974E-3</v>
      </c>
    </row>
    <row r="86" spans="1:39">
      <c r="A86" s="142">
        <f t="shared" si="38"/>
        <v>13</v>
      </c>
      <c r="B86" s="101">
        <f t="shared" si="38"/>
        <v>44565</v>
      </c>
      <c r="C86" s="178">
        <f t="shared" si="38"/>
        <v>44567</v>
      </c>
      <c r="D86" s="178">
        <f t="shared" si="38"/>
        <v>44748</v>
      </c>
      <c r="E86" s="142">
        <f t="shared" si="38"/>
        <v>875</v>
      </c>
      <c r="F86" s="142">
        <f t="shared" si="38"/>
        <v>181</v>
      </c>
      <c r="G86" s="103">
        <f t="shared" si="38"/>
        <v>2.4305555555555554</v>
      </c>
      <c r="H86" s="104">
        <f t="shared" si="26"/>
        <v>1.0084060312761931</v>
      </c>
      <c r="I86" s="100">
        <f t="shared" si="27"/>
        <v>-3.5136593022516661E-3</v>
      </c>
      <c r="J86" s="103">
        <f t="shared" si="27"/>
        <v>0.50277777777777777</v>
      </c>
      <c r="K86" s="213">
        <f>(H85/H86-1)/J86</f>
        <v>-3.4228042757298307E-3</v>
      </c>
      <c r="L86" s="214">
        <f t="shared" si="28"/>
        <v>0.50277777777777777</v>
      </c>
      <c r="M86" s="215">
        <f t="shared" si="29"/>
        <v>5.0277777777777777E-3</v>
      </c>
      <c r="N86" s="226">
        <f>'IVOL (Q2)'!$G$7/10000</f>
        <v>3.1932054794520546E-3</v>
      </c>
      <c r="O86" s="217">
        <f>O85</f>
        <v>-5.0000000000000001E-3</v>
      </c>
      <c r="P86" s="227">
        <f>G86</f>
        <v>2.4305555555555554</v>
      </c>
      <c r="Q86" s="217">
        <f>(K86-O86)/(N86*P86^0.5)</f>
        <v>0.31681515571975782</v>
      </c>
      <c r="R86" s="227">
        <f>_xlfn.NORM.DIST(Q86,0,1,TRUE)</f>
        <v>0.62430806821814122</v>
      </c>
      <c r="S86" s="227">
        <f>_xlfn.NORM.DIST(Q86,0,1,FALSE)</f>
        <v>0.37941508783517752</v>
      </c>
      <c r="T86" s="218">
        <f>((K86-O86)*R86+N86*P86^0.5*S86)*L86</f>
        <v>1.4447279028618994E-3</v>
      </c>
      <c r="U86" s="219">
        <f>'IVOL (Q2)'!$G$12/10000</f>
        <v>7.8470904109589033E-3</v>
      </c>
      <c r="V86" s="220">
        <f>V85</f>
        <v>2.5000000000000001E-2</v>
      </c>
      <c r="W86" s="227">
        <f>G86</f>
        <v>2.4305555555555554</v>
      </c>
      <c r="X86" s="217">
        <f>($K86-V86)/(U86*W86^0.5)</f>
        <v>-2.3233010672358172</v>
      </c>
      <c r="Y86" s="227">
        <f>_xlfn.NORM.DIST(X86,0,1,TRUE)</f>
        <v>1.0081492267047994E-2</v>
      </c>
      <c r="Z86" s="227">
        <f>_xlfn.NORM.DIST(X86,0,1,FALSE)</f>
        <v>2.6841597273499305E-2</v>
      </c>
      <c r="AA86" s="218">
        <f>(($K86-V86)*Y86+U86*W86^0.5*Z86)*$L86</f>
        <v>2.1031442675697455E-5</v>
      </c>
      <c r="AB86" s="221">
        <f t="shared" si="30"/>
        <v>6.4514742379639797E-3</v>
      </c>
      <c r="AC86" s="204">
        <f t="shared" si="31"/>
        <v>1.0084060312761931</v>
      </c>
      <c r="AD86" s="222">
        <f t="shared" si="32"/>
        <v>6.5057055321858593E-3</v>
      </c>
      <c r="AE86" s="223">
        <f t="shared" si="33"/>
        <v>0.92122206757255554</v>
      </c>
      <c r="AF86" s="224">
        <v>0.4</v>
      </c>
      <c r="AG86" s="225">
        <f t="shared" si="34"/>
        <v>5.9432404363882543E-3</v>
      </c>
      <c r="AH86" s="222">
        <f t="shared" si="35"/>
        <v>5.9931995013784694E-3</v>
      </c>
      <c r="AI86" s="222">
        <f>(AE85-AE86)*AF86</f>
        <v>6.0063774703963185E-3</v>
      </c>
      <c r="AJ86" s="200">
        <f t="shared" si="36"/>
        <v>6.0568672672690919E-3</v>
      </c>
    </row>
    <row r="87" spans="1:39">
      <c r="A87" s="228">
        <f t="shared" si="38"/>
        <v>14</v>
      </c>
      <c r="B87" s="101">
        <f t="shared" si="38"/>
        <v>44746</v>
      </c>
      <c r="C87" s="178">
        <f t="shared" si="38"/>
        <v>44748</v>
      </c>
      <c r="D87" s="178">
        <f t="shared" si="38"/>
        <v>44932</v>
      </c>
      <c r="E87" s="142">
        <f t="shared" si="38"/>
        <v>1059</v>
      </c>
      <c r="F87" s="142">
        <f t="shared" si="38"/>
        <v>184</v>
      </c>
      <c r="G87" s="103">
        <f t="shared" si="38"/>
        <v>2.9416666666666669</v>
      </c>
      <c r="H87" s="104">
        <f t="shared" si="26"/>
        <v>1.0099934428013357</v>
      </c>
      <c r="I87" s="100">
        <f t="shared" si="27"/>
        <v>-3.3903680917429795E-3</v>
      </c>
      <c r="J87" s="103">
        <f t="shared" si="27"/>
        <v>0.51111111111111107</v>
      </c>
      <c r="K87" s="213">
        <f>(H86/H87-1)/J87</f>
        <v>-3.0750745760027083E-3</v>
      </c>
      <c r="L87" s="214">
        <f t="shared" si="28"/>
        <v>0.51111111111111107</v>
      </c>
      <c r="M87" s="215">
        <f t="shared" si="29"/>
        <v>5.1111111111111105E-3</v>
      </c>
      <c r="N87" s="226">
        <f>'IVOL (Q2)'!$G$7/10000</f>
        <v>3.1932054794520546E-3</v>
      </c>
      <c r="O87" s="217">
        <f>O86</f>
        <v>-5.0000000000000001E-3</v>
      </c>
      <c r="P87" s="227">
        <f>G87</f>
        <v>2.9416666666666669</v>
      </c>
      <c r="Q87" s="217">
        <f>(K87-O87)/(N87*P87^0.5)</f>
        <v>0.35147166043607381</v>
      </c>
      <c r="R87" s="227">
        <f>_xlfn.NORM.DIST(Q87,0,1,TRUE)</f>
        <v>0.63738273515265553</v>
      </c>
      <c r="S87" s="227">
        <f>_xlfn.NORM.DIST(Q87,0,1,FALSE)</f>
        <v>0.37504671131984968</v>
      </c>
      <c r="T87" s="218">
        <f>((K87-O87)*R87+N87*P87^0.5*S87)*L87</f>
        <v>1.6769323088830093E-3</v>
      </c>
      <c r="U87" s="219">
        <f>'IVOL (Q2)'!$G$12/10000</f>
        <v>7.8470904109589033E-3</v>
      </c>
      <c r="V87" s="220">
        <f>V86</f>
        <v>2.5000000000000001E-2</v>
      </c>
      <c r="W87" s="227">
        <f>G87</f>
        <v>2.9416666666666669</v>
      </c>
      <c r="X87" s="217">
        <f>($K87-V87)/(U87*W87^0.5)</f>
        <v>-2.086005900214583</v>
      </c>
      <c r="Y87" s="227">
        <f>_xlfn.NORM.DIST(X87,0,1,TRUE)</f>
        <v>1.8489044303214141E-2</v>
      </c>
      <c r="Z87" s="227">
        <f>_xlfn.NORM.DIST(X87,0,1,FALSE)</f>
        <v>4.5290913977016199E-2</v>
      </c>
      <c r="AA87" s="218">
        <f>(($K87-V87)*Y87+U87*W87^0.5*Z87)*$L87</f>
        <v>4.624467768107891E-5</v>
      </c>
      <c r="AB87" s="221">
        <f t="shared" si="30"/>
        <v>6.7417987423130411E-3</v>
      </c>
      <c r="AC87" s="204">
        <f t="shared" si="31"/>
        <v>1.0099934428013357</v>
      </c>
      <c r="AD87" s="222">
        <f t="shared" si="32"/>
        <v>6.8091725224224634E-3</v>
      </c>
      <c r="AE87" s="223">
        <f t="shared" si="33"/>
        <v>0.90634157536390114</v>
      </c>
      <c r="AF87" s="224">
        <v>0.4</v>
      </c>
      <c r="AG87" s="225">
        <f t="shared" si="34"/>
        <v>6.1103724928943687E-3</v>
      </c>
      <c r="AH87" s="222">
        <f t="shared" si="35"/>
        <v>6.171436150896964E-3</v>
      </c>
      <c r="AI87" s="222">
        <f>(AE86-AE87)*AF87</f>
        <v>5.9521968834617585E-3</v>
      </c>
      <c r="AJ87" s="200">
        <f t="shared" si="36"/>
        <v>6.0116798225589227E-3</v>
      </c>
    </row>
    <row r="88" spans="1:39" ht="15" thickBot="1"/>
    <row r="89" spans="1:39" ht="15" thickBot="1">
      <c r="A89" s="315" t="s">
        <v>444</v>
      </c>
      <c r="B89" s="315"/>
      <c r="C89" s="197" t="s">
        <v>457</v>
      </c>
      <c r="D89" s="233">
        <v>1E-4</v>
      </c>
      <c r="E89" s="201"/>
      <c r="F89" s="234"/>
      <c r="G89" s="128"/>
    </row>
    <row r="90" spans="1:39" ht="15" thickBot="1">
      <c r="A90" s="314" t="s">
        <v>334</v>
      </c>
      <c r="B90" s="314"/>
      <c r="C90" s="314"/>
      <c r="D90" s="314"/>
      <c r="E90" s="314"/>
      <c r="F90" s="314"/>
      <c r="G90" s="314"/>
      <c r="H90" s="314"/>
      <c r="I90" s="140"/>
      <c r="J90" s="140"/>
      <c r="K90" s="140"/>
      <c r="L90" s="209"/>
      <c r="M90" s="140"/>
      <c r="N90" s="205"/>
      <c r="O90" s="206"/>
      <c r="P90" s="207" t="s">
        <v>412</v>
      </c>
      <c r="Q90" s="319" t="s">
        <v>399</v>
      </c>
      <c r="R90" s="314"/>
      <c r="S90" s="314"/>
      <c r="T90" s="314"/>
      <c r="U90" s="314"/>
      <c r="V90" s="314"/>
      <c r="W90" s="320"/>
      <c r="X90" s="319" t="s">
        <v>456</v>
      </c>
      <c r="Y90" s="314"/>
      <c r="Z90" s="314"/>
      <c r="AA90" s="314"/>
      <c r="AB90" s="314"/>
      <c r="AC90" s="314"/>
      <c r="AD90" s="320"/>
      <c r="AE90" s="208"/>
      <c r="AF90" s="209"/>
      <c r="AG90" s="209"/>
      <c r="AH90" s="319" t="s">
        <v>413</v>
      </c>
      <c r="AI90" s="314"/>
      <c r="AJ90" s="314"/>
      <c r="AK90" s="314"/>
      <c r="AL90" s="314"/>
      <c r="AM90" s="320"/>
    </row>
    <row r="91" spans="1:39" ht="15" thickBot="1">
      <c r="A91" s="99" t="s">
        <v>323</v>
      </c>
      <c r="B91" s="99" t="s">
        <v>304</v>
      </c>
      <c r="C91" s="99" t="s">
        <v>299</v>
      </c>
      <c r="D91" s="99" t="s">
        <v>301</v>
      </c>
      <c r="E91" s="99" t="s">
        <v>33</v>
      </c>
      <c r="F91" s="99" t="s">
        <v>395</v>
      </c>
      <c r="G91" s="99" t="s">
        <v>303</v>
      </c>
      <c r="H91" s="99" t="s">
        <v>319</v>
      </c>
      <c r="I91" s="99" t="s">
        <v>344</v>
      </c>
      <c r="J91" s="99" t="s">
        <v>457</v>
      </c>
      <c r="K91" s="99" t="s">
        <v>497</v>
      </c>
      <c r="L91" s="99" t="s">
        <v>465</v>
      </c>
      <c r="M91" s="99" t="s">
        <v>302</v>
      </c>
      <c r="N91" s="210" t="s">
        <v>396</v>
      </c>
      <c r="O91" s="211" t="s">
        <v>397</v>
      </c>
      <c r="P91" s="212" t="s">
        <v>398</v>
      </c>
      <c r="Q91" s="210" t="s">
        <v>400</v>
      </c>
      <c r="R91" s="99" t="s">
        <v>401</v>
      </c>
      <c r="S91" s="99" t="s">
        <v>303</v>
      </c>
      <c r="T91" s="99" t="s">
        <v>402</v>
      </c>
      <c r="U91" s="99" t="s">
        <v>403</v>
      </c>
      <c r="V91" s="99" t="s">
        <v>419</v>
      </c>
      <c r="W91" s="211" t="s">
        <v>404</v>
      </c>
      <c r="X91" s="210" t="s">
        <v>400</v>
      </c>
      <c r="Y91" s="99" t="s">
        <v>401</v>
      </c>
      <c r="Z91" s="99" t="s">
        <v>303</v>
      </c>
      <c r="AA91" s="99" t="s">
        <v>402</v>
      </c>
      <c r="AB91" s="99" t="s">
        <v>403</v>
      </c>
      <c r="AC91" s="99" t="s">
        <v>419</v>
      </c>
      <c r="AD91" s="211" t="s">
        <v>404</v>
      </c>
      <c r="AE91" s="210" t="s">
        <v>405</v>
      </c>
      <c r="AF91" s="99" t="s">
        <v>465</v>
      </c>
      <c r="AG91" s="99" t="s">
        <v>406</v>
      </c>
      <c r="AH91" s="210" t="s">
        <v>407</v>
      </c>
      <c r="AI91" s="99" t="s">
        <v>408</v>
      </c>
      <c r="AJ91" s="99" t="s">
        <v>409</v>
      </c>
      <c r="AK91" s="99" t="s">
        <v>410</v>
      </c>
      <c r="AL91" s="99" t="s">
        <v>411</v>
      </c>
      <c r="AM91" s="211" t="s">
        <v>439</v>
      </c>
    </row>
    <row r="92" spans="1:39">
      <c r="A92" s="142">
        <f t="shared" ref="A92:G97" si="39">A82</f>
        <v>9</v>
      </c>
      <c r="B92" s="101">
        <f t="shared" si="39"/>
        <v>43832</v>
      </c>
      <c r="C92" s="178">
        <f t="shared" si="39"/>
        <v>43836</v>
      </c>
      <c r="D92" s="178">
        <f t="shared" si="39"/>
        <v>44018</v>
      </c>
      <c r="E92" s="142">
        <f t="shared" si="39"/>
        <v>145</v>
      </c>
      <c r="F92" s="142">
        <f t="shared" si="39"/>
        <v>182</v>
      </c>
      <c r="G92" s="103">
        <f t="shared" si="39"/>
        <v>0.40277777777777779</v>
      </c>
      <c r="H92" s="100">
        <f t="shared" ref="H92:H97" si="40">H72</f>
        <v>1.0020909629593862</v>
      </c>
      <c r="I92" s="100">
        <f t="shared" ref="I92:I97" si="41">I82</f>
        <v>-5.1859363999888783E-3</v>
      </c>
      <c r="J92" s="235">
        <f t="shared" ref="J92:J97" si="42">$D$89</f>
        <v>1E-4</v>
      </c>
      <c r="K92" s="236">
        <f t="shared" ref="K92:K97" si="43">I92+J92</f>
        <v>-5.0859363999888781E-3</v>
      </c>
      <c r="L92" s="222">
        <f t="shared" ref="L92:L97" si="44">EXP(-K92*G92)</f>
        <v>1.0020506017751019</v>
      </c>
      <c r="M92" s="103">
        <f t="shared" ref="M92:M97" si="45">J82</f>
        <v>0.50555555555555554</v>
      </c>
      <c r="N92" s="213">
        <f>L36</f>
        <v>-3.2299999999999998E-3</v>
      </c>
      <c r="O92" s="214">
        <f t="shared" ref="O92:O97" si="46">M92</f>
        <v>0.50555555555555554</v>
      </c>
      <c r="P92" s="215">
        <f t="shared" ref="P92:P97" si="47">$B$15*O92</f>
        <v>5.0555555555555553E-3</v>
      </c>
      <c r="Q92" s="216"/>
      <c r="R92" s="217">
        <v>-5.0000000000000001E-3</v>
      </c>
      <c r="S92" s="109"/>
      <c r="T92" s="109"/>
      <c r="U92" s="109"/>
      <c r="V92" s="109"/>
      <c r="W92" s="218">
        <f>(MAX(N92-R92,0))*O92</f>
        <v>8.9483333333333342E-4</v>
      </c>
      <c r="X92" s="219"/>
      <c r="Y92" s="220">
        <v>2.5000000000000001E-2</v>
      </c>
      <c r="Z92" s="219"/>
      <c r="AA92" s="219"/>
      <c r="AB92" s="109"/>
      <c r="AC92" s="109"/>
      <c r="AD92" s="218">
        <f>(MAX($N92-Y92,0))*$O92</f>
        <v>0</v>
      </c>
      <c r="AE92" s="221">
        <f t="shared" ref="AE92:AE97" si="48">W92+P92-AD92</f>
        <v>5.9503888888888887E-3</v>
      </c>
      <c r="AF92" s="204">
        <f t="shared" ref="AF92:AF97" si="49">L92</f>
        <v>1.0020506017751019</v>
      </c>
      <c r="AG92" s="222">
        <f t="shared" ref="AG92:AG97" si="50">AE92*AF92</f>
        <v>5.9625907669069904E-3</v>
      </c>
      <c r="AH92" s="223">
        <f t="shared" ref="AH92:AH97" si="51">AE82</f>
        <v>0.983740776188188</v>
      </c>
      <c r="AI92" s="224">
        <v>0.4</v>
      </c>
      <c r="AJ92" s="225">
        <f t="shared" ref="AJ92:AJ97" si="52">AE92*AH92</f>
        <v>5.8536401841771252E-3</v>
      </c>
      <c r="AK92" s="222">
        <f t="shared" ref="AK92:AK97" si="53">AJ92*AF92</f>
        <v>5.8656436691296061E-3</v>
      </c>
      <c r="AL92" s="222">
        <f>(1-AH92)*AI92</f>
        <v>6.5036895247247983E-3</v>
      </c>
      <c r="AM92" s="200">
        <f t="shared" ref="AM92:AM97" si="54">AF92*AL92</f>
        <v>6.5170260020089099E-3</v>
      </c>
    </row>
    <row r="93" spans="1:39">
      <c r="A93" s="142">
        <f t="shared" si="39"/>
        <v>10</v>
      </c>
      <c r="B93" s="101">
        <f t="shared" si="39"/>
        <v>44014</v>
      </c>
      <c r="C93" s="178">
        <f t="shared" si="39"/>
        <v>44018</v>
      </c>
      <c r="D93" s="178">
        <f t="shared" si="39"/>
        <v>44202</v>
      </c>
      <c r="E93" s="142">
        <f t="shared" si="39"/>
        <v>329</v>
      </c>
      <c r="F93" s="142">
        <f t="shared" si="39"/>
        <v>184</v>
      </c>
      <c r="G93" s="103">
        <f t="shared" si="39"/>
        <v>0.91388888888888886</v>
      </c>
      <c r="H93" s="100">
        <f t="shared" si="40"/>
        <v>1.0028842757668066</v>
      </c>
      <c r="I93" s="100">
        <f t="shared" si="41"/>
        <v>-3.1515037105206275E-3</v>
      </c>
      <c r="J93" s="217">
        <f t="shared" si="42"/>
        <v>1E-4</v>
      </c>
      <c r="K93" s="236">
        <f t="shared" si="43"/>
        <v>-3.0515037105206277E-3</v>
      </c>
      <c r="L93" s="222">
        <f t="shared" si="44"/>
        <v>1.0027926274750416</v>
      </c>
      <c r="M93" s="103">
        <f t="shared" si="45"/>
        <v>0.51111111111111107</v>
      </c>
      <c r="N93" s="213">
        <f>(L92/L93-1)/M93</f>
        <v>-1.4477463965617313E-3</v>
      </c>
      <c r="O93" s="214">
        <f t="shared" si="46"/>
        <v>0.51111111111111107</v>
      </c>
      <c r="P93" s="215">
        <f t="shared" si="47"/>
        <v>5.1111111111111105E-3</v>
      </c>
      <c r="Q93" s="226">
        <f>'IVOL (Q2)'!$G$7/10000</f>
        <v>3.1932054794520546E-3</v>
      </c>
      <c r="R93" s="217">
        <f>R92</f>
        <v>-5.0000000000000001E-3</v>
      </c>
      <c r="S93" s="227">
        <f>G93</f>
        <v>0.91388888888888886</v>
      </c>
      <c r="T93" s="217">
        <f>(N93-R93)/(Q93*S93^0.5)</f>
        <v>1.1636715029568219</v>
      </c>
      <c r="U93" s="227">
        <f>_xlfn.NORM.DIST(T93,0,1,TRUE)</f>
        <v>0.87772141889122413</v>
      </c>
      <c r="V93" s="227">
        <f>_xlfn.NORM.DIST(T93,0,1,FALSE)</f>
        <v>0.20270486666703569</v>
      </c>
      <c r="W93" s="218">
        <f>((N93-R93)*U93+Q93*S93^0.5*V93)*O93</f>
        <v>1.9098541536946392E-3</v>
      </c>
      <c r="X93" s="219">
        <f>'IVOL (Q2)'!$G$12/10000</f>
        <v>7.8470904109589033E-3</v>
      </c>
      <c r="Y93" s="220">
        <f>Y92</f>
        <v>2.5000000000000001E-2</v>
      </c>
      <c r="Z93" s="227">
        <f>G93</f>
        <v>0.91388888888888886</v>
      </c>
      <c r="AA93" s="217">
        <f>($N93-Y93)/(X93*Z93^0.5)</f>
        <v>-3.5256022679167347</v>
      </c>
      <c r="AB93" s="227">
        <f>_xlfn.NORM.DIST(AA93,0,1,TRUE)</f>
        <v>2.1126050249522138E-4</v>
      </c>
      <c r="AC93" s="227">
        <f>_xlfn.NORM.DIST(AA93,0,1,FALSE)</f>
        <v>7.9762323469932379E-4</v>
      </c>
      <c r="AD93" s="218">
        <f>(($N93-Y93)*AB93+X93*Z93^0.5*AC93)*$O93</f>
        <v>2.0245431502951656E-7</v>
      </c>
      <c r="AE93" s="221">
        <f t="shared" si="48"/>
        <v>7.0207628104907204E-3</v>
      </c>
      <c r="AF93" s="204">
        <f t="shared" si="49"/>
        <v>1.0027926274750416</v>
      </c>
      <c r="AG93" s="222">
        <f t="shared" si="50"/>
        <v>7.0403691856110468E-3</v>
      </c>
      <c r="AH93" s="223">
        <f t="shared" si="51"/>
        <v>0.96705723155052858</v>
      </c>
      <c r="AI93" s="224">
        <v>0.4</v>
      </c>
      <c r="AJ93" s="225">
        <f t="shared" si="52"/>
        <v>6.7894794468860648E-3</v>
      </c>
      <c r="AK93" s="222">
        <f t="shared" si="53"/>
        <v>6.8084399337306695E-3</v>
      </c>
      <c r="AL93" s="222">
        <f>(AH92-AH93)*AI93</f>
        <v>6.6734178550637681E-3</v>
      </c>
      <c r="AM93" s="200">
        <f t="shared" si="54"/>
        <v>6.6920542251182524E-3</v>
      </c>
    </row>
    <row r="94" spans="1:39">
      <c r="A94" s="142">
        <f t="shared" si="39"/>
        <v>11</v>
      </c>
      <c r="B94" s="101">
        <f t="shared" si="39"/>
        <v>44200</v>
      </c>
      <c r="C94" s="178">
        <f t="shared" si="39"/>
        <v>44202</v>
      </c>
      <c r="D94" s="178">
        <f t="shared" si="39"/>
        <v>44383</v>
      </c>
      <c r="E94" s="142">
        <f t="shared" si="39"/>
        <v>510</v>
      </c>
      <c r="F94" s="142">
        <f t="shared" si="39"/>
        <v>181</v>
      </c>
      <c r="G94" s="103">
        <f t="shared" si="39"/>
        <v>1.4166666666666667</v>
      </c>
      <c r="H94" s="100">
        <f t="shared" si="40"/>
        <v>1.0045469865333863</v>
      </c>
      <c r="I94" s="100">
        <f t="shared" si="41"/>
        <v>-3.2023625082974131E-3</v>
      </c>
      <c r="J94" s="217">
        <f t="shared" si="42"/>
        <v>1E-4</v>
      </c>
      <c r="K94" s="236">
        <f t="shared" si="43"/>
        <v>-3.1023625082974133E-3</v>
      </c>
      <c r="L94" s="222">
        <f t="shared" si="44"/>
        <v>1.0044046857901681</v>
      </c>
      <c r="M94" s="103">
        <f t="shared" si="45"/>
        <v>0.50277777777777777</v>
      </c>
      <c r="N94" s="213">
        <f>(L93/L94-1)/M94</f>
        <v>-3.1922430037930748E-3</v>
      </c>
      <c r="O94" s="214">
        <f t="shared" si="46"/>
        <v>0.50277777777777777</v>
      </c>
      <c r="P94" s="215">
        <f t="shared" si="47"/>
        <v>5.0277777777777777E-3</v>
      </c>
      <c r="Q94" s="226">
        <f>'IVOL (Q2)'!$G$7/10000</f>
        <v>3.1932054794520546E-3</v>
      </c>
      <c r="R94" s="217">
        <f>R93</f>
        <v>-5.0000000000000001E-3</v>
      </c>
      <c r="S94" s="227">
        <f>G94</f>
        <v>1.4166666666666667</v>
      </c>
      <c r="T94" s="217">
        <f>(N94-R94)/(Q94*S94^0.5)</f>
        <v>0.47564107004825101</v>
      </c>
      <c r="U94" s="227">
        <f>_xlfn.NORM.DIST(T94,0,1,TRUE)</f>
        <v>0.68283494462903405</v>
      </c>
      <c r="V94" s="227">
        <f>_xlfn.NORM.DIST(T94,0,1,FALSE)</f>
        <v>0.35627379845028989</v>
      </c>
      <c r="W94" s="218">
        <f>((N94-R94)*U94+Q94*S94^0.5*V94)*O94</f>
        <v>1.3014304593731594E-3</v>
      </c>
      <c r="X94" s="219">
        <f>'IVOL (Q2)'!$G$12/10000</f>
        <v>7.8470904109589033E-3</v>
      </c>
      <c r="Y94" s="220">
        <f>Y93</f>
        <v>2.5000000000000001E-2</v>
      </c>
      <c r="Z94" s="227">
        <f>G94</f>
        <v>1.4166666666666667</v>
      </c>
      <c r="AA94" s="217">
        <f>($N94-Y94)/(X94*Z94^0.5)</f>
        <v>-3.0184718922435918</v>
      </c>
      <c r="AB94" s="227">
        <f>_xlfn.NORM.DIST(AA94,0,1,TRUE)</f>
        <v>1.270264837636371E-3</v>
      </c>
      <c r="AC94" s="227">
        <f>_xlfn.NORM.DIST(AA94,0,1,FALSE)</f>
        <v>4.1922201554788069E-3</v>
      </c>
      <c r="AD94" s="218">
        <f>(($N94-Y94)*AB94+X94*Z94^0.5*AC94)*$O94</f>
        <v>1.6809501087086546E-6</v>
      </c>
      <c r="AE94" s="221">
        <f t="shared" si="48"/>
        <v>6.3275272870422289E-3</v>
      </c>
      <c r="AF94" s="204">
        <f t="shared" si="49"/>
        <v>1.0044046857901681</v>
      </c>
      <c r="AG94" s="222">
        <f t="shared" si="50"/>
        <v>6.3553980565703647E-3</v>
      </c>
      <c r="AH94" s="223">
        <f t="shared" si="51"/>
        <v>0.95140207521434383</v>
      </c>
      <c r="AI94" s="224">
        <v>0.4</v>
      </c>
      <c r="AJ94" s="225">
        <f t="shared" si="52"/>
        <v>6.020022591867364E-3</v>
      </c>
      <c r="AK94" s="222">
        <f t="shared" si="53"/>
        <v>6.0465388998342529E-3</v>
      </c>
      <c r="AL94" s="222">
        <f>(AH93-AH94)*AI94</f>
        <v>6.2620625344739006E-3</v>
      </c>
      <c r="AM94" s="200">
        <f t="shared" si="54"/>
        <v>6.2896449523366415E-3</v>
      </c>
    </row>
    <row r="95" spans="1:39">
      <c r="A95" s="142">
        <f t="shared" si="39"/>
        <v>12</v>
      </c>
      <c r="B95" s="101">
        <f t="shared" si="39"/>
        <v>44379</v>
      </c>
      <c r="C95" s="178">
        <f t="shared" si="39"/>
        <v>44383</v>
      </c>
      <c r="D95" s="178">
        <f t="shared" si="39"/>
        <v>44567</v>
      </c>
      <c r="E95" s="142">
        <f t="shared" si="39"/>
        <v>694</v>
      </c>
      <c r="F95" s="142">
        <f t="shared" si="39"/>
        <v>184</v>
      </c>
      <c r="G95" s="103">
        <f t="shared" si="39"/>
        <v>1.9277777777777778</v>
      </c>
      <c r="H95" s="100">
        <f t="shared" si="40"/>
        <v>1.006868573911591</v>
      </c>
      <c r="I95" s="100">
        <f t="shared" si="41"/>
        <v>-3.5507685569005905E-3</v>
      </c>
      <c r="J95" s="217">
        <f t="shared" si="42"/>
        <v>1E-4</v>
      </c>
      <c r="K95" s="236">
        <f t="shared" si="43"/>
        <v>-3.4507685569005906E-3</v>
      </c>
      <c r="L95" s="222">
        <f t="shared" si="44"/>
        <v>1.006674490733461</v>
      </c>
      <c r="M95" s="103">
        <f t="shared" si="45"/>
        <v>0.51111111111111107</v>
      </c>
      <c r="N95" s="213">
        <f>(L94/L95-1)/M95</f>
        <v>-4.4114783438118903E-3</v>
      </c>
      <c r="O95" s="214">
        <f t="shared" si="46"/>
        <v>0.51111111111111107</v>
      </c>
      <c r="P95" s="215">
        <f t="shared" si="47"/>
        <v>5.1111111111111105E-3</v>
      </c>
      <c r="Q95" s="226">
        <f>'IVOL (Q2)'!$G$7/10000</f>
        <v>3.1932054794520546E-3</v>
      </c>
      <c r="R95" s="217">
        <f>R94</f>
        <v>-5.0000000000000001E-3</v>
      </c>
      <c r="S95" s="227">
        <f>G95</f>
        <v>1.9277777777777778</v>
      </c>
      <c r="T95" s="217">
        <f>(N95-R95)/(Q95*S95^0.5)</f>
        <v>0.1327416151867179</v>
      </c>
      <c r="U95" s="227">
        <f>_xlfn.NORM.DIST(T95,0,1,TRUE)</f>
        <v>0.55280113504567396</v>
      </c>
      <c r="V95" s="227">
        <f>_xlfn.NORM.DIST(T95,0,1,FALSE)</f>
        <v>0.39544296920306199</v>
      </c>
      <c r="W95" s="218">
        <f>((N95-R95)*U95+Q95*S95^0.5*V95)*O95</f>
        <v>1.0623785426941991E-3</v>
      </c>
      <c r="X95" s="219">
        <f>'IVOL (Q2)'!$G$12/10000</f>
        <v>7.8470904109589033E-3</v>
      </c>
      <c r="Y95" s="220">
        <f>Y94</f>
        <v>2.5000000000000001E-2</v>
      </c>
      <c r="Z95" s="227">
        <f>G95</f>
        <v>1.9277777777777778</v>
      </c>
      <c r="AA95" s="217">
        <f>($N95-Y95)/(X95*Z95^0.5)</f>
        <v>-2.6994775078647764</v>
      </c>
      <c r="AB95" s="227">
        <f>_xlfn.NORM.DIST(AA95,0,1,TRUE)</f>
        <v>3.4724225016893647E-3</v>
      </c>
      <c r="AC95" s="227">
        <f>_xlfn.NORM.DIST(AA95,0,1,FALSE)</f>
        <v>1.0435644876988335E-2</v>
      </c>
      <c r="AD95" s="218">
        <f>(($N95-Y95)*AB95+X95*Z95^0.5*AC95)*$O95</f>
        <v>5.9134866962483884E-6</v>
      </c>
      <c r="AE95" s="221">
        <f t="shared" si="48"/>
        <v>6.1675761671090611E-3</v>
      </c>
      <c r="AF95" s="204">
        <f t="shared" si="49"/>
        <v>1.006674490733461</v>
      </c>
      <c r="AG95" s="222">
        <f t="shared" si="50"/>
        <v>6.2087415970843458E-3</v>
      </c>
      <c r="AH95" s="223">
        <f t="shared" si="51"/>
        <v>0.93623801124854633</v>
      </c>
      <c r="AI95" s="224">
        <v>0.4</v>
      </c>
      <c r="AJ95" s="225">
        <f t="shared" si="52"/>
        <v>5.7743192449181196E-3</v>
      </c>
      <c r="AK95" s="222">
        <f t="shared" si="53"/>
        <v>5.8128598852103712E-3</v>
      </c>
      <c r="AL95" s="222">
        <f>(AH94-AH95)*AI95</f>
        <v>6.0656255863190019E-3</v>
      </c>
      <c r="AM95" s="200">
        <f t="shared" si="54"/>
        <v>6.1061105480875325E-3</v>
      </c>
    </row>
    <row r="96" spans="1:39">
      <c r="A96" s="142">
        <f t="shared" si="39"/>
        <v>13</v>
      </c>
      <c r="B96" s="101">
        <f t="shared" si="39"/>
        <v>44565</v>
      </c>
      <c r="C96" s="178">
        <f t="shared" si="39"/>
        <v>44567</v>
      </c>
      <c r="D96" s="178">
        <f t="shared" si="39"/>
        <v>44748</v>
      </c>
      <c r="E96" s="142">
        <f t="shared" si="39"/>
        <v>875</v>
      </c>
      <c r="F96" s="142">
        <f t="shared" si="39"/>
        <v>181</v>
      </c>
      <c r="G96" s="103">
        <f t="shared" si="39"/>
        <v>2.4305555555555554</v>
      </c>
      <c r="H96" s="100">
        <f t="shared" si="40"/>
        <v>1.0085767152016145</v>
      </c>
      <c r="I96" s="100">
        <f t="shared" si="41"/>
        <v>-3.5136593022516661E-3</v>
      </c>
      <c r="J96" s="217">
        <f t="shared" si="42"/>
        <v>1E-4</v>
      </c>
      <c r="K96" s="236">
        <f t="shared" si="43"/>
        <v>-3.4136593022516663E-3</v>
      </c>
      <c r="L96" s="222">
        <f t="shared" si="44"/>
        <v>1.0083316048167079</v>
      </c>
      <c r="M96" s="103">
        <f t="shared" si="45"/>
        <v>0.50277777777777777</v>
      </c>
      <c r="N96" s="213">
        <f>(L95/L96-1)/M96</f>
        <v>-3.268684129204892E-3</v>
      </c>
      <c r="O96" s="214">
        <f t="shared" si="46"/>
        <v>0.50277777777777777</v>
      </c>
      <c r="P96" s="215">
        <f t="shared" si="47"/>
        <v>5.0277777777777777E-3</v>
      </c>
      <c r="Q96" s="226">
        <f>'IVOL (Q2)'!$G$7/10000</f>
        <v>3.1932054794520546E-3</v>
      </c>
      <c r="R96" s="217">
        <f>R95</f>
        <v>-5.0000000000000001E-3</v>
      </c>
      <c r="S96" s="227">
        <f>G96</f>
        <v>2.4305555555555554</v>
      </c>
      <c r="T96" s="217">
        <f>(N96-R96)/(Q96*S96^0.5)</f>
        <v>0.34777364582309922</v>
      </c>
      <c r="U96" s="227">
        <f>_xlfn.NORM.DIST(T96,0,1,TRUE)</f>
        <v>0.63599490837908024</v>
      </c>
      <c r="V96" s="227">
        <f>_xlfn.NORM.DIST(T96,0,1,FALSE)</f>
        <v>0.37553192644555533</v>
      </c>
      <c r="W96" s="218">
        <f>((N96-R96)*U96+Q96*S96^0.5*V96)*O96</f>
        <v>1.4935579741446688E-3</v>
      </c>
      <c r="X96" s="219">
        <f>'IVOL (Q2)'!$G$12/10000</f>
        <v>7.8470904109589033E-3</v>
      </c>
      <c r="Y96" s="220">
        <f>Y95</f>
        <v>2.5000000000000001E-2</v>
      </c>
      <c r="Z96" s="227">
        <f>G96</f>
        <v>2.4305555555555554</v>
      </c>
      <c r="AA96" s="217">
        <f>($N96-Y96)/(X96*Z96^0.5)</f>
        <v>-2.3107031723402147</v>
      </c>
      <c r="AB96" s="227">
        <f>_xlfn.NORM.DIST(AA96,0,1,TRUE)</f>
        <v>1.0424627951346771E-2</v>
      </c>
      <c r="AC96" s="227">
        <f>_xlfn.NORM.DIST(AA96,0,1,FALSE)</f>
        <v>2.7636632866653792E-2</v>
      </c>
      <c r="AD96" s="218">
        <f>(($N96-Y96)*AB96+X96*Z96^0.5*AC96)*$O96</f>
        <v>2.1825869017059676E-5</v>
      </c>
      <c r="AE96" s="221">
        <f t="shared" si="48"/>
        <v>6.4995098829053874E-3</v>
      </c>
      <c r="AF96" s="204">
        <f t="shared" si="49"/>
        <v>1.0083316048167079</v>
      </c>
      <c r="AG96" s="222">
        <f t="shared" si="50"/>
        <v>6.5536612307520422E-3</v>
      </c>
      <c r="AH96" s="223">
        <f t="shared" si="51"/>
        <v>0.92122206757255554</v>
      </c>
      <c r="AI96" s="224">
        <v>0.4</v>
      </c>
      <c r="AJ96" s="225">
        <f t="shared" si="52"/>
        <v>5.9874919325383592E-3</v>
      </c>
      <c r="AK96" s="222">
        <f t="shared" si="53"/>
        <v>6.0373773491634959E-3</v>
      </c>
      <c r="AL96" s="222">
        <f>(AH95-AH96)*AI96</f>
        <v>6.0063774703963185E-3</v>
      </c>
      <c r="AM96" s="200">
        <f t="shared" si="54"/>
        <v>6.0564202338596381E-3</v>
      </c>
    </row>
    <row r="97" spans="1:39">
      <c r="A97" s="228">
        <f t="shared" si="39"/>
        <v>14</v>
      </c>
      <c r="B97" s="101">
        <f t="shared" si="39"/>
        <v>44746</v>
      </c>
      <c r="C97" s="178">
        <f t="shared" si="39"/>
        <v>44748</v>
      </c>
      <c r="D97" s="178">
        <f t="shared" si="39"/>
        <v>44932</v>
      </c>
      <c r="E97" s="142">
        <f t="shared" si="39"/>
        <v>1059</v>
      </c>
      <c r="F97" s="142">
        <f t="shared" si="39"/>
        <v>184</v>
      </c>
      <c r="G97" s="103">
        <f t="shared" si="39"/>
        <v>2.9416666666666669</v>
      </c>
      <c r="H97" s="100">
        <f t="shared" si="40"/>
        <v>1.0100232322367353</v>
      </c>
      <c r="I97" s="100">
        <f t="shared" si="41"/>
        <v>-3.3903680917429795E-3</v>
      </c>
      <c r="J97" s="217">
        <f t="shared" si="42"/>
        <v>1E-4</v>
      </c>
      <c r="K97" s="236">
        <f t="shared" si="43"/>
        <v>-3.2903680917429796E-3</v>
      </c>
      <c r="L97" s="222">
        <f t="shared" si="44"/>
        <v>1.0097261607656567</v>
      </c>
      <c r="M97" s="103">
        <f t="shared" si="45"/>
        <v>0.51111111111111107</v>
      </c>
      <c r="N97" s="213">
        <f>(L96/L97-1)/M97</f>
        <v>-2.7021970278386645E-3</v>
      </c>
      <c r="O97" s="214">
        <f t="shared" si="46"/>
        <v>0.51111111111111107</v>
      </c>
      <c r="P97" s="215">
        <f t="shared" si="47"/>
        <v>5.1111111111111105E-3</v>
      </c>
      <c r="Q97" s="226">
        <f>'IVOL (Q2)'!$G$7/10000</f>
        <v>3.1932054794520546E-3</v>
      </c>
      <c r="R97" s="217">
        <f>R96</f>
        <v>-5.0000000000000001E-3</v>
      </c>
      <c r="S97" s="227">
        <f>G97</f>
        <v>2.9416666666666669</v>
      </c>
      <c r="T97" s="217">
        <f>(N97-R97)/(Q97*S97^0.5)</f>
        <v>0.41955528038244999</v>
      </c>
      <c r="U97" s="227">
        <f>_xlfn.NORM.DIST(T97,0,1,TRUE)</f>
        <v>0.66259481850968271</v>
      </c>
      <c r="V97" s="227">
        <f>_xlfn.NORM.DIST(T97,0,1,FALSE)</f>
        <v>0.36533086744731524</v>
      </c>
      <c r="W97" s="218">
        <f>((N97-R97)*U97+Q97*S97^0.5*V97)*O97</f>
        <v>1.8008188855963701E-3</v>
      </c>
      <c r="X97" s="219">
        <f>'IVOL (Q2)'!$G$12/10000</f>
        <v>7.8470904109589033E-3</v>
      </c>
      <c r="Y97" s="220">
        <f>Y96</f>
        <v>2.5000000000000001E-2</v>
      </c>
      <c r="Z97" s="227">
        <f>G97</f>
        <v>2.9416666666666669</v>
      </c>
      <c r="AA97" s="217">
        <f>($N97-Y97)/(X97*Z97^0.5)</f>
        <v>-2.0583007283753392</v>
      </c>
      <c r="AB97" s="227">
        <f>_xlfn.NORM.DIST(AA97,0,1,TRUE)</f>
        <v>1.9780637160573319E-2</v>
      </c>
      <c r="AC97" s="227">
        <f>_xlfn.NORM.DIST(AA97,0,1,FALSE)</f>
        <v>4.796712121711974E-2</v>
      </c>
      <c r="AD97" s="218">
        <f>(($N97-Y97)*AB97+X97*Z97^0.5*AC97)*$O97</f>
        <v>4.9890253644654059E-5</v>
      </c>
      <c r="AE97" s="221">
        <f t="shared" si="48"/>
        <v>6.8620397430628269E-3</v>
      </c>
      <c r="AF97" s="204">
        <f t="shared" si="49"/>
        <v>1.0097261607656567</v>
      </c>
      <c r="AG97" s="222">
        <f t="shared" si="50"/>
        <v>6.9287810447841817E-3</v>
      </c>
      <c r="AH97" s="223">
        <f t="shared" si="51"/>
        <v>0.90634157536390114</v>
      </c>
      <c r="AI97" s="224">
        <v>0.4</v>
      </c>
      <c r="AJ97" s="225">
        <f t="shared" si="52"/>
        <v>6.219351910937262E-3</v>
      </c>
      <c r="AK97" s="222">
        <f t="shared" si="53"/>
        <v>6.2798423274812321E-3</v>
      </c>
      <c r="AL97" s="222">
        <f>(AH96-AH97)*AI97</f>
        <v>5.9521968834617585E-3</v>
      </c>
      <c r="AM97" s="200">
        <f t="shared" si="54"/>
        <v>6.0100889072591483E-3</v>
      </c>
    </row>
    <row r="98" spans="1:39" ht="15" thickBot="1">
      <c r="A98" s="228"/>
      <c r="B98" s="101"/>
      <c r="C98" s="178"/>
      <c r="D98" s="178"/>
      <c r="E98" s="142"/>
      <c r="F98" s="142"/>
      <c r="G98" s="103"/>
      <c r="H98" s="100"/>
      <c r="J98" s="217"/>
      <c r="K98" s="236"/>
      <c r="L98" s="204"/>
      <c r="M98" s="103"/>
      <c r="N98" s="236"/>
      <c r="O98" s="237"/>
      <c r="P98" s="236"/>
      <c r="Q98" s="238"/>
      <c r="R98" s="217"/>
      <c r="S98" s="227"/>
      <c r="T98" s="217"/>
      <c r="U98" s="227"/>
      <c r="V98" s="227"/>
      <c r="W98" s="219"/>
      <c r="X98" s="219"/>
      <c r="Y98" s="220"/>
      <c r="Z98" s="227"/>
      <c r="AA98" s="217"/>
      <c r="AB98" s="227"/>
      <c r="AC98" s="227"/>
      <c r="AD98" s="219"/>
      <c r="AE98" s="176"/>
      <c r="AF98" s="204"/>
      <c r="AG98" s="222"/>
      <c r="AH98" s="217"/>
      <c r="AI98" s="224"/>
      <c r="AJ98" s="225"/>
      <c r="AK98" s="222"/>
      <c r="AL98" s="222"/>
      <c r="AM98" s="222"/>
    </row>
    <row r="99" spans="1:39" ht="15" thickBot="1">
      <c r="A99" s="315" t="s">
        <v>444</v>
      </c>
      <c r="B99" s="315"/>
      <c r="C99" s="197" t="s">
        <v>457</v>
      </c>
      <c r="D99" s="233">
        <v>-1E-4</v>
      </c>
      <c r="E99" s="142"/>
      <c r="F99" s="142"/>
      <c r="G99" s="103"/>
      <c r="H99" s="100"/>
      <c r="J99" s="217"/>
      <c r="K99" s="236"/>
      <c r="L99" s="204"/>
      <c r="M99" s="103"/>
      <c r="N99" s="236"/>
      <c r="O99" s="237"/>
      <c r="P99" s="236"/>
      <c r="Q99" s="238"/>
      <c r="R99" s="217"/>
      <c r="S99" s="227"/>
      <c r="T99" s="217"/>
      <c r="U99" s="227"/>
      <c r="V99" s="227"/>
      <c r="W99" s="219"/>
      <c r="X99" s="219"/>
      <c r="Y99" s="220"/>
      <c r="Z99" s="227"/>
      <c r="AA99" s="217"/>
      <c r="AB99" s="227"/>
      <c r="AC99" s="227"/>
      <c r="AD99" s="219"/>
      <c r="AE99" s="176"/>
      <c r="AF99" s="204"/>
      <c r="AG99" s="222"/>
      <c r="AH99" s="217"/>
      <c r="AI99" s="224"/>
      <c r="AJ99" s="225"/>
      <c r="AK99" s="222"/>
      <c r="AL99" s="222"/>
      <c r="AM99" s="222"/>
    </row>
    <row r="100" spans="1:39" ht="15" thickBot="1">
      <c r="A100" s="314" t="s">
        <v>334</v>
      </c>
      <c r="B100" s="314"/>
      <c r="C100" s="314"/>
      <c r="D100" s="314"/>
      <c r="E100" s="314"/>
      <c r="F100" s="314"/>
      <c r="G100" s="314"/>
      <c r="H100" s="314"/>
      <c r="I100" s="140"/>
      <c r="J100" s="140"/>
      <c r="K100" s="140"/>
      <c r="L100" s="209"/>
      <c r="M100" s="140"/>
      <c r="N100" s="205"/>
      <c r="O100" s="206"/>
      <c r="P100" s="207" t="s">
        <v>412</v>
      </c>
      <c r="Q100" s="319" t="s">
        <v>399</v>
      </c>
      <c r="R100" s="314"/>
      <c r="S100" s="314"/>
      <c r="T100" s="314"/>
      <c r="U100" s="314"/>
      <c r="V100" s="314"/>
      <c r="W100" s="320"/>
      <c r="X100" s="319" t="s">
        <v>456</v>
      </c>
      <c r="Y100" s="314"/>
      <c r="Z100" s="314"/>
      <c r="AA100" s="314"/>
      <c r="AB100" s="314"/>
      <c r="AC100" s="314"/>
      <c r="AD100" s="320"/>
      <c r="AE100" s="208"/>
      <c r="AF100" s="209"/>
      <c r="AG100" s="209"/>
      <c r="AH100" s="319" t="s">
        <v>413</v>
      </c>
      <c r="AI100" s="314"/>
      <c r="AJ100" s="314"/>
      <c r="AK100" s="314"/>
      <c r="AL100" s="314"/>
      <c r="AM100" s="320"/>
    </row>
    <row r="101" spans="1:39" ht="15" thickBot="1">
      <c r="A101" s="99" t="s">
        <v>323</v>
      </c>
      <c r="B101" s="99" t="s">
        <v>304</v>
      </c>
      <c r="C101" s="99" t="s">
        <v>299</v>
      </c>
      <c r="D101" s="99" t="s">
        <v>301</v>
      </c>
      <c r="E101" s="99" t="s">
        <v>33</v>
      </c>
      <c r="F101" s="99" t="s">
        <v>395</v>
      </c>
      <c r="G101" s="99" t="s">
        <v>303</v>
      </c>
      <c r="H101" s="99" t="s">
        <v>319</v>
      </c>
      <c r="I101" s="99" t="s">
        <v>344</v>
      </c>
      <c r="J101" s="99" t="s">
        <v>457</v>
      </c>
      <c r="K101" s="99" t="s">
        <v>497</v>
      </c>
      <c r="L101" s="99" t="s">
        <v>465</v>
      </c>
      <c r="M101" s="99" t="s">
        <v>302</v>
      </c>
      <c r="N101" s="210" t="s">
        <v>396</v>
      </c>
      <c r="O101" s="211" t="s">
        <v>397</v>
      </c>
      <c r="P101" s="212" t="s">
        <v>398</v>
      </c>
      <c r="Q101" s="210" t="s">
        <v>400</v>
      </c>
      <c r="R101" s="99" t="s">
        <v>401</v>
      </c>
      <c r="S101" s="99" t="s">
        <v>303</v>
      </c>
      <c r="T101" s="99" t="s">
        <v>402</v>
      </c>
      <c r="U101" s="99" t="s">
        <v>403</v>
      </c>
      <c r="V101" s="99" t="s">
        <v>419</v>
      </c>
      <c r="W101" s="211" t="s">
        <v>404</v>
      </c>
      <c r="X101" s="210" t="s">
        <v>400</v>
      </c>
      <c r="Y101" s="99" t="s">
        <v>401</v>
      </c>
      <c r="Z101" s="99" t="s">
        <v>303</v>
      </c>
      <c r="AA101" s="99" t="s">
        <v>402</v>
      </c>
      <c r="AB101" s="99" t="s">
        <v>403</v>
      </c>
      <c r="AC101" s="99" t="s">
        <v>419</v>
      </c>
      <c r="AD101" s="211" t="s">
        <v>404</v>
      </c>
      <c r="AE101" s="210" t="s">
        <v>405</v>
      </c>
      <c r="AF101" s="99" t="s">
        <v>465</v>
      </c>
      <c r="AG101" s="99" t="s">
        <v>406</v>
      </c>
      <c r="AH101" s="210" t="s">
        <v>407</v>
      </c>
      <c r="AI101" s="99" t="s">
        <v>408</v>
      </c>
      <c r="AJ101" s="99" t="s">
        <v>409</v>
      </c>
      <c r="AK101" s="99" t="s">
        <v>410</v>
      </c>
      <c r="AL101" s="99" t="s">
        <v>411</v>
      </c>
      <c r="AM101" s="211" t="s">
        <v>439</v>
      </c>
    </row>
    <row r="102" spans="1:39">
      <c r="A102" s="142">
        <f t="shared" ref="A102:G107" si="55">A92</f>
        <v>9</v>
      </c>
      <c r="B102" s="101">
        <f t="shared" si="55"/>
        <v>43832</v>
      </c>
      <c r="C102" s="178">
        <f t="shared" si="55"/>
        <v>43836</v>
      </c>
      <c r="D102" s="178">
        <f t="shared" si="55"/>
        <v>44018</v>
      </c>
      <c r="E102" s="142">
        <f t="shared" si="55"/>
        <v>145</v>
      </c>
      <c r="F102" s="142">
        <f t="shared" si="55"/>
        <v>182</v>
      </c>
      <c r="G102" s="103">
        <f t="shared" si="55"/>
        <v>0.40277777777777779</v>
      </c>
      <c r="H102" s="104">
        <f t="shared" ref="H102:H107" si="56">H72</f>
        <v>1.0020909629593862</v>
      </c>
      <c r="I102" s="100">
        <f t="shared" ref="I102:I107" si="57">I92</f>
        <v>-5.1859363999888783E-3</v>
      </c>
      <c r="J102" s="235">
        <f t="shared" ref="J102:J107" si="58">$D$99</f>
        <v>-1E-4</v>
      </c>
      <c r="K102" s="236">
        <f t="shared" ref="K102:K107" si="59">I102+J102</f>
        <v>-5.2859363999888786E-3</v>
      </c>
      <c r="L102" s="204">
        <f t="shared" ref="L102:L107" si="60">EXP(-K102*G102)</f>
        <v>1.002131325769362</v>
      </c>
      <c r="M102" s="103">
        <f t="shared" ref="M102:M107" si="61">M92</f>
        <v>0.50555555555555554</v>
      </c>
      <c r="N102" s="213">
        <f>L36</f>
        <v>-3.2299999999999998E-3</v>
      </c>
      <c r="O102" s="214">
        <f t="shared" ref="O102:O107" si="62">M102</f>
        <v>0.50555555555555554</v>
      </c>
      <c r="P102" s="215">
        <f t="shared" ref="P102:P107" si="63">$B$15*O102</f>
        <v>5.0555555555555553E-3</v>
      </c>
      <c r="Q102" s="216"/>
      <c r="R102" s="217">
        <v>-5.0000000000000001E-3</v>
      </c>
      <c r="S102" s="109"/>
      <c r="T102" s="109"/>
      <c r="U102" s="109"/>
      <c r="V102" s="109"/>
      <c r="W102" s="218">
        <f>(MAX(N102-R102,0))*O102</f>
        <v>8.9483333333333342E-4</v>
      </c>
      <c r="X102" s="219"/>
      <c r="Y102" s="220">
        <v>2.5000000000000001E-2</v>
      </c>
      <c r="Z102" s="219"/>
      <c r="AA102" s="219"/>
      <c r="AB102" s="109"/>
      <c r="AC102" s="109"/>
      <c r="AD102" s="218">
        <f>(MAX($N102-Y102,0))*$O102</f>
        <v>0</v>
      </c>
      <c r="AE102" s="221">
        <f t="shared" ref="AE102:AE107" si="64">W102+P102-AD102</f>
        <v>5.9503888888888887E-3</v>
      </c>
      <c r="AF102" s="204">
        <f t="shared" ref="AF102:AF107" si="65">L102</f>
        <v>1.002131325769362</v>
      </c>
      <c r="AG102" s="222">
        <f t="shared" ref="AG102:AG107" si="66">AE102*AF102</f>
        <v>5.9630711060655031E-3</v>
      </c>
      <c r="AH102" s="223">
        <f t="shared" ref="AH102:AH107" si="67">AH92</f>
        <v>0.983740776188188</v>
      </c>
      <c r="AI102" s="224">
        <v>0.4</v>
      </c>
      <c r="AJ102" s="225">
        <f t="shared" ref="AJ102:AJ107" si="68">AE102*AH102</f>
        <v>5.8536401841771252E-3</v>
      </c>
      <c r="AK102" s="222">
        <f t="shared" ref="AK102:AK107" si="69">AJ102*AF102</f>
        <v>5.8661161983462346E-3</v>
      </c>
      <c r="AL102" s="222">
        <f>(1-AH102)*AI102</f>
        <v>6.5036895247247983E-3</v>
      </c>
      <c r="AM102" s="200">
        <f t="shared" ref="AM102:AM107" si="70">AF102*AL102</f>
        <v>6.5175510058047741E-3</v>
      </c>
    </row>
    <row r="103" spans="1:39">
      <c r="A103" s="142">
        <f t="shared" si="55"/>
        <v>10</v>
      </c>
      <c r="B103" s="101">
        <f t="shared" si="55"/>
        <v>44014</v>
      </c>
      <c r="C103" s="178">
        <f t="shared" si="55"/>
        <v>44018</v>
      </c>
      <c r="D103" s="178">
        <f t="shared" si="55"/>
        <v>44202</v>
      </c>
      <c r="E103" s="142">
        <f t="shared" si="55"/>
        <v>329</v>
      </c>
      <c r="F103" s="142">
        <f t="shared" si="55"/>
        <v>184</v>
      </c>
      <c r="G103" s="103">
        <f t="shared" si="55"/>
        <v>0.91388888888888886</v>
      </c>
      <c r="H103" s="104">
        <f t="shared" si="56"/>
        <v>1.0028842757668066</v>
      </c>
      <c r="I103" s="100">
        <f t="shared" si="57"/>
        <v>-3.1515037105206275E-3</v>
      </c>
      <c r="J103" s="217">
        <f t="shared" si="58"/>
        <v>-1E-4</v>
      </c>
      <c r="K103" s="236">
        <f t="shared" si="59"/>
        <v>-3.2515037105206273E-3</v>
      </c>
      <c r="L103" s="204">
        <f t="shared" si="60"/>
        <v>1.0029759324345897</v>
      </c>
      <c r="M103" s="103">
        <f t="shared" si="61"/>
        <v>0.51111111111111107</v>
      </c>
      <c r="N103" s="213">
        <f>(L102/L103-1)/M103</f>
        <v>-1.6475881903976995E-3</v>
      </c>
      <c r="O103" s="214">
        <f t="shared" si="62"/>
        <v>0.51111111111111107</v>
      </c>
      <c r="P103" s="215">
        <f t="shared" si="63"/>
        <v>5.1111111111111105E-3</v>
      </c>
      <c r="Q103" s="226">
        <f>'IVOL (Q2)'!$G$7/10000</f>
        <v>3.1932054794520546E-3</v>
      </c>
      <c r="R103" s="217">
        <f>R102</f>
        <v>-5.0000000000000001E-3</v>
      </c>
      <c r="S103" s="227">
        <f>G103</f>
        <v>0.91388888888888886</v>
      </c>
      <c r="T103" s="217">
        <f>(N103-R103)/(Q103*S103^0.5)</f>
        <v>1.0982059628947045</v>
      </c>
      <c r="U103" s="227">
        <f>_xlfn.NORM.DIST(T103,0,1,TRUE)</f>
        <v>0.86394271847594806</v>
      </c>
      <c r="V103" s="227">
        <f>_xlfn.NORM.DIST(T103,0,1,FALSE)</f>
        <v>0.21828216862054056</v>
      </c>
      <c r="W103" s="218">
        <f>((N103-R103)*U103+Q103*S103^0.5*V103)*O103</f>
        <v>1.820897499560509E-3</v>
      </c>
      <c r="X103" s="219">
        <f>'IVOL (Q2)'!$G$12/10000</f>
        <v>7.8470904109589033E-3</v>
      </c>
      <c r="Y103" s="220">
        <f>Y102</f>
        <v>2.5000000000000001E-2</v>
      </c>
      <c r="Z103" s="227">
        <f>G103</f>
        <v>0.91388888888888886</v>
      </c>
      <c r="AA103" s="217">
        <f>($N103-Y103)/(X103*Z103^0.5)</f>
        <v>-3.5522420681858509</v>
      </c>
      <c r="AB103" s="227">
        <f>_xlfn.NORM.DIST(AA103,0,1,TRUE)</f>
        <v>1.9098164651874935E-4</v>
      </c>
      <c r="AC103" s="227">
        <f>_xlfn.NORM.DIST(AA103,0,1,FALSE)</f>
        <v>7.2586218520573353E-4</v>
      </c>
      <c r="AD103" s="218">
        <f>(($N103-Y103)*AB103+X103*Z103^0.5*AC103)*$O103</f>
        <v>1.8192780483210046E-7</v>
      </c>
      <c r="AE103" s="221">
        <f t="shared" si="64"/>
        <v>6.9318266828667869E-3</v>
      </c>
      <c r="AF103" s="204">
        <f t="shared" si="65"/>
        <v>1.0029759324345897</v>
      </c>
      <c r="AG103" s="222">
        <f t="shared" si="66"/>
        <v>6.9524553307232844E-3</v>
      </c>
      <c r="AH103" s="223">
        <f t="shared" si="67"/>
        <v>0.96705723155052858</v>
      </c>
      <c r="AI103" s="224">
        <v>0.4</v>
      </c>
      <c r="AJ103" s="225">
        <f t="shared" si="68"/>
        <v>6.703473121521239E-3</v>
      </c>
      <c r="AK103" s="222">
        <f t="shared" si="69"/>
        <v>6.7234222046079744E-3</v>
      </c>
      <c r="AL103" s="222">
        <f>(AH102-AH103)*AI103</f>
        <v>6.6734178550637681E-3</v>
      </c>
      <c r="AM103" s="200">
        <f t="shared" si="70"/>
        <v>6.6932774957082228E-3</v>
      </c>
    </row>
    <row r="104" spans="1:39">
      <c r="A104" s="142">
        <f t="shared" si="55"/>
        <v>11</v>
      </c>
      <c r="B104" s="101">
        <f t="shared" si="55"/>
        <v>44200</v>
      </c>
      <c r="C104" s="178">
        <f t="shared" si="55"/>
        <v>44202</v>
      </c>
      <c r="D104" s="178">
        <f t="shared" si="55"/>
        <v>44383</v>
      </c>
      <c r="E104" s="142">
        <f t="shared" si="55"/>
        <v>510</v>
      </c>
      <c r="F104" s="142">
        <f t="shared" si="55"/>
        <v>181</v>
      </c>
      <c r="G104" s="103">
        <f t="shared" si="55"/>
        <v>1.4166666666666667</v>
      </c>
      <c r="H104" s="104">
        <f t="shared" si="56"/>
        <v>1.0045469865333863</v>
      </c>
      <c r="I104" s="100">
        <f t="shared" si="57"/>
        <v>-3.2023625082974131E-3</v>
      </c>
      <c r="J104" s="217">
        <f t="shared" si="58"/>
        <v>-1E-4</v>
      </c>
      <c r="K104" s="236">
        <f t="shared" si="59"/>
        <v>-3.3023625082974129E-3</v>
      </c>
      <c r="L104" s="204">
        <f t="shared" si="60"/>
        <v>1.0046893074373044</v>
      </c>
      <c r="M104" s="103">
        <f t="shared" si="61"/>
        <v>0.50277777777777777</v>
      </c>
      <c r="N104" s="213">
        <f>(L103/L104-1)/M104</f>
        <v>-3.3919119669442981E-3</v>
      </c>
      <c r="O104" s="214">
        <f t="shared" si="62"/>
        <v>0.50277777777777777</v>
      </c>
      <c r="P104" s="215">
        <f t="shared" si="63"/>
        <v>5.0277777777777777E-3</v>
      </c>
      <c r="Q104" s="226">
        <f>'IVOL (Q2)'!$G$7/10000</f>
        <v>3.1932054794520546E-3</v>
      </c>
      <c r="R104" s="217">
        <f>R103</f>
        <v>-5.0000000000000001E-3</v>
      </c>
      <c r="S104" s="227">
        <f>G104</f>
        <v>1.4166666666666667</v>
      </c>
      <c r="T104" s="217">
        <f>(N104-R104)/(Q104*S104^0.5)</f>
        <v>0.42310593424850446</v>
      </c>
      <c r="U104" s="227">
        <f>_xlfn.NORM.DIST(T104,0,1,TRUE)</f>
        <v>0.66389101353429891</v>
      </c>
      <c r="V104" s="227">
        <f>_xlfn.NORM.DIST(T104,0,1,FALSE)</f>
        <v>0.36478474138415223</v>
      </c>
      <c r="W104" s="218">
        <f>((N104-R104)*U104+Q104*S104^0.5*V104)*O104</f>
        <v>1.2338284030795311E-3</v>
      </c>
      <c r="X104" s="219">
        <f>'IVOL (Q2)'!$G$12/10000</f>
        <v>7.8470904109589033E-3</v>
      </c>
      <c r="Y104" s="220">
        <f>Y103</f>
        <v>2.5000000000000001E-2</v>
      </c>
      <c r="Z104" s="227">
        <f>G104</f>
        <v>1.4166666666666667</v>
      </c>
      <c r="AA104" s="217">
        <f>($N104-Y104)/(X104*Z104^0.5)</f>
        <v>-3.0398499412673714</v>
      </c>
      <c r="AB104" s="227">
        <f>_xlfn.NORM.DIST(AA104,0,1,TRUE)</f>
        <v>1.1834802412700673E-3</v>
      </c>
      <c r="AC104" s="227">
        <f>_xlfn.NORM.DIST(AA104,0,1,FALSE)</f>
        <v>3.9293456591153516E-3</v>
      </c>
      <c r="AD104" s="218">
        <f>(($N104-Y104)*AB104+X104*Z104^0.5*AC104)*$O104</f>
        <v>1.5578324683004525E-6</v>
      </c>
      <c r="AE104" s="221">
        <f t="shared" si="64"/>
        <v>6.2600483483890084E-3</v>
      </c>
      <c r="AF104" s="204">
        <f t="shared" si="65"/>
        <v>1.0046893074373044</v>
      </c>
      <c r="AG104" s="222">
        <f t="shared" si="66"/>
        <v>6.2894036396669946E-3</v>
      </c>
      <c r="AH104" s="223">
        <f t="shared" si="67"/>
        <v>0.95140207521434383</v>
      </c>
      <c r="AI104" s="224">
        <v>0.4</v>
      </c>
      <c r="AJ104" s="225">
        <f t="shared" si="68"/>
        <v>5.9558229895994279E-3</v>
      </c>
      <c r="AK104" s="222">
        <f t="shared" si="69"/>
        <v>5.9837516746398256E-3</v>
      </c>
      <c r="AL104" s="222">
        <f>(AH103-AH104)*AI104</f>
        <v>6.2620625344739006E-3</v>
      </c>
      <c r="AM104" s="200">
        <f t="shared" si="70"/>
        <v>6.2914272708896749E-3</v>
      </c>
    </row>
    <row r="105" spans="1:39">
      <c r="A105" s="142">
        <f t="shared" si="55"/>
        <v>12</v>
      </c>
      <c r="B105" s="101">
        <f t="shared" si="55"/>
        <v>44379</v>
      </c>
      <c r="C105" s="178">
        <f t="shared" si="55"/>
        <v>44383</v>
      </c>
      <c r="D105" s="178">
        <f t="shared" si="55"/>
        <v>44567</v>
      </c>
      <c r="E105" s="142">
        <f t="shared" si="55"/>
        <v>694</v>
      </c>
      <c r="F105" s="142">
        <f t="shared" si="55"/>
        <v>184</v>
      </c>
      <c r="G105" s="103">
        <f t="shared" si="55"/>
        <v>1.9277777777777778</v>
      </c>
      <c r="H105" s="104">
        <f t="shared" si="56"/>
        <v>1.006868573911591</v>
      </c>
      <c r="I105" s="100">
        <f t="shared" si="57"/>
        <v>-3.5507685569005905E-3</v>
      </c>
      <c r="J105" s="217">
        <f t="shared" si="58"/>
        <v>-1E-4</v>
      </c>
      <c r="K105" s="236">
        <f t="shared" si="59"/>
        <v>-3.6507685569005903E-3</v>
      </c>
      <c r="L105" s="204">
        <f t="shared" si="60"/>
        <v>1.0070626945082515</v>
      </c>
      <c r="M105" s="103">
        <f t="shared" si="61"/>
        <v>0.51111111111111107</v>
      </c>
      <c r="N105" s="213">
        <f>(L104/L105-1)/M105</f>
        <v>-4.6110171938664934E-3</v>
      </c>
      <c r="O105" s="214">
        <f t="shared" si="62"/>
        <v>0.51111111111111107</v>
      </c>
      <c r="P105" s="215">
        <f t="shared" si="63"/>
        <v>5.1111111111111105E-3</v>
      </c>
      <c r="Q105" s="226">
        <f>'IVOL (Q2)'!$G$7/10000</f>
        <v>3.1932054794520546E-3</v>
      </c>
      <c r="R105" s="217">
        <f>R104</f>
        <v>-5.0000000000000001E-3</v>
      </c>
      <c r="S105" s="227">
        <f>G105</f>
        <v>1.9277777777777778</v>
      </c>
      <c r="T105" s="217">
        <f>(N105-R105)/(Q105*S105^0.5)</f>
        <v>8.77354391688175E-2</v>
      </c>
      <c r="U105" s="227">
        <f>_xlfn.NORM.DIST(T105,0,1,TRUE)</f>
        <v>0.53495652408240413</v>
      </c>
      <c r="V105" s="227">
        <f>_xlfn.NORM.DIST(T105,0,1,FALSE)</f>
        <v>0.39740980080628008</v>
      </c>
      <c r="W105" s="218">
        <f>((N105-R105)*U105+Q105*S105^0.5*V105)*O105</f>
        <v>1.0069094793443648E-3</v>
      </c>
      <c r="X105" s="219">
        <f>'IVOL (Q2)'!$G$12/10000</f>
        <v>7.8470904109589033E-3</v>
      </c>
      <c r="Y105" s="220">
        <f>Y104</f>
        <v>2.5000000000000001E-2</v>
      </c>
      <c r="Z105" s="227">
        <f>G105</f>
        <v>1.9277777777777778</v>
      </c>
      <c r="AA105" s="217">
        <f>($N105-Y105)/(X105*Z105^0.5)</f>
        <v>-2.7177918078591841</v>
      </c>
      <c r="AB105" s="227">
        <f>_xlfn.NORM.DIST(AA105,0,1,TRUE)</f>
        <v>3.2859587942678731E-3</v>
      </c>
      <c r="AC105" s="227">
        <f>_xlfn.NORM.DIST(AA105,0,1,FALSE)</f>
        <v>9.9305969329525918E-3</v>
      </c>
      <c r="AD105" s="218">
        <f>(($N105-Y105)*AB105+X105*Z105^0.5*AC105)*$O105</f>
        <v>5.5689333995889842E-6</v>
      </c>
      <c r="AE105" s="221">
        <f t="shared" si="64"/>
        <v>6.1124516570558868E-3</v>
      </c>
      <c r="AF105" s="204">
        <f t="shared" si="65"/>
        <v>1.0070626945082515</v>
      </c>
      <c r="AG105" s="222">
        <f t="shared" si="66"/>
        <v>6.1556220358061284E-3</v>
      </c>
      <c r="AH105" s="223">
        <f t="shared" si="67"/>
        <v>0.93623801124854633</v>
      </c>
      <c r="AI105" s="224">
        <v>0.4</v>
      </c>
      <c r="AJ105" s="225">
        <f t="shared" si="68"/>
        <v>5.7227095832548848E-3</v>
      </c>
      <c r="AK105" s="222">
        <f t="shared" si="69"/>
        <v>5.763127332800857E-3</v>
      </c>
      <c r="AL105" s="222">
        <f>(AH104-AH105)*AI105</f>
        <v>6.0656255863190019E-3</v>
      </c>
      <c r="AM105" s="200">
        <f t="shared" si="70"/>
        <v>6.1084652468366071E-3</v>
      </c>
    </row>
    <row r="106" spans="1:39">
      <c r="A106" s="142">
        <f t="shared" si="55"/>
        <v>13</v>
      </c>
      <c r="B106" s="101">
        <f t="shared" si="55"/>
        <v>44565</v>
      </c>
      <c r="C106" s="178">
        <f t="shared" si="55"/>
        <v>44567</v>
      </c>
      <c r="D106" s="178">
        <f t="shared" si="55"/>
        <v>44748</v>
      </c>
      <c r="E106" s="142">
        <f t="shared" si="55"/>
        <v>875</v>
      </c>
      <c r="F106" s="142">
        <f t="shared" si="55"/>
        <v>181</v>
      </c>
      <c r="G106" s="103">
        <f t="shared" si="55"/>
        <v>2.4305555555555554</v>
      </c>
      <c r="H106" s="104">
        <f t="shared" si="56"/>
        <v>1.0085767152016145</v>
      </c>
      <c r="I106" s="100">
        <f t="shared" si="57"/>
        <v>-3.5136593022516661E-3</v>
      </c>
      <c r="J106" s="217">
        <f t="shared" si="58"/>
        <v>-1E-4</v>
      </c>
      <c r="K106" s="236">
        <f t="shared" si="59"/>
        <v>-3.6136593022516659E-3</v>
      </c>
      <c r="L106" s="204">
        <f t="shared" si="60"/>
        <v>1.0088218851692026</v>
      </c>
      <c r="M106" s="103">
        <f t="shared" si="61"/>
        <v>0.50277777777777777</v>
      </c>
      <c r="N106" s="213">
        <f>(L105/L106-1)/M106</f>
        <v>-3.4683454061625557E-3</v>
      </c>
      <c r="O106" s="214">
        <f t="shared" si="62"/>
        <v>0.50277777777777777</v>
      </c>
      <c r="P106" s="215">
        <f t="shared" si="63"/>
        <v>5.0277777777777777E-3</v>
      </c>
      <c r="Q106" s="226">
        <f>'IVOL (Q2)'!$G$7/10000</f>
        <v>3.1932054794520546E-3</v>
      </c>
      <c r="R106" s="217">
        <f>R105</f>
        <v>-5.0000000000000001E-3</v>
      </c>
      <c r="S106" s="227">
        <f>G106</f>
        <v>2.4305555555555554</v>
      </c>
      <c r="T106" s="217">
        <f>(N106-R106)/(Q106*S106^0.5)</f>
        <v>0.30766719766504397</v>
      </c>
      <c r="U106" s="227">
        <f>_xlfn.NORM.DIST(T106,0,1,TRUE)</f>
        <v>0.62083220889867885</v>
      </c>
      <c r="V106" s="227">
        <f>_xlfn.NORM.DIST(T106,0,1,FALSE)</f>
        <v>0.38050038667045799</v>
      </c>
      <c r="W106" s="218">
        <f>((N106-R106)*U106+Q106*S106^0.5*V106)*O106</f>
        <v>1.4304728528985444E-3</v>
      </c>
      <c r="X106" s="219">
        <f>'IVOL (Q2)'!$G$12/10000</f>
        <v>7.8470904109589033E-3</v>
      </c>
      <c r="Y106" s="220">
        <f>Y105</f>
        <v>2.5000000000000001E-2</v>
      </c>
      <c r="Z106" s="227">
        <f>G106</f>
        <v>2.4305555555555554</v>
      </c>
      <c r="AA106" s="217">
        <f>($N106-Y106)/(X106*Z106^0.5)</f>
        <v>-2.3270236329584342</v>
      </c>
      <c r="AB106" s="227">
        <f>_xlfn.NORM.DIST(AA106,0,1,TRUE)</f>
        <v>9.982003727832223E-3</v>
      </c>
      <c r="AC106" s="227">
        <f>_xlfn.NORM.DIST(AA106,0,1,FALSE)</f>
        <v>2.6610270534982584E-2</v>
      </c>
      <c r="AD106" s="218">
        <f>(($N106-Y106)*AB106+X106*Z106^0.5*AC106)*$O106</f>
        <v>2.0801746699175178E-5</v>
      </c>
      <c r="AE106" s="221">
        <f t="shared" si="64"/>
        <v>6.4374488839771468E-3</v>
      </c>
      <c r="AF106" s="204">
        <f t="shared" si="65"/>
        <v>1.0088218851692026</v>
      </c>
      <c r="AG106" s="222">
        <f t="shared" si="66"/>
        <v>6.4942393188142048E-3</v>
      </c>
      <c r="AH106" s="223">
        <f t="shared" si="67"/>
        <v>0.92122206757255554</v>
      </c>
      <c r="AI106" s="224">
        <v>0.4</v>
      </c>
      <c r="AJ106" s="225">
        <f t="shared" si="68"/>
        <v>5.9303199707900671E-3</v>
      </c>
      <c r="AK106" s="222">
        <f t="shared" si="69"/>
        <v>5.9826365725890061E-3</v>
      </c>
      <c r="AL106" s="222">
        <f>(AH105-AH106)*AI106</f>
        <v>6.0063774703963185E-3</v>
      </c>
      <c r="AM106" s="200">
        <f t="shared" si="70"/>
        <v>6.0593650427230401E-3</v>
      </c>
    </row>
    <row r="107" spans="1:39">
      <c r="A107" s="228">
        <f t="shared" si="55"/>
        <v>14</v>
      </c>
      <c r="B107" s="101">
        <f t="shared" si="55"/>
        <v>44746</v>
      </c>
      <c r="C107" s="178">
        <f t="shared" si="55"/>
        <v>44748</v>
      </c>
      <c r="D107" s="178">
        <f t="shared" si="55"/>
        <v>44932</v>
      </c>
      <c r="E107" s="142">
        <f t="shared" si="55"/>
        <v>1059</v>
      </c>
      <c r="F107" s="142">
        <f t="shared" si="55"/>
        <v>184</v>
      </c>
      <c r="G107" s="103">
        <f t="shared" si="55"/>
        <v>2.9416666666666669</v>
      </c>
      <c r="H107" s="104">
        <f t="shared" si="56"/>
        <v>1.0100232322367353</v>
      </c>
      <c r="I107" s="100">
        <f t="shared" si="57"/>
        <v>-3.3903680917429795E-3</v>
      </c>
      <c r="J107" s="217">
        <f t="shared" si="58"/>
        <v>-1E-4</v>
      </c>
      <c r="K107" s="236">
        <f t="shared" si="59"/>
        <v>-3.4903680917429793E-3</v>
      </c>
      <c r="L107" s="204">
        <f t="shared" si="60"/>
        <v>1.0103203911091929</v>
      </c>
      <c r="M107" s="103">
        <f t="shared" si="61"/>
        <v>0.51111111111111107</v>
      </c>
      <c r="N107" s="213">
        <f>(L106/L107-1)/M107</f>
        <v>-2.9019105954977819E-3</v>
      </c>
      <c r="O107" s="214">
        <f t="shared" si="62"/>
        <v>0.51111111111111107</v>
      </c>
      <c r="P107" s="215">
        <f t="shared" si="63"/>
        <v>5.1111111111111105E-3</v>
      </c>
      <c r="Q107" s="226">
        <f>'IVOL (Q2)'!$G$7/10000</f>
        <v>3.1932054794520546E-3</v>
      </c>
      <c r="R107" s="217">
        <f>R106</f>
        <v>-5.0000000000000001E-3</v>
      </c>
      <c r="S107" s="227">
        <f>G107</f>
        <v>2.9416666666666669</v>
      </c>
      <c r="T107" s="217">
        <f>(N107-R107)/(Q107*S107^0.5)</f>
        <v>0.3830896291101018</v>
      </c>
      <c r="U107" s="227">
        <f>_xlfn.NORM.DIST(T107,0,1,TRUE)</f>
        <v>0.64917334553162709</v>
      </c>
      <c r="V107" s="227">
        <f>_xlfn.NORM.DIST(T107,0,1,FALSE)</f>
        <v>0.37071660908694998</v>
      </c>
      <c r="W107" s="218">
        <f>((N107-R107)*U107+Q107*S107^0.5*V107)*O107</f>
        <v>1.7338673071231477E-3</v>
      </c>
      <c r="X107" s="219">
        <f>'IVOL (Q2)'!$G$12/10000</f>
        <v>7.8470904109589033E-3</v>
      </c>
      <c r="Y107" s="220">
        <f>Y106</f>
        <v>2.5000000000000001E-2</v>
      </c>
      <c r="Z107" s="227">
        <f>G107</f>
        <v>2.9416666666666669</v>
      </c>
      <c r="AA107" s="217">
        <f>($N107-Y107)/(X107*Z107^0.5)</f>
        <v>-2.0731396446304688</v>
      </c>
      <c r="AB107" s="227">
        <f>_xlfn.NORM.DIST(AA107,0,1,TRUE)</f>
        <v>1.9079642701376243E-2</v>
      </c>
      <c r="AC107" s="227">
        <f>_xlfn.NORM.DIST(AA107,0,1,FALSE)</f>
        <v>4.6519089382598154E-2</v>
      </c>
      <c r="AD107" s="218">
        <f>(($N107-Y107)*AB107+X107*Z107^0.5*AC107)*$O107</f>
        <v>4.7907088887374675E-5</v>
      </c>
      <c r="AE107" s="221">
        <f t="shared" si="64"/>
        <v>6.7970713293468831E-3</v>
      </c>
      <c r="AF107" s="204">
        <f t="shared" si="65"/>
        <v>1.0103203911091929</v>
      </c>
      <c r="AG107" s="222">
        <f t="shared" si="66"/>
        <v>6.8672197638628245E-3</v>
      </c>
      <c r="AH107" s="223">
        <f t="shared" si="67"/>
        <v>0.90634157536390114</v>
      </c>
      <c r="AI107" s="224">
        <v>0.4</v>
      </c>
      <c r="AJ107" s="225">
        <f t="shared" si="68"/>
        <v>6.1604683365010602E-3</v>
      </c>
      <c r="AK107" s="222">
        <f t="shared" si="69"/>
        <v>6.22404677914955E-3</v>
      </c>
      <c r="AL107" s="222">
        <f>(AH106-AH107)*AI107</f>
        <v>5.9521968834617585E-3</v>
      </c>
      <c r="AM107" s="200">
        <f t="shared" si="70"/>
        <v>6.0136258832580031E-3</v>
      </c>
    </row>
    <row r="108" spans="1:39" ht="15" thickBot="1"/>
    <row r="109" spans="1:39" ht="15" thickBot="1">
      <c r="A109" s="315" t="s">
        <v>445</v>
      </c>
      <c r="B109" s="315"/>
      <c r="C109" s="197" t="s">
        <v>467</v>
      </c>
      <c r="D109" s="233" t="s">
        <v>558</v>
      </c>
      <c r="E109" s="239" t="s">
        <v>318</v>
      </c>
      <c r="F109" s="240">
        <f>'NOTE 2 (Q1, Q3 to Q5)'!F170</f>
        <v>2.1428571428571425E-3</v>
      </c>
      <c r="G109" s="241" t="s">
        <v>458</v>
      </c>
      <c r="H109" s="242">
        <f>'NOTE 2 (Q1, Q3 to Q5)'!H170</f>
        <v>-5.7142857142857147E-4</v>
      </c>
      <c r="I109" s="90" t="s">
        <v>559</v>
      </c>
    </row>
    <row r="110" spans="1:39" ht="15" thickBot="1">
      <c r="A110" s="314" t="s">
        <v>334</v>
      </c>
      <c r="B110" s="314"/>
      <c r="C110" s="314"/>
      <c r="D110" s="314"/>
      <c r="E110" s="314"/>
      <c r="F110" s="314"/>
      <c r="G110" s="314"/>
      <c r="H110" s="314"/>
      <c r="I110" s="140"/>
      <c r="J110" s="140"/>
      <c r="K110" s="140"/>
      <c r="L110" s="209"/>
      <c r="M110" s="140"/>
      <c r="N110" s="205"/>
      <c r="O110" s="206"/>
      <c r="P110" s="207" t="s">
        <v>412</v>
      </c>
      <c r="Q110" s="319" t="s">
        <v>399</v>
      </c>
      <c r="R110" s="314"/>
      <c r="S110" s="314"/>
      <c r="T110" s="314"/>
      <c r="U110" s="314"/>
      <c r="V110" s="314"/>
      <c r="W110" s="320"/>
      <c r="X110" s="319" t="s">
        <v>456</v>
      </c>
      <c r="Y110" s="314"/>
      <c r="Z110" s="314"/>
      <c r="AA110" s="314"/>
      <c r="AB110" s="314"/>
      <c r="AC110" s="314"/>
      <c r="AD110" s="320"/>
      <c r="AE110" s="208"/>
      <c r="AF110" s="209"/>
      <c r="AG110" s="209"/>
      <c r="AH110" s="319" t="s">
        <v>413</v>
      </c>
      <c r="AI110" s="314"/>
      <c r="AJ110" s="314"/>
      <c r="AK110" s="314"/>
      <c r="AL110" s="314"/>
      <c r="AM110" s="320"/>
    </row>
    <row r="111" spans="1:39" ht="15" thickBot="1">
      <c r="A111" s="99" t="s">
        <v>323</v>
      </c>
      <c r="B111" s="99" t="s">
        <v>304</v>
      </c>
      <c r="C111" s="99" t="s">
        <v>299</v>
      </c>
      <c r="D111" s="99" t="s">
        <v>301</v>
      </c>
      <c r="E111" s="99" t="s">
        <v>33</v>
      </c>
      <c r="F111" s="99" t="s">
        <v>395</v>
      </c>
      <c r="G111" s="99" t="s">
        <v>303</v>
      </c>
      <c r="H111" s="99" t="s">
        <v>319</v>
      </c>
      <c r="I111" s="99" t="s">
        <v>344</v>
      </c>
      <c r="J111" s="99" t="s">
        <v>457</v>
      </c>
      <c r="K111" s="99" t="s">
        <v>497</v>
      </c>
      <c r="L111" s="99" t="s">
        <v>466</v>
      </c>
      <c r="M111" s="99" t="s">
        <v>302</v>
      </c>
      <c r="N111" s="210" t="s">
        <v>396</v>
      </c>
      <c r="O111" s="211" t="s">
        <v>397</v>
      </c>
      <c r="P111" s="212" t="s">
        <v>398</v>
      </c>
      <c r="Q111" s="210" t="s">
        <v>400</v>
      </c>
      <c r="R111" s="99" t="s">
        <v>401</v>
      </c>
      <c r="S111" s="99" t="s">
        <v>303</v>
      </c>
      <c r="T111" s="99" t="s">
        <v>402</v>
      </c>
      <c r="U111" s="99" t="s">
        <v>403</v>
      </c>
      <c r="V111" s="99" t="s">
        <v>419</v>
      </c>
      <c r="W111" s="211" t="s">
        <v>404</v>
      </c>
      <c r="X111" s="210" t="s">
        <v>400</v>
      </c>
      <c r="Y111" s="99" t="s">
        <v>401</v>
      </c>
      <c r="Z111" s="99" t="s">
        <v>303</v>
      </c>
      <c r="AA111" s="99" t="s">
        <v>402</v>
      </c>
      <c r="AB111" s="99" t="s">
        <v>403</v>
      </c>
      <c r="AC111" s="99" t="s">
        <v>419</v>
      </c>
      <c r="AD111" s="211" t="s">
        <v>404</v>
      </c>
      <c r="AE111" s="210" t="s">
        <v>405</v>
      </c>
      <c r="AF111" s="99" t="s">
        <v>466</v>
      </c>
      <c r="AG111" s="99" t="s">
        <v>406</v>
      </c>
      <c r="AH111" s="210" t="s">
        <v>407</v>
      </c>
      <c r="AI111" s="99" t="s">
        <v>408</v>
      </c>
      <c r="AJ111" s="99" t="s">
        <v>409</v>
      </c>
      <c r="AK111" s="99" t="s">
        <v>410</v>
      </c>
      <c r="AL111" s="99" t="s">
        <v>411</v>
      </c>
      <c r="AM111" s="211" t="s">
        <v>439</v>
      </c>
    </row>
    <row r="112" spans="1:39">
      <c r="A112" s="142">
        <f t="shared" ref="A112:G117" si="71">A92</f>
        <v>9</v>
      </c>
      <c r="B112" s="101">
        <f t="shared" si="71"/>
        <v>43832</v>
      </c>
      <c r="C112" s="178">
        <f t="shared" si="71"/>
        <v>43836</v>
      </c>
      <c r="D112" s="178">
        <f t="shared" si="71"/>
        <v>44018</v>
      </c>
      <c r="E112" s="142">
        <f t="shared" si="71"/>
        <v>145</v>
      </c>
      <c r="F112" s="142">
        <f t="shared" si="71"/>
        <v>182</v>
      </c>
      <c r="G112" s="103">
        <f t="shared" si="71"/>
        <v>0.40277777777777779</v>
      </c>
      <c r="H112" s="104">
        <f t="shared" ref="H112:H117" si="72">H102</f>
        <v>1.0020909629593862</v>
      </c>
      <c r="I112" s="100">
        <f t="shared" ref="I112:I117" si="73">I92</f>
        <v>-5.1859363999888783E-3</v>
      </c>
      <c r="J112" s="235">
        <f t="shared" ref="J112:J117" si="74">$F$109+$H$109*(E112/360)</f>
        <v>1.9126984126984123E-3</v>
      </c>
      <c r="K112" s="243">
        <f t="shared" ref="K112:K117" si="75">I112+J112</f>
        <v>-3.273237987290466E-3</v>
      </c>
      <c r="L112" s="204">
        <f t="shared" ref="L112:L117" si="76">EXP(-K112*G112)</f>
        <v>1.0013192569775395</v>
      </c>
      <c r="M112" s="103">
        <f t="shared" ref="M112:M117" si="77">M92</f>
        <v>0.50555555555555554</v>
      </c>
      <c r="N112" s="213">
        <f>L36</f>
        <v>-3.2299999999999998E-3</v>
      </c>
      <c r="O112" s="214">
        <f t="shared" ref="O112:O117" si="78">M112</f>
        <v>0.50555555555555554</v>
      </c>
      <c r="P112" s="215">
        <f t="shared" ref="P112:P117" si="79">$B$15*O112</f>
        <v>5.0555555555555553E-3</v>
      </c>
      <c r="Q112" s="216"/>
      <c r="R112" s="217">
        <v>-5.0000000000000001E-3</v>
      </c>
      <c r="S112" s="109"/>
      <c r="T112" s="109"/>
      <c r="U112" s="109"/>
      <c r="V112" s="109"/>
      <c r="W112" s="218">
        <f>(MAX(N112-R112,0))*O112</f>
        <v>8.9483333333333342E-4</v>
      </c>
      <c r="X112" s="219"/>
      <c r="Y112" s="220">
        <v>2.5000000000000001E-2</v>
      </c>
      <c r="Z112" s="219"/>
      <c r="AA112" s="219"/>
      <c r="AB112" s="109"/>
      <c r="AC112" s="109"/>
      <c r="AD112" s="218">
        <f>(MAX($N112-Y112,0))*$O112</f>
        <v>0</v>
      </c>
      <c r="AE112" s="221">
        <f t="shared" ref="AE112:AE117" si="80">W112+P112-AD112</f>
        <v>5.9503888888888887E-3</v>
      </c>
      <c r="AF112" s="204">
        <f t="shared" ref="AF112:AF117" si="81">L112</f>
        <v>1.0013192569775395</v>
      </c>
      <c r="AG112" s="222">
        <f t="shared" ref="AG112:AG117" si="82">AE112*AF112</f>
        <v>5.9582389809496291E-3</v>
      </c>
      <c r="AH112" s="223">
        <f t="shared" ref="AH112:AH117" si="83">AH92</f>
        <v>0.983740776188188</v>
      </c>
      <c r="AI112" s="224">
        <v>0.4</v>
      </c>
      <c r="AJ112" s="225">
        <f t="shared" ref="AJ112:AJ117" si="84">AE112*AH112</f>
        <v>5.8536401841771252E-3</v>
      </c>
      <c r="AK112" s="222">
        <f t="shared" ref="AK112:AK117" si="85">AJ112*AF112</f>
        <v>5.8613626398341069E-3</v>
      </c>
      <c r="AL112" s="222">
        <f>(1-AH112)*AI112</f>
        <v>6.5036895247247983E-3</v>
      </c>
      <c r="AM112" s="200">
        <f t="shared" ref="AM112:AM117" si="86">AF112*AL112</f>
        <v>6.5122695625100422E-3</v>
      </c>
    </row>
    <row r="113" spans="1:39">
      <c r="A113" s="142">
        <f t="shared" si="71"/>
        <v>10</v>
      </c>
      <c r="B113" s="101">
        <f t="shared" si="71"/>
        <v>44014</v>
      </c>
      <c r="C113" s="178">
        <f t="shared" si="71"/>
        <v>44018</v>
      </c>
      <c r="D113" s="178">
        <f t="shared" si="71"/>
        <v>44202</v>
      </c>
      <c r="E113" s="142">
        <f t="shared" si="71"/>
        <v>329</v>
      </c>
      <c r="F113" s="142">
        <f t="shared" si="71"/>
        <v>184</v>
      </c>
      <c r="G113" s="103">
        <f t="shared" si="71"/>
        <v>0.91388888888888886</v>
      </c>
      <c r="H113" s="104">
        <f t="shared" si="72"/>
        <v>1.0028842757668066</v>
      </c>
      <c r="I113" s="100">
        <f t="shared" si="73"/>
        <v>-3.1515037105206275E-3</v>
      </c>
      <c r="J113" s="217">
        <f t="shared" si="74"/>
        <v>1.6206349206349204E-3</v>
      </c>
      <c r="K113" s="236">
        <f t="shared" si="75"/>
        <v>-1.5308687898857071E-3</v>
      </c>
      <c r="L113" s="204">
        <f t="shared" si="76"/>
        <v>1.0014000230960054</v>
      </c>
      <c r="M113" s="103">
        <f t="shared" si="77"/>
        <v>0.51111111111111107</v>
      </c>
      <c r="N113" s="213">
        <f>(L112/L113-1)/M113</f>
        <v>-1.5779974327853488E-4</v>
      </c>
      <c r="O113" s="214">
        <f t="shared" si="78"/>
        <v>0.51111111111111107</v>
      </c>
      <c r="P113" s="215">
        <f t="shared" si="79"/>
        <v>5.1111111111111105E-3</v>
      </c>
      <c r="Q113" s="226">
        <f>'IVOL (Q2)'!$G$7/10000</f>
        <v>3.1932054794520546E-3</v>
      </c>
      <c r="R113" s="217">
        <f>R112</f>
        <v>-5.0000000000000001E-3</v>
      </c>
      <c r="S113" s="227">
        <f>G113</f>
        <v>0.91388888888888886</v>
      </c>
      <c r="T113" s="217">
        <f>(N113-R113)/(Q113*S113^0.5)</f>
        <v>1.5862410400268303</v>
      </c>
      <c r="U113" s="227">
        <f>_xlfn.NORM.DIST(T113,0,1,TRUE)</f>
        <v>0.94365767932926048</v>
      </c>
      <c r="V113" s="227">
        <f>_xlfn.NORM.DIST(T113,0,1,FALSE)</f>
        <v>0.11337902701653993</v>
      </c>
      <c r="W113" s="218">
        <f>((N113-R113)*U113+Q113*S113^0.5*V113)*O113</f>
        <v>2.5123580776284615E-3</v>
      </c>
      <c r="X113" s="219">
        <f>'IVOL (Q2)'!$G$12/10000</f>
        <v>7.8470904109589033E-3</v>
      </c>
      <c r="Y113" s="220">
        <f>Y112</f>
        <v>2.5000000000000001E-2</v>
      </c>
      <c r="Z113" s="227">
        <f>G113</f>
        <v>0.91388888888888886</v>
      </c>
      <c r="AA113" s="217">
        <f>($N113-Y113)/(X113*Z113^0.5)</f>
        <v>-3.3536466397087277</v>
      </c>
      <c r="AB113" s="227">
        <f>_xlfn.NORM.DIST(AA113,0,1,TRUE)</f>
        <v>3.9877070790556094E-4</v>
      </c>
      <c r="AC113" s="227">
        <f>_xlfn.NORM.DIST(AA113,0,1,FALSE)</f>
        <v>1.4410094194807041E-3</v>
      </c>
      <c r="AD113" s="218">
        <f>(($N113-Y113)*AB113+X113*Z113^0.5*AC113)*$O113</f>
        <v>3.9750071453771325E-7</v>
      </c>
      <c r="AE113" s="221">
        <f t="shared" si="80"/>
        <v>7.623071688025034E-3</v>
      </c>
      <c r="AF113" s="204">
        <f t="shared" si="81"/>
        <v>1.0014000230960054</v>
      </c>
      <c r="AG113" s="222">
        <f t="shared" si="82"/>
        <v>7.6337441644507738E-3</v>
      </c>
      <c r="AH113" s="223">
        <f t="shared" si="83"/>
        <v>0.96705723155052858</v>
      </c>
      <c r="AI113" s="224">
        <v>0.4</v>
      </c>
      <c r="AJ113" s="225">
        <f t="shared" si="84"/>
        <v>7.3719466025327042E-3</v>
      </c>
      <c r="AK113" s="222">
        <f t="shared" si="85"/>
        <v>7.3822674980387687E-3</v>
      </c>
      <c r="AL113" s="222">
        <f>(AH112-AH113)*AI113</f>
        <v>6.6734178550637681E-3</v>
      </c>
      <c r="AM113" s="200">
        <f t="shared" si="86"/>
        <v>6.6827607941901523E-3</v>
      </c>
    </row>
    <row r="114" spans="1:39">
      <c r="A114" s="142">
        <f t="shared" si="71"/>
        <v>11</v>
      </c>
      <c r="B114" s="101">
        <f t="shared" si="71"/>
        <v>44200</v>
      </c>
      <c r="C114" s="178">
        <f t="shared" si="71"/>
        <v>44202</v>
      </c>
      <c r="D114" s="178">
        <f t="shared" si="71"/>
        <v>44383</v>
      </c>
      <c r="E114" s="142">
        <f t="shared" si="71"/>
        <v>510</v>
      </c>
      <c r="F114" s="142">
        <f t="shared" si="71"/>
        <v>181</v>
      </c>
      <c r="G114" s="103">
        <f t="shared" si="71"/>
        <v>1.4166666666666667</v>
      </c>
      <c r="H114" s="104">
        <f t="shared" si="72"/>
        <v>1.0045469865333863</v>
      </c>
      <c r="I114" s="100">
        <f t="shared" si="73"/>
        <v>-3.2023625082974131E-3</v>
      </c>
      <c r="J114" s="217">
        <f t="shared" si="74"/>
        <v>1.3333333333333329E-3</v>
      </c>
      <c r="K114" s="236">
        <f t="shared" si="75"/>
        <v>-1.8690291749640802E-3</v>
      </c>
      <c r="L114" s="204">
        <f t="shared" si="76"/>
        <v>1.0026512998265704</v>
      </c>
      <c r="M114" s="103">
        <f t="shared" si="77"/>
        <v>0.50277777777777777</v>
      </c>
      <c r="N114" s="213">
        <f>(L113/L114-1)/M114</f>
        <v>-2.4821462848992385E-3</v>
      </c>
      <c r="O114" s="214">
        <f t="shared" si="78"/>
        <v>0.50277777777777777</v>
      </c>
      <c r="P114" s="215">
        <f t="shared" si="79"/>
        <v>5.0277777777777777E-3</v>
      </c>
      <c r="Q114" s="226">
        <f>'IVOL (Q2)'!$G$7/10000</f>
        <v>3.1932054794520546E-3</v>
      </c>
      <c r="R114" s="217">
        <f>R113</f>
        <v>-5.0000000000000001E-3</v>
      </c>
      <c r="S114" s="227">
        <f>G114</f>
        <v>1.4166666666666667</v>
      </c>
      <c r="T114" s="217">
        <f>(N114-R114)/(Q114*S114^0.5)</f>
        <v>0.66247545316561307</v>
      </c>
      <c r="U114" s="227">
        <f>_xlfn.NORM.DIST(T114,0,1,TRUE)</f>
        <v>0.74616671934076106</v>
      </c>
      <c r="V114" s="227">
        <f>_xlfn.NORM.DIST(T114,0,1,FALSE)</f>
        <v>0.32033902328925684</v>
      </c>
      <c r="W114" s="218">
        <f>((N114-R114)*U114+Q114*S114^0.5*V114)*O114</f>
        <v>1.5567222140723208E-3</v>
      </c>
      <c r="X114" s="219">
        <f>'IVOL (Q2)'!$G$12/10000</f>
        <v>7.8470904109589033E-3</v>
      </c>
      <c r="Y114" s="220">
        <f>Y113</f>
        <v>2.5000000000000001E-2</v>
      </c>
      <c r="Z114" s="227">
        <f>G114</f>
        <v>1.4166666666666667</v>
      </c>
      <c r="AA114" s="217">
        <f>($N114-Y114)/(X114*Z114^0.5)</f>
        <v>-2.9424436391362718</v>
      </c>
      <c r="AB114" s="227">
        <f>_xlfn.NORM.DIST(AA114,0,1,TRUE)</f>
        <v>1.6281652735526488E-3</v>
      </c>
      <c r="AC114" s="227">
        <f>_xlfn.NORM.DIST(AA114,0,1,FALSE)</f>
        <v>5.2584140034716599E-3</v>
      </c>
      <c r="AD114" s="218">
        <f>(($N114-Y114)*AB114+X114*Z114^0.5*AC114)*$O114</f>
        <v>2.1959397639364753E-6</v>
      </c>
      <c r="AE114" s="221">
        <f t="shared" si="80"/>
        <v>6.5823040520861615E-3</v>
      </c>
      <c r="AF114" s="204">
        <f t="shared" si="81"/>
        <v>1.0026512998265704</v>
      </c>
      <c r="AG114" s="222">
        <f t="shared" si="82"/>
        <v>6.5997557136778916E-3</v>
      </c>
      <c r="AH114" s="223">
        <f t="shared" si="83"/>
        <v>0.95140207521434383</v>
      </c>
      <c r="AI114" s="224">
        <v>0.4</v>
      </c>
      <c r="AJ114" s="225">
        <f t="shared" si="84"/>
        <v>6.2624177348465588E-3</v>
      </c>
      <c r="AK114" s="222">
        <f t="shared" si="85"/>
        <v>6.279021281900869E-3</v>
      </c>
      <c r="AL114" s="222">
        <f>(AH113-AH114)*AI114</f>
        <v>6.2620625344739006E-3</v>
      </c>
      <c r="AM114" s="200">
        <f t="shared" si="86"/>
        <v>6.2786651397855244E-3</v>
      </c>
    </row>
    <row r="115" spans="1:39">
      <c r="A115" s="142">
        <f t="shared" si="71"/>
        <v>12</v>
      </c>
      <c r="B115" s="101">
        <f t="shared" si="71"/>
        <v>44379</v>
      </c>
      <c r="C115" s="178">
        <f t="shared" si="71"/>
        <v>44383</v>
      </c>
      <c r="D115" s="178">
        <f t="shared" si="71"/>
        <v>44567</v>
      </c>
      <c r="E115" s="142">
        <f t="shared" si="71"/>
        <v>694</v>
      </c>
      <c r="F115" s="142">
        <f t="shared" si="71"/>
        <v>184</v>
      </c>
      <c r="G115" s="103">
        <f t="shared" si="71"/>
        <v>1.9277777777777778</v>
      </c>
      <c r="H115" s="104">
        <f t="shared" si="72"/>
        <v>1.006868573911591</v>
      </c>
      <c r="I115" s="100">
        <f t="shared" si="73"/>
        <v>-3.5507685569005905E-3</v>
      </c>
      <c r="J115" s="217">
        <f t="shared" si="74"/>
        <v>1.0412698412698409E-3</v>
      </c>
      <c r="K115" s="236">
        <f t="shared" si="75"/>
        <v>-2.5094987156307497E-3</v>
      </c>
      <c r="L115" s="204">
        <f t="shared" si="76"/>
        <v>1.0048494766914449</v>
      </c>
      <c r="M115" s="103">
        <f t="shared" si="77"/>
        <v>0.51111111111111107</v>
      </c>
      <c r="N115" s="213">
        <f>(L114/L115-1)/M115</f>
        <v>-4.2800249413884077E-3</v>
      </c>
      <c r="O115" s="214">
        <f t="shared" si="78"/>
        <v>0.51111111111111107</v>
      </c>
      <c r="P115" s="215">
        <f t="shared" si="79"/>
        <v>5.1111111111111105E-3</v>
      </c>
      <c r="Q115" s="226">
        <f>'IVOL (Q2)'!$G$7/10000</f>
        <v>3.1932054794520546E-3</v>
      </c>
      <c r="R115" s="217">
        <f>R114</f>
        <v>-5.0000000000000001E-3</v>
      </c>
      <c r="S115" s="227">
        <f>G115</f>
        <v>1.9277777777777778</v>
      </c>
      <c r="T115" s="217">
        <f>(N115-R115)/(Q115*S115^0.5)</f>
        <v>0.16239105421076863</v>
      </c>
      <c r="U115" s="227">
        <f>_xlfn.NORM.DIST(T115,0,1,TRUE)</f>
        <v>0.56450104247766275</v>
      </c>
      <c r="V115" s="227">
        <f>_xlfn.NORM.DIST(T115,0,1,FALSE)</f>
        <v>0.39371658322313841</v>
      </c>
      <c r="W115" s="218">
        <f>((N115-R115)*U115+Q115*S115^0.5*V115)*O115</f>
        <v>1.0999130845598143E-3</v>
      </c>
      <c r="X115" s="219">
        <f>'IVOL (Q2)'!$G$12/10000</f>
        <v>7.8470904109589033E-3</v>
      </c>
      <c r="Y115" s="220">
        <f>Y114</f>
        <v>2.5000000000000001E-2</v>
      </c>
      <c r="Z115" s="227">
        <f>G115</f>
        <v>1.9277777777777778</v>
      </c>
      <c r="AA115" s="217">
        <f>($N115-Y115)/(X115*Z115^0.5)</f>
        <v>-2.6874123032862669</v>
      </c>
      <c r="AB115" s="227">
        <f>_xlfn.NORM.DIST(AA115,0,1,TRUE)</f>
        <v>3.6004004035899593E-3</v>
      </c>
      <c r="AC115" s="227">
        <f>_xlfn.NORM.DIST(AA115,0,1,FALSE)</f>
        <v>1.0780342123491134E-2</v>
      </c>
      <c r="AD115" s="218">
        <f>(($N115-Y115)*AB115+X115*Z115^0.5*AC115)*$O115</f>
        <v>6.1510653293687052E-6</v>
      </c>
      <c r="AE115" s="221">
        <f t="shared" si="80"/>
        <v>6.2048731303415558E-3</v>
      </c>
      <c r="AF115" s="204">
        <f t="shared" si="81"/>
        <v>1.0048494766914449</v>
      </c>
      <c r="AG115" s="222">
        <f t="shared" si="82"/>
        <v>6.2349635179605196E-3</v>
      </c>
      <c r="AH115" s="223">
        <f t="shared" si="83"/>
        <v>0.93623801124854633</v>
      </c>
      <c r="AI115" s="224">
        <v>0.4</v>
      </c>
      <c r="AJ115" s="225">
        <f t="shared" si="84"/>
        <v>5.8092380796005202E-3</v>
      </c>
      <c r="AK115" s="222">
        <f t="shared" si="85"/>
        <v>5.8374098442625965E-3</v>
      </c>
      <c r="AL115" s="222">
        <f>(AH114-AH115)*AI115</f>
        <v>6.0656255863190019E-3</v>
      </c>
      <c r="AM115" s="200">
        <f t="shared" si="86"/>
        <v>6.0950406962188876E-3</v>
      </c>
    </row>
    <row r="116" spans="1:39">
      <c r="A116" s="142">
        <f t="shared" si="71"/>
        <v>13</v>
      </c>
      <c r="B116" s="101">
        <f t="shared" si="71"/>
        <v>44565</v>
      </c>
      <c r="C116" s="178">
        <f t="shared" si="71"/>
        <v>44567</v>
      </c>
      <c r="D116" s="178">
        <f t="shared" si="71"/>
        <v>44748</v>
      </c>
      <c r="E116" s="142">
        <f t="shared" si="71"/>
        <v>875</v>
      </c>
      <c r="F116" s="142">
        <f t="shared" si="71"/>
        <v>181</v>
      </c>
      <c r="G116" s="103">
        <f t="shared" si="71"/>
        <v>2.4305555555555554</v>
      </c>
      <c r="H116" s="104">
        <f t="shared" si="72"/>
        <v>1.0085767152016145</v>
      </c>
      <c r="I116" s="100">
        <f t="shared" si="73"/>
        <v>-3.5136593022516661E-3</v>
      </c>
      <c r="J116" s="217">
        <f t="shared" si="74"/>
        <v>7.5396825396825359E-4</v>
      </c>
      <c r="K116" s="236">
        <f t="shared" si="75"/>
        <v>-2.7596910482834127E-3</v>
      </c>
      <c r="L116" s="204">
        <f t="shared" si="76"/>
        <v>1.0067301286219126</v>
      </c>
      <c r="M116" s="103">
        <f t="shared" si="77"/>
        <v>0.50277777777777777</v>
      </c>
      <c r="N116" s="213">
        <f>(L115/L116-1)/M116</f>
        <v>-3.715517267513522E-3</v>
      </c>
      <c r="O116" s="214">
        <f t="shared" si="78"/>
        <v>0.50277777777777777</v>
      </c>
      <c r="P116" s="215">
        <f t="shared" si="79"/>
        <v>5.0277777777777777E-3</v>
      </c>
      <c r="Q116" s="226">
        <f>'IVOL (Q2)'!$G$7/10000</f>
        <v>3.1932054794520546E-3</v>
      </c>
      <c r="R116" s="217">
        <f>R115</f>
        <v>-5.0000000000000001E-3</v>
      </c>
      <c r="S116" s="227">
        <f>G116</f>
        <v>2.4305555555555554</v>
      </c>
      <c r="T116" s="217">
        <f>(N116-R116)/(Q116*S116^0.5)</f>
        <v>0.25801718242696381</v>
      </c>
      <c r="U116" s="227">
        <f>_xlfn.NORM.DIST(T116,0,1,TRUE)</f>
        <v>0.60180317678299067</v>
      </c>
      <c r="V116" s="227">
        <f>_xlfn.NORM.DIST(T116,0,1,FALSE)</f>
        <v>0.38588149423109774</v>
      </c>
      <c r="W116" s="218">
        <f>((N116-R116)*U116+Q116*S116^0.5*V116)*O116</f>
        <v>1.3545000960128695E-3</v>
      </c>
      <c r="X116" s="219">
        <f>'IVOL (Q2)'!$G$12/10000</f>
        <v>7.8470904109589033E-3</v>
      </c>
      <c r="Y116" s="220">
        <f>Y115</f>
        <v>2.5000000000000001E-2</v>
      </c>
      <c r="Z116" s="227">
        <f>G116</f>
        <v>2.4305555555555554</v>
      </c>
      <c r="AA116" s="217">
        <f>($N116-Y116)/(X116*Z116^0.5)</f>
        <v>-2.3472276439242954</v>
      </c>
      <c r="AB116" s="227">
        <f>_xlfn.NORM.DIST(AA116,0,1,TRUE)</f>
        <v>9.4568475712050494E-3</v>
      </c>
      <c r="AC116" s="227">
        <f>_xlfn.NORM.DIST(AA116,0,1,FALSE)</f>
        <v>2.5382956365792193E-2</v>
      </c>
      <c r="AD116" s="218">
        <f>(($N116-Y116)*AB116+X116*Z116^0.5*AC116)*$O116</f>
        <v>1.9594145979809311E-5</v>
      </c>
      <c r="AE116" s="221">
        <f t="shared" si="80"/>
        <v>6.3626837278108377E-3</v>
      </c>
      <c r="AF116" s="204">
        <f t="shared" si="81"/>
        <v>1.0067301286219126</v>
      </c>
      <c r="AG116" s="222">
        <f t="shared" si="82"/>
        <v>6.4055054076795548E-3</v>
      </c>
      <c r="AH116" s="223">
        <f t="shared" si="83"/>
        <v>0.92122206757255554</v>
      </c>
      <c r="AI116" s="224">
        <v>0.4</v>
      </c>
      <c r="AJ116" s="225">
        <f t="shared" si="84"/>
        <v>5.8614446590441547E-3</v>
      </c>
      <c r="AK116" s="222">
        <f t="shared" si="85"/>
        <v>5.9008929355097448E-3</v>
      </c>
      <c r="AL116" s="222">
        <f>(AH115-AH116)*AI116</f>
        <v>6.0063774703963185E-3</v>
      </c>
      <c r="AM116" s="200">
        <f t="shared" si="86"/>
        <v>6.0468011633238433E-3</v>
      </c>
    </row>
    <row r="117" spans="1:39">
      <c r="A117" s="228">
        <f t="shared" si="71"/>
        <v>14</v>
      </c>
      <c r="B117" s="101">
        <f t="shared" si="71"/>
        <v>44746</v>
      </c>
      <c r="C117" s="178">
        <f t="shared" si="71"/>
        <v>44748</v>
      </c>
      <c r="D117" s="178">
        <f t="shared" si="71"/>
        <v>44932</v>
      </c>
      <c r="E117" s="142">
        <f t="shared" si="71"/>
        <v>1059</v>
      </c>
      <c r="F117" s="142">
        <f t="shared" si="71"/>
        <v>184</v>
      </c>
      <c r="G117" s="103">
        <f t="shared" si="71"/>
        <v>2.9416666666666669</v>
      </c>
      <c r="H117" s="104">
        <f t="shared" si="72"/>
        <v>1.0100232322367353</v>
      </c>
      <c r="I117" s="100">
        <f t="shared" si="73"/>
        <v>-3.3903680917429795E-3</v>
      </c>
      <c r="J117" s="217">
        <f t="shared" si="74"/>
        <v>4.6190476190476125E-4</v>
      </c>
      <c r="K117" s="236">
        <f t="shared" si="75"/>
        <v>-2.9284633298382184E-3</v>
      </c>
      <c r="L117" s="204">
        <f t="shared" si="76"/>
        <v>1.0086517750881012</v>
      </c>
      <c r="M117" s="103">
        <f t="shared" si="77"/>
        <v>0.51111111111111107</v>
      </c>
      <c r="N117" s="213">
        <f>(L116/L117-1)/M117</f>
        <v>-3.7274936493249321E-3</v>
      </c>
      <c r="O117" s="214">
        <f t="shared" si="78"/>
        <v>0.51111111111111107</v>
      </c>
      <c r="P117" s="215">
        <f t="shared" si="79"/>
        <v>5.1111111111111105E-3</v>
      </c>
      <c r="Q117" s="226">
        <f>'IVOL (Q2)'!$G$7/10000</f>
        <v>3.1932054794520546E-3</v>
      </c>
      <c r="R117" s="217">
        <f>R116</f>
        <v>-5.0000000000000001E-3</v>
      </c>
      <c r="S117" s="227">
        <f>G117</f>
        <v>2.9416666666666669</v>
      </c>
      <c r="T117" s="217">
        <f>(N117-R117)/(Q117*S117^0.5)</f>
        <v>0.23234662206209411</v>
      </c>
      <c r="U117" s="227">
        <f>_xlfn.NORM.DIST(T117,0,1,TRUE)</f>
        <v>0.59186559805910788</v>
      </c>
      <c r="V117" s="227">
        <f>_xlfn.NORM.DIST(T117,0,1,FALSE)</f>
        <v>0.38831787488863334</v>
      </c>
      <c r="W117" s="218">
        <f>((N117-R117)*U117+Q117*S117^0.5*V117)*O117</f>
        <v>1.4719366102553717E-3</v>
      </c>
      <c r="X117" s="219">
        <f>'IVOL (Q2)'!$G$12/10000</f>
        <v>7.8470904109589033E-3</v>
      </c>
      <c r="Y117" s="220">
        <f>Y116</f>
        <v>2.5000000000000001E-2</v>
      </c>
      <c r="Z117" s="227">
        <f>G117</f>
        <v>2.9416666666666669</v>
      </c>
      <c r="AA117" s="217">
        <f>($N117-Y117)/(X117*Z117^0.5)</f>
        <v>-2.1344812847653323</v>
      </c>
      <c r="AB117" s="227">
        <f>_xlfn.NORM.DIST(AA117,0,1,TRUE)</f>
        <v>1.6401702020331931E-2</v>
      </c>
      <c r="AC117" s="227">
        <f>_xlfn.NORM.DIST(AA117,0,1,FALSE)</f>
        <v>4.0886975637784609E-2</v>
      </c>
      <c r="AD117" s="218">
        <f>(($N117-Y117)*AB117+X117*Z117^0.5*AC117)*$O117</f>
        <v>4.0433299280363157E-5</v>
      </c>
      <c r="AE117" s="221">
        <f t="shared" si="80"/>
        <v>6.5426144220861191E-3</v>
      </c>
      <c r="AF117" s="204">
        <f t="shared" si="81"/>
        <v>1.0086517750881012</v>
      </c>
      <c r="AG117" s="222">
        <f t="shared" si="82"/>
        <v>6.5992196505541756E-3</v>
      </c>
      <c r="AH117" s="223">
        <f t="shared" si="83"/>
        <v>0.90634157536390114</v>
      </c>
      <c r="AI117" s="224">
        <v>0.4</v>
      </c>
      <c r="AJ117" s="225">
        <f t="shared" si="84"/>
        <v>5.9298434623121128E-3</v>
      </c>
      <c r="AK117" s="222">
        <f t="shared" si="85"/>
        <v>5.9811471342556847E-3</v>
      </c>
      <c r="AL117" s="222">
        <f>(AH116-AH117)*AI117</f>
        <v>5.9521968834617585E-3</v>
      </c>
      <c r="AM117" s="200">
        <f t="shared" si="86"/>
        <v>6.0036939521775669E-3</v>
      </c>
    </row>
  </sheetData>
  <mergeCells count="46">
    <mergeCell ref="A1:C2"/>
    <mergeCell ref="A26:N26"/>
    <mergeCell ref="A44:E44"/>
    <mergeCell ref="E2:F2"/>
    <mergeCell ref="H2:I2"/>
    <mergeCell ref="K2:L2"/>
    <mergeCell ref="N2:O2"/>
    <mergeCell ref="E3:F3"/>
    <mergeCell ref="E13:F13"/>
    <mergeCell ref="Q2:R2"/>
    <mergeCell ref="N70:T70"/>
    <mergeCell ref="AE70:AJ70"/>
    <mergeCell ref="X100:AD100"/>
    <mergeCell ref="AH100:AM100"/>
    <mergeCell ref="N3:O3"/>
    <mergeCell ref="N13:O13"/>
    <mergeCell ref="N80:T80"/>
    <mergeCell ref="Q90:W90"/>
    <mergeCell ref="Q100:W100"/>
    <mergeCell ref="AH110:AM110"/>
    <mergeCell ref="H3:I3"/>
    <mergeCell ref="H13:I13"/>
    <mergeCell ref="K3:L3"/>
    <mergeCell ref="K13:L13"/>
    <mergeCell ref="Q3:R3"/>
    <mergeCell ref="Q13:R13"/>
    <mergeCell ref="U70:AA70"/>
    <mergeCell ref="U80:AA80"/>
    <mergeCell ref="X90:AD90"/>
    <mergeCell ref="X110:AD110"/>
    <mergeCell ref="AE80:AJ80"/>
    <mergeCell ref="AH90:AM90"/>
    <mergeCell ref="A110:H110"/>
    <mergeCell ref="Q110:W110"/>
    <mergeCell ref="A99:B99"/>
    <mergeCell ref="A79:B79"/>
    <mergeCell ref="A89:B89"/>
    <mergeCell ref="A58:B58"/>
    <mergeCell ref="A15:A17"/>
    <mergeCell ref="A109:B109"/>
    <mergeCell ref="A80:H80"/>
    <mergeCell ref="A70:H70"/>
    <mergeCell ref="A60:E60"/>
    <mergeCell ref="A69:B69"/>
    <mergeCell ref="A90:H90"/>
    <mergeCell ref="A100:H100"/>
  </mergeCells>
  <phoneticPr fontId="2" type="noConversion"/>
  <pageMargins left="0.7" right="0.7" top="0.75" bottom="0.75" header="0.3" footer="0.3"/>
  <pageSetup scale="17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8BB4E-D241-4780-8D63-0855DA5CB8F3}">
  <sheetPr codeName="Sheet13">
    <pageSetUpPr fitToPage="1"/>
  </sheetPr>
  <dimension ref="A1:Z187"/>
  <sheetViews>
    <sheetView topLeftCell="A14" zoomScale="61" zoomScaleNormal="70" workbookViewId="0">
      <selection activeCell="G23" sqref="G23"/>
    </sheetView>
  </sheetViews>
  <sheetFormatPr defaultRowHeight="14.5"/>
  <cols>
    <col min="1" max="1" width="19.81640625" style="90" bestFit="1" customWidth="1"/>
    <col min="2" max="2" width="18.1796875" style="90" bestFit="1" customWidth="1"/>
    <col min="3" max="3" width="12.6328125" style="90" customWidth="1"/>
    <col min="4" max="4" width="15.90625" style="90" bestFit="1" customWidth="1"/>
    <col min="5" max="5" width="21.453125" style="90" customWidth="1"/>
    <col min="6" max="6" width="12.54296875" style="90" customWidth="1"/>
    <col min="7" max="7" width="20.1796875" style="90" bestFit="1" customWidth="1"/>
    <col min="8" max="8" width="17.81640625" style="90" bestFit="1" customWidth="1"/>
    <col min="9" max="9" width="21.08984375" style="90" bestFit="1" customWidth="1"/>
    <col min="10" max="10" width="15.54296875" style="90" bestFit="1" customWidth="1"/>
    <col min="11" max="11" width="17.81640625" style="90" bestFit="1" customWidth="1"/>
    <col min="12" max="12" width="18.453125" style="90" bestFit="1" customWidth="1"/>
    <col min="13" max="13" width="13.36328125" style="90" customWidth="1"/>
    <col min="14" max="14" width="17.81640625" style="90" bestFit="1" customWidth="1"/>
    <col min="15" max="15" width="14.90625" style="90" bestFit="1" customWidth="1"/>
    <col min="16" max="16" width="20.453125" style="90" bestFit="1" customWidth="1"/>
    <col min="17" max="17" width="16" style="90" bestFit="1" customWidth="1"/>
    <col min="18" max="18" width="15.6328125" style="90" bestFit="1" customWidth="1"/>
    <col min="19" max="19" width="20.453125" style="90" bestFit="1" customWidth="1"/>
    <col min="20" max="20" width="14.36328125" style="90" bestFit="1" customWidth="1"/>
    <col min="21" max="23" width="10.90625" style="90" customWidth="1"/>
    <col min="24" max="24" width="16.81640625" style="90" bestFit="1" customWidth="1"/>
    <col min="25" max="25" width="10.90625" customWidth="1"/>
    <col min="26" max="26" width="12.36328125" bestFit="1" customWidth="1"/>
    <col min="27" max="27" width="16" bestFit="1" customWidth="1"/>
    <col min="28" max="28" width="12" customWidth="1"/>
    <col min="29" max="29" width="15.453125" bestFit="1" customWidth="1"/>
  </cols>
  <sheetData>
    <row r="1" spans="1:24" ht="14.5" customHeight="1" thickBot="1">
      <c r="A1" s="304" t="s">
        <v>449</v>
      </c>
      <c r="B1" s="304"/>
      <c r="C1" s="304"/>
    </row>
    <row r="2" spans="1:24" ht="15" customHeight="1" thickBot="1">
      <c r="A2" s="305"/>
      <c r="B2" s="305"/>
      <c r="C2" s="305"/>
      <c r="E2" s="321" t="s">
        <v>461</v>
      </c>
      <c r="F2" s="322"/>
      <c r="H2" s="321" t="s">
        <v>464</v>
      </c>
      <c r="I2" s="322"/>
      <c r="K2" s="321" t="s">
        <v>463</v>
      </c>
      <c r="L2" s="322"/>
      <c r="N2" s="321" t="s">
        <v>462</v>
      </c>
      <c r="O2" s="322"/>
    </row>
    <row r="3" spans="1:24" ht="15" thickBot="1">
      <c r="A3" s="92" t="s">
        <v>310</v>
      </c>
      <c r="B3" s="92"/>
      <c r="C3" s="92"/>
      <c r="E3" s="319" t="s">
        <v>428</v>
      </c>
      <c r="F3" s="320"/>
      <c r="H3" s="319" t="s">
        <v>428</v>
      </c>
      <c r="I3" s="320"/>
      <c r="K3" s="319" t="s">
        <v>428</v>
      </c>
      <c r="L3" s="320"/>
      <c r="N3" s="319" t="s">
        <v>428</v>
      </c>
      <c r="O3" s="320"/>
      <c r="R3" s="139"/>
      <c r="S3" s="140" t="s">
        <v>468</v>
      </c>
      <c r="T3" s="141"/>
      <c r="V3" s="139"/>
      <c r="W3" s="140" t="s">
        <v>470</v>
      </c>
      <c r="X3" s="141"/>
    </row>
    <row r="4" spans="1:24" ht="15" thickBot="1">
      <c r="A4" s="142" t="s">
        <v>1</v>
      </c>
      <c r="B4" s="142" t="s">
        <v>448</v>
      </c>
      <c r="C4" s="142"/>
      <c r="E4" s="143"/>
      <c r="F4" s="258" t="s">
        <v>438</v>
      </c>
      <c r="H4" s="143"/>
      <c r="I4" s="258" t="s">
        <v>438</v>
      </c>
      <c r="K4" s="143"/>
      <c r="L4" s="258" t="s">
        <v>438</v>
      </c>
      <c r="N4" s="143"/>
      <c r="O4" s="258" t="s">
        <v>438</v>
      </c>
      <c r="R4" s="145"/>
      <c r="S4" s="117" t="s">
        <v>459</v>
      </c>
      <c r="T4" s="146"/>
      <c r="V4" s="145"/>
      <c r="W4" s="117" t="s">
        <v>459</v>
      </c>
      <c r="X4" s="146"/>
    </row>
    <row r="5" spans="1:24">
      <c r="A5" s="142" t="s">
        <v>3</v>
      </c>
      <c r="B5" s="147">
        <v>41771</v>
      </c>
      <c r="C5" s="148" t="str">
        <f>VLOOKUP(WEEKDAY(B5),Auxiliar!$A$1:$B$7,2)</f>
        <v>Monday</v>
      </c>
      <c r="E5" s="149" t="s">
        <v>429</v>
      </c>
      <c r="F5" s="150">
        <f>SUM($M$116:$M$130)</f>
        <v>0.22716216875775774</v>
      </c>
      <c r="H5" s="149" t="s">
        <v>429</v>
      </c>
      <c r="I5" s="150">
        <f>SUM($O$135:$O$149)</f>
        <v>0.22707682952486991</v>
      </c>
      <c r="K5" s="149" t="s">
        <v>429</v>
      </c>
      <c r="L5" s="150">
        <f>SUM($O$154:$O$168)</f>
        <v>0.22724755064925511</v>
      </c>
      <c r="N5" s="149" t="s">
        <v>429</v>
      </c>
      <c r="O5" s="150">
        <f>SUM($O$173:$O$187)</f>
        <v>0.22777455199767144</v>
      </c>
      <c r="R5" s="151">
        <v>1E-3</v>
      </c>
      <c r="S5" s="259">
        <f>I8</f>
        <v>1237.9802969749514</v>
      </c>
      <c r="T5" s="153"/>
      <c r="V5" s="151">
        <v>2E-3</v>
      </c>
      <c r="W5" s="152">
        <f>O8</f>
        <v>1254.1867856450397</v>
      </c>
      <c r="X5" s="153"/>
    </row>
    <row r="6" spans="1:24">
      <c r="A6" s="142" t="s">
        <v>4</v>
      </c>
      <c r="B6" s="147">
        <v>41771</v>
      </c>
      <c r="C6" s="148" t="str">
        <f>VLOOKUP(WEEKDAY(B6),Auxiliar!$A$1:$B$7,2)</f>
        <v>Monday</v>
      </c>
      <c r="E6" s="149" t="s">
        <v>25</v>
      </c>
      <c r="F6" s="154">
        <f>$G$130</f>
        <v>1.0116366382062674</v>
      </c>
      <c r="H6" s="149" t="s">
        <v>25</v>
      </c>
      <c r="I6" s="154">
        <f>$N$149</f>
        <v>1.0109034674500814</v>
      </c>
      <c r="K6" s="149" t="s">
        <v>25</v>
      </c>
      <c r="L6" s="154">
        <f>$N$168</f>
        <v>1.0123703407039846</v>
      </c>
      <c r="N6" s="149" t="s">
        <v>25</v>
      </c>
      <c r="O6" s="154">
        <f>$N$187</f>
        <v>1.0264122336473682</v>
      </c>
      <c r="R6" s="151">
        <v>0</v>
      </c>
      <c r="S6" s="259">
        <f>F8</f>
        <v>1238.7988069640251</v>
      </c>
      <c r="T6" s="155"/>
      <c r="V6" s="151">
        <v>0</v>
      </c>
      <c r="W6" s="152">
        <f>F8</f>
        <v>1238.7988069640251</v>
      </c>
      <c r="X6" s="155"/>
    </row>
    <row r="7" spans="1:24" ht="15" thickBot="1">
      <c r="A7" s="142" t="s">
        <v>30</v>
      </c>
      <c r="B7" s="147">
        <v>46519</v>
      </c>
      <c r="C7" s="148" t="str">
        <f>VLOOKUP(WEEKDAY(B7),Auxiliar!$A$1:$B$7,2)</f>
        <v>Wednesday</v>
      </c>
      <c r="E7" s="156" t="s">
        <v>430</v>
      </c>
      <c r="F7" s="157">
        <f>F5+F6</f>
        <v>1.238798806964025</v>
      </c>
      <c r="H7" s="156" t="s">
        <v>430</v>
      </c>
      <c r="I7" s="157">
        <f>I5+I6</f>
        <v>1.2379802969749514</v>
      </c>
      <c r="K7" s="156" t="s">
        <v>430</v>
      </c>
      <c r="L7" s="157">
        <f>L5+L6</f>
        <v>1.2396178913532396</v>
      </c>
      <c r="N7" s="156" t="s">
        <v>430</v>
      </c>
      <c r="O7" s="157">
        <f>O5+O6</f>
        <v>1.2541867856450397</v>
      </c>
      <c r="R7" s="151" t="s">
        <v>471</v>
      </c>
      <c r="S7" s="259">
        <f>S6-S5</f>
        <v>0.81850998907361827</v>
      </c>
      <c r="T7" s="155"/>
      <c r="V7" s="151" t="s">
        <v>471</v>
      </c>
      <c r="W7" s="152">
        <f>W6-W5</f>
        <v>-15.387978681014602</v>
      </c>
      <c r="X7" s="155"/>
    </row>
    <row r="8" spans="1:24" ht="15" thickBot="1">
      <c r="A8" s="142" t="s">
        <v>21</v>
      </c>
      <c r="B8" s="142" t="s">
        <v>451</v>
      </c>
      <c r="C8" s="142"/>
      <c r="E8" s="158" t="s">
        <v>441</v>
      </c>
      <c r="F8" s="159">
        <f>F7*$B$12</f>
        <v>1238.7988069640251</v>
      </c>
      <c r="H8" s="158" t="s">
        <v>441</v>
      </c>
      <c r="I8" s="159">
        <f>I7*$B$12</f>
        <v>1237.9802969749514</v>
      </c>
      <c r="K8" s="158" t="s">
        <v>441</v>
      </c>
      <c r="L8" s="159">
        <f>L7*$B$12</f>
        <v>1239.6178913532397</v>
      </c>
      <c r="N8" s="158" t="s">
        <v>441</v>
      </c>
      <c r="O8" s="159">
        <f>O7*$B$12</f>
        <v>1254.1867856450397</v>
      </c>
    </row>
    <row r="9" spans="1:24">
      <c r="A9" s="142" t="s">
        <v>23</v>
      </c>
      <c r="B9" s="142" t="s">
        <v>22</v>
      </c>
      <c r="C9" s="142"/>
      <c r="E9" s="149" t="s">
        <v>431</v>
      </c>
      <c r="F9" s="150">
        <f>$K$116</f>
        <v>1.4999999999999999E-2</v>
      </c>
      <c r="H9" s="149" t="s">
        <v>431</v>
      </c>
      <c r="I9" s="150">
        <f>$M$135</f>
        <v>1.4999999999999999E-2</v>
      </c>
      <c r="K9" s="149" t="s">
        <v>431</v>
      </c>
      <c r="L9" s="150">
        <f>$M$154</f>
        <v>1.4999999999999999E-2</v>
      </c>
      <c r="N9" s="149" t="s">
        <v>431</v>
      </c>
      <c r="O9" s="150">
        <f>$M$173</f>
        <v>1.4999999999999999E-2</v>
      </c>
    </row>
    <row r="10" spans="1:24">
      <c r="A10" s="142" t="s">
        <v>31</v>
      </c>
      <c r="B10" s="90" t="s">
        <v>24</v>
      </c>
      <c r="E10" s="149" t="s">
        <v>432</v>
      </c>
      <c r="F10" s="150">
        <f>F9*(($E$116-$D$116)/$E$116)</f>
        <v>7.4999999999999997E-3</v>
      </c>
      <c r="H10" s="149" t="s">
        <v>432</v>
      </c>
      <c r="I10" s="150">
        <f>I9*(($E$116-$D$116)/$E$116)</f>
        <v>7.4999999999999997E-3</v>
      </c>
      <c r="J10" s="101"/>
      <c r="K10" s="149" t="s">
        <v>432</v>
      </c>
      <c r="L10" s="150">
        <f>L9*(($E$116-$D$116)/$E$116)</f>
        <v>7.4999999999999997E-3</v>
      </c>
      <c r="N10" s="149" t="s">
        <v>432</v>
      </c>
      <c r="O10" s="150">
        <f>O9*(($E$116-$D$116)/$E$116)</f>
        <v>7.4999999999999997E-3</v>
      </c>
    </row>
    <row r="11" spans="1:24" ht="15" thickBot="1">
      <c r="A11" s="142" t="s">
        <v>450</v>
      </c>
      <c r="B11" s="260">
        <v>0.03</v>
      </c>
      <c r="E11" s="156" t="s">
        <v>440</v>
      </c>
      <c r="F11" s="157">
        <f>F7-F10</f>
        <v>1.2312988069640249</v>
      </c>
      <c r="H11" s="156" t="s">
        <v>440</v>
      </c>
      <c r="I11" s="157">
        <f>I7-I10</f>
        <v>1.2304802969749513</v>
      </c>
      <c r="J11" s="101"/>
      <c r="K11" s="156" t="s">
        <v>440</v>
      </c>
      <c r="L11" s="157">
        <f>L7-L10</f>
        <v>1.2321178913532396</v>
      </c>
      <c r="N11" s="156" t="s">
        <v>440</v>
      </c>
      <c r="O11" s="157">
        <f>O7-O10</f>
        <v>1.2466867856450397</v>
      </c>
    </row>
    <row r="12" spans="1:24" ht="15" thickBot="1">
      <c r="A12" s="142" t="s">
        <v>25</v>
      </c>
      <c r="B12" s="261">
        <v>1000</v>
      </c>
      <c r="E12" s="158" t="s">
        <v>446</v>
      </c>
      <c r="F12" s="159">
        <f>F11*$B$12</f>
        <v>1231.2988069640248</v>
      </c>
      <c r="H12" s="158" t="s">
        <v>446</v>
      </c>
      <c r="I12" s="159">
        <f>I11*$B$12</f>
        <v>1230.4802969749512</v>
      </c>
      <c r="K12" s="158" t="s">
        <v>446</v>
      </c>
      <c r="L12" s="159">
        <f>L11*$B$12</f>
        <v>1232.1178913532397</v>
      </c>
      <c r="N12" s="158" t="s">
        <v>446</v>
      </c>
      <c r="O12" s="159">
        <f>O11*$B$12</f>
        <v>1246.6867856450397</v>
      </c>
    </row>
    <row r="13" spans="1:24" ht="15" thickBot="1">
      <c r="A13" s="168" t="s">
        <v>297</v>
      </c>
      <c r="B13" s="147">
        <v>43873</v>
      </c>
      <c r="E13" s="319" t="s">
        <v>433</v>
      </c>
      <c r="F13" s="320"/>
      <c r="H13" s="319" t="s">
        <v>433</v>
      </c>
      <c r="I13" s="320"/>
      <c r="K13" s="319" t="s">
        <v>433</v>
      </c>
      <c r="L13" s="320"/>
      <c r="N13" s="319" t="s">
        <v>433</v>
      </c>
      <c r="O13" s="320"/>
    </row>
    <row r="14" spans="1:24">
      <c r="A14" s="168" t="s">
        <v>393</v>
      </c>
      <c r="B14" s="170">
        <v>0.4</v>
      </c>
      <c r="E14" s="149"/>
      <c r="F14" s="162" t="s">
        <v>438</v>
      </c>
      <c r="H14" s="149"/>
      <c r="I14" s="162" t="s">
        <v>438</v>
      </c>
      <c r="K14" s="149"/>
      <c r="L14" s="162" t="s">
        <v>438</v>
      </c>
      <c r="N14" s="149"/>
      <c r="O14" s="162" t="s">
        <v>438</v>
      </c>
    </row>
    <row r="15" spans="1:24">
      <c r="A15" s="262"/>
      <c r="B15" s="137"/>
      <c r="C15" s="164"/>
      <c r="E15" s="149" t="s">
        <v>434</v>
      </c>
      <c r="F15" s="165">
        <f>SUM($Q$116:$Q$130)</f>
        <v>0.2010382707637787</v>
      </c>
      <c r="H15" s="149" t="s">
        <v>434</v>
      </c>
      <c r="I15" s="165">
        <f>SUM($S$135:$S$149)</f>
        <v>0.20096575376420756</v>
      </c>
      <c r="J15" s="166"/>
      <c r="K15" s="149" t="s">
        <v>434</v>
      </c>
      <c r="L15" s="165">
        <f>SUM($S$154:$S$168)</f>
        <v>0.20111082327662505</v>
      </c>
      <c r="N15" s="149" t="s">
        <v>434</v>
      </c>
      <c r="O15" s="165">
        <f>SUM($S$173:$S$187)</f>
        <v>0.20151643723911986</v>
      </c>
    </row>
    <row r="16" spans="1:24">
      <c r="A16" s="262"/>
      <c r="E16" s="149" t="s">
        <v>435</v>
      </c>
      <c r="F16" s="167">
        <f>$G$130*$N$130</f>
        <v>0.79837720966246517</v>
      </c>
      <c r="H16" s="149" t="s">
        <v>435</v>
      </c>
      <c r="I16" s="167">
        <f>$N$149*$P$149</f>
        <v>0.79779859595827218</v>
      </c>
      <c r="K16" s="149" t="s">
        <v>435</v>
      </c>
      <c r="L16" s="167">
        <f>$N$168*$P$168</f>
        <v>0.79895624301369728</v>
      </c>
      <c r="N16" s="149" t="s">
        <v>435</v>
      </c>
      <c r="O16" s="167">
        <f>$N$187*$P$187</f>
        <v>0.81003801574031131</v>
      </c>
    </row>
    <row r="17" spans="1:15">
      <c r="A17" s="262"/>
      <c r="B17" s="137"/>
      <c r="C17" s="164"/>
      <c r="E17" s="149" t="s">
        <v>436</v>
      </c>
      <c r="F17" s="165">
        <f>SUM($S$116:$S$130)</f>
        <v>8.5125007790341989E-2</v>
      </c>
      <c r="H17" s="149" t="s">
        <v>436</v>
      </c>
      <c r="I17" s="165">
        <f>SUM($U$135:$U$149)</f>
        <v>8.5093740892039388E-2</v>
      </c>
      <c r="K17" s="149" t="s">
        <v>436</v>
      </c>
      <c r="L17" s="165">
        <f>SUM($U$154:$U$168)</f>
        <v>8.5156290010840213E-2</v>
      </c>
      <c r="N17" s="149" t="s">
        <v>436</v>
      </c>
      <c r="O17" s="165">
        <f>SUM($U$173:$U$187)</f>
        <v>8.5331752273965486E-2</v>
      </c>
    </row>
    <row r="18" spans="1:15" ht="15" thickBot="1">
      <c r="E18" s="156" t="s">
        <v>430</v>
      </c>
      <c r="F18" s="169">
        <f>SUM(F15:F17)</f>
        <v>1.0845404882165859</v>
      </c>
      <c r="H18" s="156" t="s">
        <v>430</v>
      </c>
      <c r="I18" s="169">
        <f>SUM(I15:I17)</f>
        <v>1.0838580906145192</v>
      </c>
      <c r="K18" s="156" t="s">
        <v>430</v>
      </c>
      <c r="L18" s="169">
        <f>SUM(L15:L17)</f>
        <v>1.0852233563011626</v>
      </c>
      <c r="N18" s="156" t="s">
        <v>430</v>
      </c>
      <c r="O18" s="169">
        <f>SUM(O15:O17)</f>
        <v>1.0968862052533965</v>
      </c>
    </row>
    <row r="19" spans="1:15" ht="15" thickBot="1">
      <c r="E19" s="158" t="s">
        <v>441</v>
      </c>
      <c r="F19" s="159">
        <f>F18*$B$12</f>
        <v>1084.5404882165858</v>
      </c>
      <c r="H19" s="158" t="s">
        <v>441</v>
      </c>
      <c r="I19" s="159">
        <f>I18*$B$12</f>
        <v>1083.8580906145191</v>
      </c>
      <c r="K19" s="158" t="s">
        <v>441</v>
      </c>
      <c r="L19" s="159">
        <f>L18*$B$12</f>
        <v>1085.2233563011625</v>
      </c>
      <c r="N19" s="158" t="s">
        <v>441</v>
      </c>
      <c r="O19" s="159">
        <f>O18*$B$12</f>
        <v>1096.8862052533966</v>
      </c>
    </row>
    <row r="20" spans="1:15">
      <c r="E20" s="171" t="s">
        <v>437</v>
      </c>
      <c r="F20" s="172">
        <f>F7-F18</f>
        <v>0.15425831874743912</v>
      </c>
      <c r="H20" s="171" t="s">
        <v>437</v>
      </c>
      <c r="I20" s="172">
        <f>I7-I18</f>
        <v>0.15412220636043217</v>
      </c>
      <c r="K20" s="171" t="s">
        <v>437</v>
      </c>
      <c r="L20" s="172">
        <f>L7-L18</f>
        <v>0.15439453505207701</v>
      </c>
      <c r="N20" s="171" t="s">
        <v>437</v>
      </c>
      <c r="O20" s="172">
        <f>O7-O18</f>
        <v>0.15730058039164319</v>
      </c>
    </row>
    <row r="21" spans="1:15" ht="15" thickBot="1">
      <c r="E21" s="173" t="s">
        <v>447</v>
      </c>
      <c r="F21" s="174">
        <f>F20*$B$12</f>
        <v>154.25831874743912</v>
      </c>
      <c r="H21" s="173" t="s">
        <v>447</v>
      </c>
      <c r="I21" s="174">
        <f>I20*$B$12</f>
        <v>154.12220636043216</v>
      </c>
      <c r="K21" s="173" t="s">
        <v>447</v>
      </c>
      <c r="L21" s="174">
        <f>L20*$B$12</f>
        <v>154.394535052077</v>
      </c>
      <c r="N21" s="173" t="s">
        <v>447</v>
      </c>
      <c r="O21" s="174">
        <f>O20*$B$12</f>
        <v>157.30058039164319</v>
      </c>
    </row>
    <row r="22" spans="1:15" ht="15" thickBot="1">
      <c r="E22" s="158" t="s">
        <v>446</v>
      </c>
      <c r="F22" s="159">
        <f>(F18-F10)*$B$12</f>
        <v>1077.0404882165858</v>
      </c>
      <c r="H22" s="158" t="s">
        <v>446</v>
      </c>
      <c r="I22" s="159">
        <f>(I18-I10)*$B$12</f>
        <v>1076.3580906145191</v>
      </c>
      <c r="K22" s="158" t="s">
        <v>446</v>
      </c>
      <c r="L22" s="159">
        <f>(L18-L10)*$B$12</f>
        <v>1077.7233563011625</v>
      </c>
      <c r="N22" s="158" t="s">
        <v>446</v>
      </c>
      <c r="O22" s="159">
        <f>(O18-O10)*$B$12</f>
        <v>1089.3862052533964</v>
      </c>
    </row>
    <row r="23" spans="1:15">
      <c r="E23" s="175"/>
      <c r="F23" s="176"/>
    </row>
    <row r="24" spans="1:15">
      <c r="E24" s="175"/>
      <c r="F24" s="176"/>
    </row>
    <row r="25" spans="1:15" ht="15" thickBot="1">
      <c r="A25" s="177" t="s">
        <v>335</v>
      </c>
    </row>
    <row r="26" spans="1:15" ht="15" thickBot="1">
      <c r="A26" s="323" t="s">
        <v>324</v>
      </c>
      <c r="B26" s="323"/>
      <c r="C26" s="323"/>
      <c r="D26" s="323"/>
      <c r="E26" s="323"/>
      <c r="F26" s="323"/>
      <c r="G26" s="323"/>
      <c r="H26" s="323"/>
      <c r="I26" s="323"/>
      <c r="J26" s="323"/>
      <c r="K26" s="323"/>
      <c r="L26" s="323"/>
      <c r="M26"/>
      <c r="N26"/>
    </row>
    <row r="27" spans="1:15" ht="15" thickBot="1">
      <c r="A27" s="99" t="s">
        <v>323</v>
      </c>
      <c r="B27" s="99" t="s">
        <v>298</v>
      </c>
      <c r="C27" s="99" t="s">
        <v>32</v>
      </c>
      <c r="D27" s="99" t="s">
        <v>300</v>
      </c>
      <c r="E27" s="99" t="s">
        <v>32</v>
      </c>
      <c r="F27" s="99" t="s">
        <v>299</v>
      </c>
      <c r="G27" s="99" t="s">
        <v>301</v>
      </c>
      <c r="H27" s="99" t="s">
        <v>302</v>
      </c>
      <c r="I27" s="99" t="s">
        <v>303</v>
      </c>
      <c r="J27" s="99" t="s">
        <v>34</v>
      </c>
      <c r="K27" s="99" t="s">
        <v>308</v>
      </c>
      <c r="L27" s="99" t="s">
        <v>309</v>
      </c>
    </row>
    <row r="28" spans="1:15">
      <c r="A28" s="142">
        <v>1</v>
      </c>
      <c r="B28" s="178">
        <f>B6</f>
        <v>41771</v>
      </c>
      <c r="C28" s="142" t="str">
        <f>VLOOKUP(WEEKDAY(B28),Auxiliar!$A$1:$B$7,2)</f>
        <v>Monday</v>
      </c>
      <c r="D28" s="178">
        <f>EDATE(B28,6)</f>
        <v>41955</v>
      </c>
      <c r="E28" s="142" t="str">
        <f>VLOOKUP(WEEKDAY(D28),Auxiliar!$A$1:$B$7,2)</f>
        <v>Wednesday</v>
      </c>
      <c r="F28" s="147">
        <f>IF(C28="Saturday",B28+2,IF(C28="Sunday",B28+1,B28))</f>
        <v>41771</v>
      </c>
      <c r="G28" s="147">
        <f>IF(E28="Saturday",D28+2,IF(E28="Sunday",D28+1,D28))</f>
        <v>41955</v>
      </c>
      <c r="H28" s="142">
        <f>(360*(YEAR(G28)-YEAR(F28))+30*(MONTH(G28)-MONTH(F28))+DAY(G28)-DAY(F28))</f>
        <v>180</v>
      </c>
      <c r="I28" s="142">
        <f>H28</f>
        <v>180</v>
      </c>
      <c r="J28" s="179">
        <f>H28/360</f>
        <v>0.5</v>
      </c>
      <c r="K28" s="163">
        <f>$B$11</f>
        <v>0.03</v>
      </c>
      <c r="L28" s="182">
        <f t="shared" ref="L28:L38" si="0">K28*J28*$B$12</f>
        <v>15</v>
      </c>
    </row>
    <row r="29" spans="1:15">
      <c r="A29" s="142">
        <v>2</v>
      </c>
      <c r="B29" s="183">
        <f>EDATE(B28,6)</f>
        <v>41955</v>
      </c>
      <c r="C29" s="142" t="str">
        <f>VLOOKUP(WEEKDAY(B29),Auxiliar!$A$1:$B$7,2)</f>
        <v>Wednesday</v>
      </c>
      <c r="D29" s="183">
        <f>EDATE(D28,6)</f>
        <v>42136</v>
      </c>
      <c r="E29" s="142" t="str">
        <f>VLOOKUP(WEEKDAY(D29),Auxiliar!$A$1:$B$7,2)</f>
        <v>Tuesday</v>
      </c>
      <c r="F29" s="147">
        <f t="shared" ref="F29:F40" si="1">IF(C29="Saturday",B29+2,IF(C29="Sunday",B29+1,B29))</f>
        <v>41955</v>
      </c>
      <c r="G29" s="147">
        <f t="shared" ref="G29:G40" si="2">IF(E29="Saturday",D29+2,IF(E29="Sunday",D29+1,D29))</f>
        <v>42136</v>
      </c>
      <c r="H29" s="142">
        <f t="shared" ref="H29:H53" si="3">(360*(YEAR(G29)-YEAR(F29))+30*(MONTH(G29)-MONTH(F29))+DAY(G29)-DAY(F29))</f>
        <v>180</v>
      </c>
      <c r="I29" s="142">
        <f>I28+H29</f>
        <v>360</v>
      </c>
      <c r="J29" s="179">
        <f t="shared" ref="J29:J40" si="4">H29/360</f>
        <v>0.5</v>
      </c>
      <c r="K29" s="163">
        <f t="shared" ref="K29:K53" si="5">$B$11</f>
        <v>0.03</v>
      </c>
      <c r="L29" s="182">
        <f t="shared" si="0"/>
        <v>15</v>
      </c>
    </row>
    <row r="30" spans="1:15">
      <c r="A30" s="142">
        <v>3</v>
      </c>
      <c r="B30" s="183">
        <f t="shared" ref="B30:B53" si="6">EDATE(B29,6)</f>
        <v>42136</v>
      </c>
      <c r="C30" s="142" t="str">
        <f>VLOOKUP(WEEKDAY(B30),Auxiliar!$A$1:$B$7,2)</f>
        <v>Tuesday</v>
      </c>
      <c r="D30" s="183">
        <f t="shared" ref="D30:D53" si="7">EDATE(D29,6)</f>
        <v>42320</v>
      </c>
      <c r="E30" s="142" t="str">
        <f>VLOOKUP(WEEKDAY(D30),Auxiliar!$A$1:$B$7,2)</f>
        <v>Thursday</v>
      </c>
      <c r="F30" s="147">
        <f t="shared" si="1"/>
        <v>42136</v>
      </c>
      <c r="G30" s="147">
        <f t="shared" si="2"/>
        <v>42320</v>
      </c>
      <c r="H30" s="142">
        <f t="shared" si="3"/>
        <v>180</v>
      </c>
      <c r="I30" s="142">
        <f t="shared" ref="I30:I53" si="8">I29+H30</f>
        <v>540</v>
      </c>
      <c r="J30" s="179">
        <f t="shared" si="4"/>
        <v>0.5</v>
      </c>
      <c r="K30" s="163">
        <f t="shared" si="5"/>
        <v>0.03</v>
      </c>
      <c r="L30" s="182">
        <f t="shared" si="0"/>
        <v>15</v>
      </c>
    </row>
    <row r="31" spans="1:15">
      <c r="A31" s="142">
        <v>4</v>
      </c>
      <c r="B31" s="183">
        <f t="shared" si="6"/>
        <v>42320</v>
      </c>
      <c r="C31" s="142" t="str">
        <f>VLOOKUP(WEEKDAY(B31),Auxiliar!$A$1:$B$7,2)</f>
        <v>Thursday</v>
      </c>
      <c r="D31" s="183">
        <f t="shared" si="7"/>
        <v>42502</v>
      </c>
      <c r="E31" s="142" t="str">
        <f>VLOOKUP(WEEKDAY(D31),Auxiliar!$A$1:$B$7,2)</f>
        <v>Thursday</v>
      </c>
      <c r="F31" s="147">
        <f t="shared" si="1"/>
        <v>42320</v>
      </c>
      <c r="G31" s="147">
        <f t="shared" si="2"/>
        <v>42502</v>
      </c>
      <c r="H31" s="142">
        <f t="shared" si="3"/>
        <v>180</v>
      </c>
      <c r="I31" s="142">
        <f t="shared" si="8"/>
        <v>720</v>
      </c>
      <c r="J31" s="179">
        <f t="shared" si="4"/>
        <v>0.5</v>
      </c>
      <c r="K31" s="163">
        <f t="shared" si="5"/>
        <v>0.03</v>
      </c>
      <c r="L31" s="182">
        <f t="shared" si="0"/>
        <v>15</v>
      </c>
    </row>
    <row r="32" spans="1:15">
      <c r="A32" s="142">
        <v>5</v>
      </c>
      <c r="B32" s="183">
        <f t="shared" si="6"/>
        <v>42502</v>
      </c>
      <c r="C32" s="142" t="str">
        <f>VLOOKUP(WEEKDAY(B32),Auxiliar!$A$1:$B$7,2)</f>
        <v>Thursday</v>
      </c>
      <c r="D32" s="183">
        <f t="shared" si="7"/>
        <v>42686</v>
      </c>
      <c r="E32" s="142" t="str">
        <f>VLOOKUP(WEEKDAY(D32),Auxiliar!$A$1:$B$7,2)</f>
        <v>Saturday</v>
      </c>
      <c r="F32" s="147">
        <f t="shared" si="1"/>
        <v>42502</v>
      </c>
      <c r="G32" s="147">
        <f t="shared" si="2"/>
        <v>42688</v>
      </c>
      <c r="H32" s="142">
        <f t="shared" si="3"/>
        <v>182</v>
      </c>
      <c r="I32" s="142">
        <f t="shared" si="8"/>
        <v>902</v>
      </c>
      <c r="J32" s="179">
        <f t="shared" si="4"/>
        <v>0.50555555555555554</v>
      </c>
      <c r="K32" s="163">
        <f t="shared" si="5"/>
        <v>0.03</v>
      </c>
      <c r="L32" s="182">
        <f t="shared" si="0"/>
        <v>15.166666666666664</v>
      </c>
    </row>
    <row r="33" spans="1:12">
      <c r="A33" s="142">
        <v>6</v>
      </c>
      <c r="B33" s="183">
        <f t="shared" si="6"/>
        <v>42686</v>
      </c>
      <c r="C33" s="142" t="str">
        <f>VLOOKUP(WEEKDAY(B33),Auxiliar!$A$1:$B$7,2)</f>
        <v>Saturday</v>
      </c>
      <c r="D33" s="183">
        <f t="shared" si="7"/>
        <v>42867</v>
      </c>
      <c r="E33" s="142" t="str">
        <f>VLOOKUP(WEEKDAY(D33),Auxiliar!$A$1:$B$7,2)</f>
        <v>Friday</v>
      </c>
      <c r="F33" s="147">
        <f t="shared" si="1"/>
        <v>42688</v>
      </c>
      <c r="G33" s="147">
        <f t="shared" si="2"/>
        <v>42867</v>
      </c>
      <c r="H33" s="142">
        <f t="shared" si="3"/>
        <v>178</v>
      </c>
      <c r="I33" s="142">
        <f t="shared" si="8"/>
        <v>1080</v>
      </c>
      <c r="J33" s="179">
        <f t="shared" si="4"/>
        <v>0.49444444444444446</v>
      </c>
      <c r="K33" s="163">
        <f t="shared" si="5"/>
        <v>0.03</v>
      </c>
      <c r="L33" s="182">
        <f t="shared" si="0"/>
        <v>14.833333333333334</v>
      </c>
    </row>
    <row r="34" spans="1:12">
      <c r="A34" s="142">
        <v>7</v>
      </c>
      <c r="B34" s="183">
        <f t="shared" si="6"/>
        <v>42867</v>
      </c>
      <c r="C34" s="142" t="str">
        <f>VLOOKUP(WEEKDAY(B34),Auxiliar!$A$1:$B$7,2)</f>
        <v>Friday</v>
      </c>
      <c r="D34" s="183">
        <f t="shared" si="7"/>
        <v>43051</v>
      </c>
      <c r="E34" s="142" t="str">
        <f>VLOOKUP(WEEKDAY(D34),Auxiliar!$A$1:$B$7,2)</f>
        <v>Sunday</v>
      </c>
      <c r="F34" s="147">
        <f t="shared" si="1"/>
        <v>42867</v>
      </c>
      <c r="G34" s="147">
        <f t="shared" si="2"/>
        <v>43052</v>
      </c>
      <c r="H34" s="142">
        <f t="shared" si="3"/>
        <v>181</v>
      </c>
      <c r="I34" s="142">
        <f t="shared" si="8"/>
        <v>1261</v>
      </c>
      <c r="J34" s="179">
        <f t="shared" si="4"/>
        <v>0.50277777777777777</v>
      </c>
      <c r="K34" s="163">
        <f t="shared" si="5"/>
        <v>0.03</v>
      </c>
      <c r="L34" s="182">
        <f t="shared" si="0"/>
        <v>15.083333333333332</v>
      </c>
    </row>
    <row r="35" spans="1:12">
      <c r="A35" s="142">
        <v>8</v>
      </c>
      <c r="B35" s="183">
        <f t="shared" si="6"/>
        <v>43051</v>
      </c>
      <c r="C35" s="142" t="str">
        <f>VLOOKUP(WEEKDAY(B35),Auxiliar!$A$1:$B$7,2)</f>
        <v>Sunday</v>
      </c>
      <c r="D35" s="183">
        <f t="shared" si="7"/>
        <v>43232</v>
      </c>
      <c r="E35" s="142" t="str">
        <f>VLOOKUP(WEEKDAY(D35),Auxiliar!$A$1:$B$7,2)</f>
        <v>Saturday</v>
      </c>
      <c r="F35" s="147">
        <f t="shared" si="1"/>
        <v>43052</v>
      </c>
      <c r="G35" s="147">
        <f t="shared" si="2"/>
        <v>43234</v>
      </c>
      <c r="H35" s="142">
        <f t="shared" si="3"/>
        <v>181</v>
      </c>
      <c r="I35" s="142">
        <f t="shared" si="8"/>
        <v>1442</v>
      </c>
      <c r="J35" s="179">
        <f t="shared" si="4"/>
        <v>0.50277777777777777</v>
      </c>
      <c r="K35" s="163">
        <f t="shared" si="5"/>
        <v>0.03</v>
      </c>
      <c r="L35" s="182">
        <f t="shared" si="0"/>
        <v>15.083333333333332</v>
      </c>
    </row>
    <row r="36" spans="1:12">
      <c r="A36" s="142">
        <v>9</v>
      </c>
      <c r="B36" s="183">
        <f t="shared" si="6"/>
        <v>43232</v>
      </c>
      <c r="C36" s="142" t="str">
        <f>VLOOKUP(WEEKDAY(B36),Auxiliar!$A$1:$B$7,2)</f>
        <v>Saturday</v>
      </c>
      <c r="D36" s="183">
        <f t="shared" si="7"/>
        <v>43416</v>
      </c>
      <c r="E36" s="142" t="str">
        <f>VLOOKUP(WEEKDAY(D36),Auxiliar!$A$1:$B$7,2)</f>
        <v>Monday</v>
      </c>
      <c r="F36" s="147">
        <f t="shared" si="1"/>
        <v>43234</v>
      </c>
      <c r="G36" s="147">
        <f t="shared" si="2"/>
        <v>43416</v>
      </c>
      <c r="H36" s="142">
        <f t="shared" si="3"/>
        <v>178</v>
      </c>
      <c r="I36" s="142">
        <f t="shared" si="8"/>
        <v>1620</v>
      </c>
      <c r="J36" s="179">
        <f t="shared" si="4"/>
        <v>0.49444444444444446</v>
      </c>
      <c r="K36" s="163">
        <f t="shared" si="5"/>
        <v>0.03</v>
      </c>
      <c r="L36" s="182">
        <f t="shared" si="0"/>
        <v>14.833333333333334</v>
      </c>
    </row>
    <row r="37" spans="1:12">
      <c r="A37" s="142">
        <v>10</v>
      </c>
      <c r="B37" s="183">
        <f t="shared" si="6"/>
        <v>43416</v>
      </c>
      <c r="C37" s="142" t="str">
        <f>VLOOKUP(WEEKDAY(B37),Auxiliar!$A$1:$B$7,2)</f>
        <v>Monday</v>
      </c>
      <c r="D37" s="183">
        <f t="shared" si="7"/>
        <v>43597</v>
      </c>
      <c r="E37" s="142" t="str">
        <f>VLOOKUP(WEEKDAY(D37),Auxiliar!$A$1:$B$7,2)</f>
        <v>Sunday</v>
      </c>
      <c r="F37" s="147">
        <f t="shared" si="1"/>
        <v>43416</v>
      </c>
      <c r="G37" s="147">
        <f t="shared" si="2"/>
        <v>43598</v>
      </c>
      <c r="H37" s="142">
        <f t="shared" si="3"/>
        <v>181</v>
      </c>
      <c r="I37" s="142">
        <f t="shared" si="8"/>
        <v>1801</v>
      </c>
      <c r="J37" s="179">
        <f t="shared" si="4"/>
        <v>0.50277777777777777</v>
      </c>
      <c r="K37" s="163">
        <f t="shared" si="5"/>
        <v>0.03</v>
      </c>
      <c r="L37" s="182">
        <f t="shared" si="0"/>
        <v>15.083333333333332</v>
      </c>
    </row>
    <row r="38" spans="1:12">
      <c r="A38" s="142">
        <v>11</v>
      </c>
      <c r="B38" s="183">
        <f t="shared" si="6"/>
        <v>43597</v>
      </c>
      <c r="C38" s="142" t="str">
        <f>VLOOKUP(WEEKDAY(B38),Auxiliar!$A$1:$B$7,2)</f>
        <v>Sunday</v>
      </c>
      <c r="D38" s="183">
        <f t="shared" si="7"/>
        <v>43781</v>
      </c>
      <c r="E38" s="142" t="str">
        <f>VLOOKUP(WEEKDAY(D38),Auxiliar!$A$1:$B$7,2)</f>
        <v>Tuesday</v>
      </c>
      <c r="F38" s="147">
        <f t="shared" si="1"/>
        <v>43598</v>
      </c>
      <c r="G38" s="147">
        <f t="shared" si="2"/>
        <v>43781</v>
      </c>
      <c r="H38" s="142">
        <f t="shared" si="3"/>
        <v>179</v>
      </c>
      <c r="I38" s="142">
        <f t="shared" si="8"/>
        <v>1980</v>
      </c>
      <c r="J38" s="179">
        <f t="shared" si="4"/>
        <v>0.49722222222222223</v>
      </c>
      <c r="K38" s="163">
        <f t="shared" si="5"/>
        <v>0.03</v>
      </c>
      <c r="L38" s="182">
        <f t="shared" si="0"/>
        <v>14.916666666666666</v>
      </c>
    </row>
    <row r="39" spans="1:12">
      <c r="A39" s="142">
        <v>12</v>
      </c>
      <c r="B39" s="183">
        <f t="shared" si="6"/>
        <v>43781</v>
      </c>
      <c r="C39" s="142" t="str">
        <f>VLOOKUP(WEEKDAY(B39),Auxiliar!$A$1:$B$7,2)</f>
        <v>Tuesday</v>
      </c>
      <c r="D39" s="183">
        <f t="shared" si="7"/>
        <v>43963</v>
      </c>
      <c r="E39" s="142" t="str">
        <f>VLOOKUP(WEEKDAY(D39),Auxiliar!$A$1:$B$7,2)</f>
        <v>Tuesday</v>
      </c>
      <c r="F39" s="147">
        <f t="shared" si="1"/>
        <v>43781</v>
      </c>
      <c r="G39" s="147">
        <f t="shared" si="2"/>
        <v>43963</v>
      </c>
      <c r="H39" s="142">
        <f t="shared" si="3"/>
        <v>180</v>
      </c>
      <c r="I39" s="142">
        <f t="shared" si="8"/>
        <v>2160</v>
      </c>
      <c r="J39" s="179">
        <f t="shared" si="4"/>
        <v>0.5</v>
      </c>
      <c r="K39" s="163">
        <f t="shared" si="5"/>
        <v>0.03</v>
      </c>
      <c r="L39" s="182" t="s">
        <v>322</v>
      </c>
    </row>
    <row r="40" spans="1:12">
      <c r="A40" s="142">
        <v>13</v>
      </c>
      <c r="B40" s="183">
        <f t="shared" si="6"/>
        <v>43963</v>
      </c>
      <c r="C40" s="142" t="str">
        <f>VLOOKUP(WEEKDAY(B40),Auxiliar!$A$1:$B$7,2)</f>
        <v>Tuesday</v>
      </c>
      <c r="D40" s="183">
        <f t="shared" si="7"/>
        <v>44147</v>
      </c>
      <c r="E40" s="142" t="str">
        <f>VLOOKUP(WEEKDAY(D40),Auxiliar!$A$1:$B$7,2)</f>
        <v>Thursday</v>
      </c>
      <c r="F40" s="147">
        <f t="shared" si="1"/>
        <v>43963</v>
      </c>
      <c r="G40" s="147">
        <f t="shared" si="2"/>
        <v>44147</v>
      </c>
      <c r="H40" s="142">
        <f t="shared" si="3"/>
        <v>180</v>
      </c>
      <c r="I40" s="142">
        <f t="shared" si="8"/>
        <v>2340</v>
      </c>
      <c r="J40" s="179">
        <f t="shared" si="4"/>
        <v>0.5</v>
      </c>
      <c r="K40" s="163">
        <f t="shared" si="5"/>
        <v>0.03</v>
      </c>
      <c r="L40" s="182" t="s">
        <v>305</v>
      </c>
    </row>
    <row r="41" spans="1:12">
      <c r="A41" s="142">
        <v>14</v>
      </c>
      <c r="B41" s="183">
        <f t="shared" si="6"/>
        <v>44147</v>
      </c>
      <c r="C41" s="142" t="str">
        <f>VLOOKUP(WEEKDAY(B41),Auxiliar!$A$1:$B$7,2)</f>
        <v>Thursday</v>
      </c>
      <c r="D41" s="183">
        <f t="shared" si="7"/>
        <v>44328</v>
      </c>
      <c r="E41" s="142" t="str">
        <f>VLOOKUP(WEEKDAY(D41),Auxiliar!$A$1:$B$7,2)</f>
        <v>Wednesday</v>
      </c>
      <c r="F41" s="147">
        <f t="shared" ref="F41:F48" si="9">IF(C41="Saturday",B41+2,IF(C41="Sunday",B41+1,B41))</f>
        <v>44147</v>
      </c>
      <c r="G41" s="147">
        <f t="shared" ref="G41:G48" si="10">IF(E41="Saturday",D41+2,IF(E41="Sunday",D41+1,D41))</f>
        <v>44328</v>
      </c>
      <c r="H41" s="142">
        <f t="shared" si="3"/>
        <v>180</v>
      </c>
      <c r="I41" s="142">
        <f t="shared" si="8"/>
        <v>2520</v>
      </c>
      <c r="J41" s="179">
        <f t="shared" ref="J41:J48" si="11">H41/360</f>
        <v>0.5</v>
      </c>
      <c r="K41" s="163">
        <f t="shared" si="5"/>
        <v>0.03</v>
      </c>
      <c r="L41" s="182" t="s">
        <v>305</v>
      </c>
    </row>
    <row r="42" spans="1:12">
      <c r="A42" s="142">
        <v>15</v>
      </c>
      <c r="B42" s="183">
        <f t="shared" si="6"/>
        <v>44328</v>
      </c>
      <c r="C42" s="142" t="str">
        <f>VLOOKUP(WEEKDAY(B42),Auxiliar!$A$1:$B$7,2)</f>
        <v>Wednesday</v>
      </c>
      <c r="D42" s="183">
        <f t="shared" si="7"/>
        <v>44512</v>
      </c>
      <c r="E42" s="142" t="str">
        <f>VLOOKUP(WEEKDAY(D42),Auxiliar!$A$1:$B$7,2)</f>
        <v>Friday</v>
      </c>
      <c r="F42" s="147">
        <f t="shared" si="9"/>
        <v>44328</v>
      </c>
      <c r="G42" s="147">
        <f t="shared" si="10"/>
        <v>44512</v>
      </c>
      <c r="H42" s="142">
        <f t="shared" si="3"/>
        <v>180</v>
      </c>
      <c r="I42" s="142">
        <f t="shared" si="8"/>
        <v>2700</v>
      </c>
      <c r="J42" s="179">
        <f t="shared" si="11"/>
        <v>0.5</v>
      </c>
      <c r="K42" s="163">
        <f t="shared" si="5"/>
        <v>0.03</v>
      </c>
      <c r="L42" s="142" t="s">
        <v>305</v>
      </c>
    </row>
    <row r="43" spans="1:12">
      <c r="A43" s="142">
        <v>16</v>
      </c>
      <c r="B43" s="183">
        <f t="shared" si="6"/>
        <v>44512</v>
      </c>
      <c r="C43" s="142" t="str">
        <f>VLOOKUP(WEEKDAY(B43),Auxiliar!$A$1:$B$7,2)</f>
        <v>Friday</v>
      </c>
      <c r="D43" s="183">
        <f t="shared" si="7"/>
        <v>44693</v>
      </c>
      <c r="E43" s="142" t="str">
        <f>VLOOKUP(WEEKDAY(D43),Auxiliar!$A$1:$B$7,2)</f>
        <v>Thursday</v>
      </c>
      <c r="F43" s="147">
        <f t="shared" si="9"/>
        <v>44512</v>
      </c>
      <c r="G43" s="147">
        <f t="shared" si="10"/>
        <v>44693</v>
      </c>
      <c r="H43" s="142">
        <f t="shared" si="3"/>
        <v>180</v>
      </c>
      <c r="I43" s="142">
        <f t="shared" si="8"/>
        <v>2880</v>
      </c>
      <c r="J43" s="179">
        <f t="shared" si="11"/>
        <v>0.5</v>
      </c>
      <c r="K43" s="163">
        <f t="shared" si="5"/>
        <v>0.03</v>
      </c>
      <c r="L43" s="142" t="s">
        <v>305</v>
      </c>
    </row>
    <row r="44" spans="1:12">
      <c r="A44" s="142">
        <v>17</v>
      </c>
      <c r="B44" s="183">
        <f t="shared" si="6"/>
        <v>44693</v>
      </c>
      <c r="C44" s="142" t="str">
        <f>VLOOKUP(WEEKDAY(B44),Auxiliar!$A$1:$B$7,2)</f>
        <v>Thursday</v>
      </c>
      <c r="D44" s="183">
        <f t="shared" si="7"/>
        <v>44877</v>
      </c>
      <c r="E44" s="142" t="str">
        <f>VLOOKUP(WEEKDAY(D44),Auxiliar!$A$1:$B$7,2)</f>
        <v>Saturday</v>
      </c>
      <c r="F44" s="147">
        <f t="shared" si="9"/>
        <v>44693</v>
      </c>
      <c r="G44" s="147">
        <f t="shared" si="10"/>
        <v>44879</v>
      </c>
      <c r="H44" s="142">
        <f t="shared" si="3"/>
        <v>182</v>
      </c>
      <c r="I44" s="142">
        <f t="shared" si="8"/>
        <v>3062</v>
      </c>
      <c r="J44" s="179">
        <f t="shared" si="11"/>
        <v>0.50555555555555554</v>
      </c>
      <c r="K44" s="163">
        <f t="shared" si="5"/>
        <v>0.03</v>
      </c>
      <c r="L44" s="142" t="s">
        <v>305</v>
      </c>
    </row>
    <row r="45" spans="1:12">
      <c r="A45" s="142">
        <v>18</v>
      </c>
      <c r="B45" s="183">
        <f t="shared" si="6"/>
        <v>44877</v>
      </c>
      <c r="C45" s="142" t="str">
        <f>VLOOKUP(WEEKDAY(B45),Auxiliar!$A$1:$B$7,2)</f>
        <v>Saturday</v>
      </c>
      <c r="D45" s="183">
        <f t="shared" si="7"/>
        <v>45058</v>
      </c>
      <c r="E45" s="142" t="str">
        <f>VLOOKUP(WEEKDAY(D45),Auxiliar!$A$1:$B$7,2)</f>
        <v>Friday</v>
      </c>
      <c r="F45" s="147">
        <f t="shared" si="9"/>
        <v>44879</v>
      </c>
      <c r="G45" s="147">
        <f t="shared" si="10"/>
        <v>45058</v>
      </c>
      <c r="H45" s="142">
        <f t="shared" si="3"/>
        <v>178</v>
      </c>
      <c r="I45" s="142">
        <f t="shared" si="8"/>
        <v>3240</v>
      </c>
      <c r="J45" s="179">
        <f t="shared" si="11"/>
        <v>0.49444444444444446</v>
      </c>
      <c r="K45" s="163">
        <f t="shared" si="5"/>
        <v>0.03</v>
      </c>
      <c r="L45" s="142" t="s">
        <v>305</v>
      </c>
    </row>
    <row r="46" spans="1:12">
      <c r="A46" s="142">
        <v>19</v>
      </c>
      <c r="B46" s="183">
        <f t="shared" si="6"/>
        <v>45058</v>
      </c>
      <c r="C46" s="142" t="str">
        <f>VLOOKUP(WEEKDAY(B46),Auxiliar!$A$1:$B$7,2)</f>
        <v>Friday</v>
      </c>
      <c r="D46" s="183">
        <f t="shared" si="7"/>
        <v>45242</v>
      </c>
      <c r="E46" s="142" t="str">
        <f>VLOOKUP(WEEKDAY(D46),Auxiliar!$A$1:$B$7,2)</f>
        <v>Sunday</v>
      </c>
      <c r="F46" s="147">
        <f t="shared" si="9"/>
        <v>45058</v>
      </c>
      <c r="G46" s="147">
        <f t="shared" si="10"/>
        <v>45243</v>
      </c>
      <c r="H46" s="142">
        <f t="shared" si="3"/>
        <v>181</v>
      </c>
      <c r="I46" s="142">
        <f t="shared" si="8"/>
        <v>3421</v>
      </c>
      <c r="J46" s="179">
        <f t="shared" si="11"/>
        <v>0.50277777777777777</v>
      </c>
      <c r="K46" s="163">
        <f t="shared" si="5"/>
        <v>0.03</v>
      </c>
      <c r="L46" s="142" t="s">
        <v>305</v>
      </c>
    </row>
    <row r="47" spans="1:12">
      <c r="A47" s="142">
        <v>20</v>
      </c>
      <c r="B47" s="183">
        <f t="shared" si="6"/>
        <v>45242</v>
      </c>
      <c r="C47" s="142" t="str">
        <f>VLOOKUP(WEEKDAY(B47),Auxiliar!$A$1:$B$7,2)</f>
        <v>Sunday</v>
      </c>
      <c r="D47" s="183">
        <f t="shared" si="7"/>
        <v>45424</v>
      </c>
      <c r="E47" s="142" t="str">
        <f>VLOOKUP(WEEKDAY(D47),Auxiliar!$A$1:$B$7,2)</f>
        <v>Sunday</v>
      </c>
      <c r="F47" s="147">
        <f t="shared" si="9"/>
        <v>45243</v>
      </c>
      <c r="G47" s="147">
        <f t="shared" si="10"/>
        <v>45425</v>
      </c>
      <c r="H47" s="142">
        <f t="shared" si="3"/>
        <v>180</v>
      </c>
      <c r="I47" s="142">
        <f t="shared" si="8"/>
        <v>3601</v>
      </c>
      <c r="J47" s="179">
        <f t="shared" si="11"/>
        <v>0.5</v>
      </c>
      <c r="K47" s="163">
        <f t="shared" si="5"/>
        <v>0.03</v>
      </c>
      <c r="L47" s="142" t="s">
        <v>305</v>
      </c>
    </row>
    <row r="48" spans="1:12">
      <c r="A48" s="142">
        <v>21</v>
      </c>
      <c r="B48" s="183">
        <f t="shared" si="6"/>
        <v>45424</v>
      </c>
      <c r="C48" s="142" t="str">
        <f>VLOOKUP(WEEKDAY(B48),Auxiliar!$A$1:$B$7,2)</f>
        <v>Sunday</v>
      </c>
      <c r="D48" s="183">
        <f t="shared" si="7"/>
        <v>45608</v>
      </c>
      <c r="E48" s="142" t="str">
        <f>VLOOKUP(WEEKDAY(D48),Auxiliar!$A$1:$B$7,2)</f>
        <v>Tuesday</v>
      </c>
      <c r="F48" s="147">
        <f t="shared" si="9"/>
        <v>45425</v>
      </c>
      <c r="G48" s="147">
        <f t="shared" si="10"/>
        <v>45608</v>
      </c>
      <c r="H48" s="142">
        <f t="shared" si="3"/>
        <v>179</v>
      </c>
      <c r="I48" s="142">
        <f t="shared" si="8"/>
        <v>3780</v>
      </c>
      <c r="J48" s="179">
        <f t="shared" si="11"/>
        <v>0.49722222222222223</v>
      </c>
      <c r="K48" s="163">
        <f t="shared" si="5"/>
        <v>0.03</v>
      </c>
      <c r="L48" s="142" t="s">
        <v>305</v>
      </c>
    </row>
    <row r="49" spans="1:12">
      <c r="A49" s="142">
        <v>22</v>
      </c>
      <c r="B49" s="183">
        <f t="shared" si="6"/>
        <v>45608</v>
      </c>
      <c r="C49" s="142" t="str">
        <f>VLOOKUP(WEEKDAY(B49),Auxiliar!$A$1:$B$7,2)</f>
        <v>Tuesday</v>
      </c>
      <c r="D49" s="183">
        <f t="shared" si="7"/>
        <v>45789</v>
      </c>
      <c r="E49" s="142" t="str">
        <f>VLOOKUP(WEEKDAY(D49),Auxiliar!$A$1:$B$7,2)</f>
        <v>Monday</v>
      </c>
      <c r="F49" s="147">
        <f>IF(C49="Saturday",B49+2,IF(C49="Sunday",B49+1,B49))</f>
        <v>45608</v>
      </c>
      <c r="G49" s="147">
        <f>IF(E49="Saturday",D49+2,IF(E49="Sunday",D49+1,D49))</f>
        <v>45789</v>
      </c>
      <c r="H49" s="142">
        <f t="shared" si="3"/>
        <v>180</v>
      </c>
      <c r="I49" s="142">
        <f t="shared" si="8"/>
        <v>3960</v>
      </c>
      <c r="J49" s="179">
        <f>H49/360</f>
        <v>0.5</v>
      </c>
      <c r="K49" s="163">
        <f t="shared" si="5"/>
        <v>0.03</v>
      </c>
      <c r="L49" s="142" t="s">
        <v>305</v>
      </c>
    </row>
    <row r="50" spans="1:12">
      <c r="A50" s="142">
        <v>23</v>
      </c>
      <c r="B50" s="183">
        <f t="shared" si="6"/>
        <v>45789</v>
      </c>
      <c r="C50" s="142" t="str">
        <f>VLOOKUP(WEEKDAY(B50),Auxiliar!$A$1:$B$7,2)</f>
        <v>Monday</v>
      </c>
      <c r="D50" s="183">
        <f t="shared" si="7"/>
        <v>45973</v>
      </c>
      <c r="E50" s="142" t="str">
        <f>VLOOKUP(WEEKDAY(D50),Auxiliar!$A$1:$B$7,2)</f>
        <v>Wednesday</v>
      </c>
      <c r="F50" s="147">
        <f>IF(C50="Saturday",B50+2,IF(C50="Sunday",B50+1,B50))</f>
        <v>45789</v>
      </c>
      <c r="G50" s="147">
        <f>IF(E50="Saturday",D50+2,IF(E50="Sunday",D50+1,D50))</f>
        <v>45973</v>
      </c>
      <c r="H50" s="142">
        <f t="shared" si="3"/>
        <v>180</v>
      </c>
      <c r="I50" s="142">
        <f t="shared" si="8"/>
        <v>4140</v>
      </c>
      <c r="J50" s="179">
        <f>H50/360</f>
        <v>0.5</v>
      </c>
      <c r="K50" s="163">
        <f t="shared" si="5"/>
        <v>0.03</v>
      </c>
      <c r="L50" s="142" t="s">
        <v>305</v>
      </c>
    </row>
    <row r="51" spans="1:12">
      <c r="A51" s="142">
        <v>24</v>
      </c>
      <c r="B51" s="183">
        <f t="shared" si="6"/>
        <v>45973</v>
      </c>
      <c r="C51" s="142" t="str">
        <f>VLOOKUP(WEEKDAY(B51),Auxiliar!$A$1:$B$7,2)</f>
        <v>Wednesday</v>
      </c>
      <c r="D51" s="183">
        <f t="shared" si="7"/>
        <v>46154</v>
      </c>
      <c r="E51" s="142" t="str">
        <f>VLOOKUP(WEEKDAY(D51),Auxiliar!$A$1:$B$7,2)</f>
        <v>Tuesday</v>
      </c>
      <c r="F51" s="147">
        <f>IF(C51="Saturday",B51+2,IF(C51="Sunday",B51+1,B51))</f>
        <v>45973</v>
      </c>
      <c r="G51" s="147">
        <f>IF(E51="Saturday",D51+2,IF(E51="Sunday",D51+1,D51))</f>
        <v>46154</v>
      </c>
      <c r="H51" s="142">
        <f t="shared" si="3"/>
        <v>180</v>
      </c>
      <c r="I51" s="142">
        <f t="shared" si="8"/>
        <v>4320</v>
      </c>
      <c r="J51" s="179">
        <f>H51/360</f>
        <v>0.5</v>
      </c>
      <c r="K51" s="163">
        <f t="shared" si="5"/>
        <v>0.03</v>
      </c>
      <c r="L51" s="142" t="s">
        <v>305</v>
      </c>
    </row>
    <row r="52" spans="1:12">
      <c r="A52" s="142">
        <v>25</v>
      </c>
      <c r="B52" s="183">
        <f t="shared" si="6"/>
        <v>46154</v>
      </c>
      <c r="C52" s="142" t="str">
        <f>VLOOKUP(WEEKDAY(B52),Auxiliar!$A$1:$B$7,2)</f>
        <v>Tuesday</v>
      </c>
      <c r="D52" s="183">
        <f t="shared" si="7"/>
        <v>46338</v>
      </c>
      <c r="E52" s="142" t="str">
        <f>VLOOKUP(WEEKDAY(D52),Auxiliar!$A$1:$B$7,2)</f>
        <v>Thursday</v>
      </c>
      <c r="F52" s="147">
        <f>IF(C52="Saturday",B52+2,IF(C52="Sunday",B52+1,B52))</f>
        <v>46154</v>
      </c>
      <c r="G52" s="147">
        <f>IF(E52="Saturday",D52+2,IF(E52="Sunday",D52+1,D52))</f>
        <v>46338</v>
      </c>
      <c r="H52" s="142">
        <f t="shared" si="3"/>
        <v>180</v>
      </c>
      <c r="I52" s="142">
        <f t="shared" si="8"/>
        <v>4500</v>
      </c>
      <c r="J52" s="179">
        <f>H52/360</f>
        <v>0.5</v>
      </c>
      <c r="K52" s="163">
        <f t="shared" si="5"/>
        <v>0.03</v>
      </c>
      <c r="L52" s="142" t="s">
        <v>305</v>
      </c>
    </row>
    <row r="53" spans="1:12">
      <c r="A53" s="142">
        <v>26</v>
      </c>
      <c r="B53" s="183">
        <f t="shared" si="6"/>
        <v>46338</v>
      </c>
      <c r="C53" s="142" t="str">
        <f>VLOOKUP(WEEKDAY(B53),Auxiliar!$A$1:$B$7,2)</f>
        <v>Thursday</v>
      </c>
      <c r="D53" s="183">
        <f t="shared" si="7"/>
        <v>46519</v>
      </c>
      <c r="E53" s="142" t="str">
        <f>VLOOKUP(WEEKDAY(D53),Auxiliar!$A$1:$B$7,2)</f>
        <v>Wednesday</v>
      </c>
      <c r="F53" s="147">
        <f>IF(C53="Saturday",B53+2,IF(C53="Sunday",B53+1,B53))</f>
        <v>46338</v>
      </c>
      <c r="G53" s="147">
        <f>IF(E53="Saturday",D53+2,IF(E53="Sunday",D53+1,D53))</f>
        <v>46519</v>
      </c>
      <c r="H53" s="142">
        <f t="shared" si="3"/>
        <v>180</v>
      </c>
      <c r="I53" s="142">
        <f t="shared" si="8"/>
        <v>4680</v>
      </c>
      <c r="J53" s="179">
        <f>H53/360</f>
        <v>0.5</v>
      </c>
      <c r="K53" s="163">
        <f t="shared" si="5"/>
        <v>0.03</v>
      </c>
      <c r="L53" s="142" t="s">
        <v>305</v>
      </c>
    </row>
    <row r="54" spans="1:12">
      <c r="B54" s="147"/>
      <c r="G54" s="190"/>
      <c r="H54" s="191"/>
      <c r="J54" s="161"/>
    </row>
    <row r="55" spans="1:12">
      <c r="B55" s="147"/>
      <c r="G55" s="190"/>
      <c r="H55" s="191"/>
      <c r="J55" s="161"/>
    </row>
    <row r="56" spans="1:12" ht="15" thickBot="1"/>
    <row r="57" spans="1:12" ht="15" thickBot="1">
      <c r="A57" s="314" t="s">
        <v>367</v>
      </c>
      <c r="B57" s="314"/>
      <c r="C57" s="314"/>
      <c r="D57" s="314"/>
      <c r="E57" s="314"/>
    </row>
    <row r="58" spans="1:12" ht="17.5" thickBot="1">
      <c r="A58" s="99" t="s">
        <v>545</v>
      </c>
      <c r="B58" s="99" t="s">
        <v>303</v>
      </c>
      <c r="C58" s="99" t="s">
        <v>366</v>
      </c>
      <c r="D58" s="99"/>
      <c r="E58" s="99"/>
    </row>
    <row r="59" spans="1:12" ht="15">
      <c r="A59" s="90">
        <f>(360*(YEAR(G39)-YEAR(B13))+30*(MONTH(G39)-MONTH(B13))+DAY(G39)-DAY(B13))</f>
        <v>90</v>
      </c>
      <c r="B59" s="90">
        <f>A59/360</f>
        <v>0.25</v>
      </c>
      <c r="C59" s="90" cm="1">
        <f t="array" ref="C59">NelsonSiegelPrice($E$59,$E$60,$E$61,$E$62,B59)</f>
        <v>1.0007235921249094</v>
      </c>
      <c r="D59" s="197" t="s">
        <v>547</v>
      </c>
      <c r="E59" s="198">
        <f>'Nelson Siegel_linearBoot'!J4</f>
        <v>1.1170843567446877E-2</v>
      </c>
    </row>
    <row r="60" spans="1:12" ht="15">
      <c r="A60" s="90">
        <f>A59+H40</f>
        <v>270</v>
      </c>
      <c r="B60" s="102">
        <f>A60/360</f>
        <v>0.75</v>
      </c>
      <c r="C60" s="90" cm="1">
        <f t="array" ref="C60">NelsonSiegelPrice($E$59,$E$60,$E$61,$E$62,B60)</f>
        <v>1.0023796151620608</v>
      </c>
      <c r="D60" s="199" t="s">
        <v>548</v>
      </c>
      <c r="E60" s="200">
        <f>'Nelson Siegel_linearBoot'!J5</f>
        <v>-1.3883361242843246E-2</v>
      </c>
      <c r="H60" s="90">
        <f>SUM(H40:H53)+90</f>
        <v>2610</v>
      </c>
    </row>
    <row r="61" spans="1:12" ht="15">
      <c r="A61" s="90">
        <f t="shared" ref="A61:A72" si="12">A60+H41</f>
        <v>450</v>
      </c>
      <c r="B61" s="102">
        <f t="shared" ref="B61:B73" si="13">A61/360</f>
        <v>1.25</v>
      </c>
      <c r="C61" s="90" cm="1">
        <f t="array" ref="C61">NelsonSiegelPrice($E$59,$E$60,$E$61,$E$62,B61)</f>
        <v>1.0041893392517678</v>
      </c>
      <c r="D61" s="199" t="s">
        <v>549</v>
      </c>
      <c r="E61" s="200">
        <f>'Nelson Siegel_linearBoot'!J6</f>
        <v>-4.8607799447655921E-3</v>
      </c>
    </row>
    <row r="62" spans="1:12" ht="15" thickBot="1">
      <c r="A62" s="90">
        <f t="shared" si="12"/>
        <v>630</v>
      </c>
      <c r="B62" s="102">
        <f t="shared" si="13"/>
        <v>1.75</v>
      </c>
      <c r="C62" s="90" cm="1">
        <f t="array" ref="C62">NelsonSiegelPrice($E$59,$E$60,$E$61,$E$62,B62)</f>
        <v>1.0060288202437213</v>
      </c>
      <c r="D62" s="201" t="s">
        <v>343</v>
      </c>
      <c r="E62" s="202">
        <f>'Nelson Siegel_linearBoot'!J7</f>
        <v>0.23701571681317693</v>
      </c>
    </row>
    <row r="63" spans="1:12">
      <c r="A63" s="90">
        <f t="shared" si="12"/>
        <v>810</v>
      </c>
      <c r="B63" s="102">
        <f t="shared" si="13"/>
        <v>2.25</v>
      </c>
      <c r="C63" s="90" cm="1">
        <f t="array" ref="C63">NelsonSiegelPrice($E$59,$E$60,$E$61,$E$62,B63)</f>
        <v>1.0077992682068571</v>
      </c>
      <c r="D63" s="114"/>
    </row>
    <row r="64" spans="1:12">
      <c r="A64" s="90">
        <f t="shared" si="12"/>
        <v>992</v>
      </c>
      <c r="B64" s="102">
        <f t="shared" si="13"/>
        <v>2.7555555555555555</v>
      </c>
      <c r="C64" s="90" cm="1">
        <f t="array" ref="C64">NelsonSiegelPrice($E$59,$E$60,$E$61,$E$62,B64)</f>
        <v>1.0094400024895049</v>
      </c>
      <c r="D64" s="203"/>
      <c r="E64" s="204"/>
    </row>
    <row r="65" spans="1:26">
      <c r="A65" s="90">
        <f t="shared" si="12"/>
        <v>1170</v>
      </c>
      <c r="B65" s="102">
        <f t="shared" si="13"/>
        <v>3.25</v>
      </c>
      <c r="C65" s="90" cm="1">
        <f t="array" ref="C65">NelsonSiegelPrice($E$59,$E$60,$E$61,$E$62,B65)</f>
        <v>1.0108401871789319</v>
      </c>
    </row>
    <row r="66" spans="1:26">
      <c r="A66" s="90">
        <f t="shared" si="12"/>
        <v>1351</v>
      </c>
      <c r="B66" s="102">
        <f t="shared" si="13"/>
        <v>3.7527777777777778</v>
      </c>
      <c r="C66" s="90" cm="1">
        <f t="array" ref="C66">NelsonSiegelPrice($E$59,$E$60,$E$61,$E$62,B66)</f>
        <v>1.0120114500710649</v>
      </c>
    </row>
    <row r="67" spans="1:26">
      <c r="A67" s="90">
        <f t="shared" si="12"/>
        <v>1531</v>
      </c>
      <c r="B67" s="102">
        <f t="shared" si="13"/>
        <v>4.2527777777777782</v>
      </c>
      <c r="C67" s="90" cm="1">
        <f t="array" ref="C67">NelsonSiegelPrice($E$59,$E$60,$E$61,$E$62,B67)</f>
        <v>1.0128911957814013</v>
      </c>
    </row>
    <row r="68" spans="1:26">
      <c r="A68" s="90">
        <f t="shared" si="12"/>
        <v>1710</v>
      </c>
      <c r="B68" s="102">
        <f t="shared" si="13"/>
        <v>4.75</v>
      </c>
      <c r="C68" s="90" cm="1">
        <f t="array" ref="C68">NelsonSiegelPrice($E$59,$E$60,$E$61,$E$62,B68)</f>
        <v>1.0134621854580124</v>
      </c>
    </row>
    <row r="69" spans="1:26">
      <c r="A69" s="90">
        <f t="shared" si="12"/>
        <v>1890</v>
      </c>
      <c r="B69" s="102">
        <f t="shared" si="13"/>
        <v>5.25</v>
      </c>
      <c r="C69" s="90" cm="1">
        <f t="array" ref="C69">NelsonSiegelPrice($E$59,$E$60,$E$61,$E$62,B69)</f>
        <v>1.0137172758713267</v>
      </c>
    </row>
    <row r="70" spans="1:26">
      <c r="A70" s="90">
        <f t="shared" si="12"/>
        <v>2070</v>
      </c>
      <c r="B70" s="102">
        <f t="shared" si="13"/>
        <v>5.75</v>
      </c>
      <c r="C70" s="90" cm="1">
        <f t="array" ref="C70">NelsonSiegelPrice($E$59,$E$60,$E$61,$E$62,B70)</f>
        <v>1.0136458436334714</v>
      </c>
    </row>
    <row r="71" spans="1:26">
      <c r="A71" s="90">
        <f t="shared" si="12"/>
        <v>2250</v>
      </c>
      <c r="B71" s="102">
        <f t="shared" si="13"/>
        <v>6.25</v>
      </c>
      <c r="C71" s="90" cm="1">
        <f t="array" ref="C71">NelsonSiegelPrice($E$59,$E$60,$E$61,$E$62,B71)</f>
        <v>1.0132470464038559</v>
      </c>
    </row>
    <row r="72" spans="1:26">
      <c r="A72" s="90">
        <f t="shared" si="12"/>
        <v>2430</v>
      </c>
      <c r="B72" s="102">
        <f t="shared" si="13"/>
        <v>6.75</v>
      </c>
      <c r="C72" s="90" cm="1">
        <f t="array" ref="C72">NelsonSiegelPrice($E$59,$E$60,$E$61,$E$62,B72)</f>
        <v>1.012524637020203</v>
      </c>
    </row>
    <row r="73" spans="1:26" ht="15" thickBot="1">
      <c r="A73" s="90">
        <f>A72+H53</f>
        <v>2610</v>
      </c>
      <c r="B73" s="102">
        <f t="shared" si="13"/>
        <v>7.25</v>
      </c>
      <c r="C73" s="90" cm="1">
        <f t="array" ref="C73">NelsonSiegelPrice($E$59,$E$60,$E$61,$E$62,B73)</f>
        <v>1.0114860000646879</v>
      </c>
    </row>
    <row r="74" spans="1:26" ht="15" thickBot="1">
      <c r="A74" s="314" t="s">
        <v>358</v>
      </c>
      <c r="B74" s="314"/>
      <c r="C74" s="314"/>
      <c r="D74" s="314"/>
      <c r="E74" s="314"/>
    </row>
    <row r="75" spans="1:26" ht="17.5" thickBot="1">
      <c r="A75" s="99" t="s">
        <v>326</v>
      </c>
      <c r="B75" s="99" t="s">
        <v>319</v>
      </c>
      <c r="C75" s="99" t="s">
        <v>325</v>
      </c>
      <c r="D75" s="99" t="s">
        <v>545</v>
      </c>
      <c r="E75" s="99" t="s">
        <v>546</v>
      </c>
      <c r="K75" s="229"/>
      <c r="L75" s="182"/>
      <c r="M75" s="182"/>
      <c r="N75" s="110"/>
      <c r="O75" s="137"/>
      <c r="Q75" s="137"/>
      <c r="T75" s="219"/>
      <c r="U75" s="230"/>
      <c r="V75" s="104"/>
      <c r="X75" s="217"/>
      <c r="Y75" s="88"/>
      <c r="Z75" s="89"/>
    </row>
    <row r="76" spans="1:26">
      <c r="A76" s="192">
        <f>'Bootstraping-Linear_Interpol'!N9</f>
        <v>90</v>
      </c>
      <c r="B76" s="104">
        <f>VLOOKUP(A76,'Bootstraping-Linear_Interpol'!$N$7:$R$40,5)</f>
        <v>1.0012966791995634</v>
      </c>
      <c r="K76" s="229"/>
      <c r="L76" s="182"/>
      <c r="M76" s="182"/>
      <c r="N76" s="110"/>
      <c r="O76" s="137"/>
      <c r="Q76" s="137"/>
      <c r="T76" s="219"/>
      <c r="U76" s="230"/>
      <c r="V76" s="104"/>
      <c r="X76" s="217"/>
      <c r="Y76" s="88"/>
      <c r="Z76" s="89"/>
    </row>
    <row r="77" spans="1:26">
      <c r="A77" s="193">
        <f>'Bootstraping-Linear_Interpol'!N10</f>
        <v>182</v>
      </c>
      <c r="B77" s="108">
        <f>VLOOKUP(A77,'Bootstraping-Linear_Interpol'!$N$7:$R$40,5)</f>
        <v>1.002625653781553</v>
      </c>
      <c r="C77" s="194">
        <f>(B77/B76)^(1/(A77-A76))</f>
        <v>1.0000144172075953</v>
      </c>
      <c r="D77" s="195">
        <f>(360*(YEAR(G39)-YEAR(B13))+30*(MONTH(G39)-MONTH(B13))+DAY(G39)-DAY(B13))</f>
        <v>90</v>
      </c>
      <c r="E77" s="108">
        <f>B76*C77^(D77-A76)</f>
        <v>1.0012966791995634</v>
      </c>
      <c r="K77" s="229"/>
      <c r="L77" s="182"/>
      <c r="M77" s="182"/>
      <c r="N77" s="110"/>
      <c r="O77" s="137"/>
      <c r="Q77" s="137"/>
      <c r="T77" s="219"/>
      <c r="U77" s="230"/>
      <c r="V77" s="104"/>
      <c r="X77" s="217"/>
      <c r="Y77" s="88"/>
      <c r="Z77" s="89"/>
    </row>
    <row r="78" spans="1:26">
      <c r="A78" s="192">
        <f>'Bootstraping-Linear_Interpol'!N10</f>
        <v>182</v>
      </c>
      <c r="B78" s="104">
        <f>VLOOKUP(A78,'Bootstraping-Linear_Interpol'!$N$7:$R$40,5)</f>
        <v>1.002625653781553</v>
      </c>
      <c r="C78" s="115"/>
      <c r="D78" s="196"/>
      <c r="E78" s="104"/>
      <c r="K78" s="229"/>
      <c r="L78" s="182"/>
      <c r="M78" s="182"/>
      <c r="N78" s="110"/>
      <c r="O78" s="137"/>
      <c r="Q78" s="137"/>
      <c r="T78" s="219"/>
      <c r="U78" s="230"/>
      <c r="V78" s="104"/>
      <c r="X78" s="217"/>
      <c r="Y78" s="88"/>
      <c r="Z78" s="89"/>
    </row>
    <row r="79" spans="1:26">
      <c r="A79" s="193">
        <f>'Bootstraping-Linear_Interpol'!N11</f>
        <v>366</v>
      </c>
      <c r="B79" s="108">
        <f>VLOOKUP(A79,'Bootstraping-Linear_Interpol'!$N$7:$R$40,5)</f>
        <v>1.0029493816043955</v>
      </c>
      <c r="C79" s="194">
        <f>(B79/B78)^(1/(A79-A78))</f>
        <v>1.0000017545011972</v>
      </c>
      <c r="D79" s="195">
        <f>D77+H40</f>
        <v>270</v>
      </c>
      <c r="E79" s="108">
        <f>B78*C79^(D79-A78)</f>
        <v>1.0027804670927887</v>
      </c>
      <c r="K79" s="229"/>
      <c r="L79" s="182"/>
      <c r="M79" s="182"/>
      <c r="N79" s="110"/>
      <c r="O79" s="137"/>
      <c r="Q79" s="137"/>
      <c r="T79" s="219"/>
      <c r="U79" s="230"/>
      <c r="V79" s="104"/>
      <c r="X79" s="217"/>
      <c r="Y79" s="88"/>
      <c r="Z79" s="89"/>
    </row>
    <row r="80" spans="1:26">
      <c r="A80" s="192">
        <f>'Bootstraping-Linear_Interpol'!N11</f>
        <v>366</v>
      </c>
      <c r="B80" s="104">
        <f>VLOOKUP(A80,'Bootstraping-Linear_Interpol'!$N$7:$R$40,5)</f>
        <v>1.0029493816043955</v>
      </c>
      <c r="C80" s="115"/>
      <c r="D80" s="166"/>
      <c r="E80" s="104"/>
      <c r="K80" s="229"/>
      <c r="L80" s="182"/>
      <c r="M80" s="182"/>
      <c r="N80" s="110"/>
      <c r="O80" s="137"/>
      <c r="Q80" s="137"/>
      <c r="T80" s="219"/>
      <c r="U80" s="230"/>
      <c r="V80" s="104"/>
      <c r="X80" s="217"/>
      <c r="Y80" s="88"/>
      <c r="Z80" s="89"/>
    </row>
    <row r="81" spans="1:26">
      <c r="A81" s="193">
        <f>'Bootstraping-Linear_Interpol'!N12</f>
        <v>547</v>
      </c>
      <c r="B81" s="108">
        <f>VLOOKUP(A81,'Bootstraping-Linear_Interpol'!$N$7:$R$40,5)</f>
        <v>1.0049578930286021</v>
      </c>
      <c r="C81" s="194">
        <f>(B81/B80)^(1/(A81-A80))</f>
        <v>1.0000110531132269</v>
      </c>
      <c r="D81" s="195">
        <f>D79+H41</f>
        <v>450</v>
      </c>
      <c r="E81" s="108">
        <f>B80*C81^(D81-A80)</f>
        <v>1.0038810087771415</v>
      </c>
      <c r="K81" s="229"/>
      <c r="L81" s="182"/>
      <c r="M81" s="182"/>
      <c r="N81" s="110"/>
      <c r="O81" s="137"/>
      <c r="Q81" s="137"/>
      <c r="T81" s="219"/>
      <c r="U81" s="230"/>
      <c r="V81" s="104"/>
      <c r="X81" s="217"/>
      <c r="Y81" s="88"/>
      <c r="Z81" s="89"/>
    </row>
    <row r="82" spans="1:26">
      <c r="A82" s="192">
        <f>'Bootstraping-Linear_Interpol'!N12</f>
        <v>547</v>
      </c>
      <c r="B82" s="104">
        <f>VLOOKUP(A82,'Bootstraping-Linear_Interpol'!$N$7:$R$40,5)</f>
        <v>1.0049578930286021</v>
      </c>
      <c r="D82" s="166"/>
      <c r="E82" s="104"/>
      <c r="K82" s="229"/>
      <c r="L82" s="182"/>
      <c r="M82" s="182"/>
      <c r="N82" s="110"/>
      <c r="O82" s="137"/>
      <c r="Q82" s="137"/>
      <c r="T82" s="219"/>
      <c r="U82" s="230"/>
      <c r="V82" s="104"/>
      <c r="X82" s="217"/>
      <c r="Y82" s="88"/>
      <c r="Z82" s="89"/>
    </row>
    <row r="83" spans="1:26">
      <c r="A83" s="193">
        <f>'Bootstraping-Linear_Interpol'!N13</f>
        <v>733</v>
      </c>
      <c r="B83" s="108">
        <f>VLOOKUP(A83,'Bootstraping-Linear_Interpol'!$N$7:$R$40,5)</f>
        <v>1.0073760986995521</v>
      </c>
      <c r="C83" s="96">
        <f>(B83/B82)^(1/(A83-A82))</f>
        <v>1.0000129215091194</v>
      </c>
      <c r="D83" s="195">
        <f>D81+H42</f>
        <v>630</v>
      </c>
      <c r="E83" s="108">
        <f>B82*C83^(D83-A82)</f>
        <v>1.0060362667521872</v>
      </c>
      <c r="K83" s="229"/>
      <c r="L83" s="182"/>
      <c r="M83" s="182"/>
      <c r="N83" s="110"/>
      <c r="O83" s="137"/>
      <c r="Q83" s="137"/>
      <c r="T83" s="219"/>
      <c r="U83" s="230"/>
      <c r="V83" s="104"/>
      <c r="X83" s="217"/>
      <c r="Y83" s="88"/>
      <c r="Z83" s="89"/>
    </row>
    <row r="84" spans="1:26">
      <c r="A84" s="192">
        <f>'Bootstraping-Linear_Interpol'!N13</f>
        <v>733</v>
      </c>
      <c r="B84" s="104">
        <f>VLOOKUP(A84,'Bootstraping-Linear_Interpol'!$N$7:$R$40,5)</f>
        <v>1.0073760986995521</v>
      </c>
      <c r="E84" s="104"/>
      <c r="K84" s="229"/>
      <c r="L84" s="182"/>
      <c r="M84" s="182"/>
      <c r="N84" s="110"/>
      <c r="O84" s="137"/>
      <c r="Q84" s="137"/>
      <c r="T84" s="219"/>
      <c r="U84" s="230"/>
      <c r="V84" s="104"/>
      <c r="X84" s="217"/>
      <c r="Y84" s="88"/>
      <c r="Z84" s="89"/>
    </row>
    <row r="85" spans="1:26">
      <c r="A85" s="193">
        <f>'Bootstraping-Linear_Interpol'!N14</f>
        <v>912</v>
      </c>
      <c r="B85" s="108">
        <f>VLOOKUP(A85,'Bootstraping-Linear_Interpol'!$N$7:$R$40,5)</f>
        <v>1.0088897868252849</v>
      </c>
      <c r="C85" s="96">
        <f>(B85/B84)^(1/(A85-A84))</f>
        <v>1.0000083881747546</v>
      </c>
      <c r="D85" s="195">
        <f>D83+H43</f>
        <v>810</v>
      </c>
      <c r="E85" s="108">
        <f>B84*C85^(D85-A84)</f>
        <v>1.0080269597397804</v>
      </c>
      <c r="K85" s="229"/>
      <c r="L85" s="182"/>
      <c r="M85" s="182"/>
      <c r="N85" s="110"/>
      <c r="O85" s="137"/>
      <c r="Q85" s="137"/>
      <c r="T85" s="219"/>
      <c r="U85" s="230"/>
      <c r="V85" s="104"/>
      <c r="X85" s="217"/>
      <c r="Y85" s="88"/>
      <c r="Z85" s="89"/>
    </row>
    <row r="86" spans="1:26">
      <c r="A86" s="192">
        <f>'Bootstraping-Linear_Interpol'!N14</f>
        <v>912</v>
      </c>
      <c r="B86" s="104">
        <f>VLOOKUP(A86,'Bootstraping-Linear_Interpol'!$N$7:$R$40,5)</f>
        <v>1.0088897868252849</v>
      </c>
      <c r="E86" s="104"/>
      <c r="K86" s="229"/>
      <c r="L86" s="182"/>
      <c r="M86" s="182"/>
      <c r="N86" s="110"/>
      <c r="O86" s="137"/>
      <c r="Q86" s="137"/>
      <c r="T86" s="219"/>
      <c r="U86" s="230"/>
      <c r="V86" s="104"/>
      <c r="X86" s="217"/>
      <c r="Y86" s="88"/>
      <c r="Z86" s="89"/>
    </row>
    <row r="87" spans="1:26">
      <c r="A87" s="193">
        <f>'Bootstraping-Linear_Interpol'!N15</f>
        <v>1097</v>
      </c>
      <c r="B87" s="108">
        <f>VLOOKUP(A87,'Bootstraping-Linear_Interpol'!$N$7:$R$40,5)</f>
        <v>1.0103164388058028</v>
      </c>
      <c r="C87" s="96">
        <f>(B87/B86)^(1/(A87-A86))</f>
        <v>1.0000076383114953</v>
      </c>
      <c r="D87" s="195">
        <f>D85+H44</f>
        <v>992</v>
      </c>
      <c r="E87" s="108">
        <f>B86*C87^(D87-A86)</f>
        <v>1.0095064700241203</v>
      </c>
      <c r="K87" s="229"/>
      <c r="L87" s="182"/>
      <c r="M87" s="182"/>
      <c r="N87" s="110"/>
      <c r="O87" s="137"/>
      <c r="Q87" s="137"/>
      <c r="T87" s="219"/>
      <c r="U87" s="230"/>
      <c r="V87" s="104"/>
      <c r="X87" s="217"/>
      <c r="Y87" s="88"/>
      <c r="Z87" s="89"/>
    </row>
    <row r="88" spans="1:26">
      <c r="A88" s="192">
        <f>'Bootstraping-Linear_Interpol'!N15</f>
        <v>1097</v>
      </c>
      <c r="B88" s="104">
        <f>VLOOKUP(A88,'Bootstraping-Linear_Interpol'!$N$7:$R$40,5)</f>
        <v>1.0103164388058028</v>
      </c>
      <c r="K88" s="229"/>
      <c r="L88" s="182"/>
      <c r="M88" s="182"/>
      <c r="N88" s="110"/>
      <c r="O88" s="137"/>
      <c r="Q88" s="137"/>
      <c r="T88" s="219"/>
      <c r="U88" s="230"/>
      <c r="V88" s="104"/>
      <c r="X88" s="217"/>
      <c r="Y88" s="88"/>
      <c r="Z88" s="89"/>
    </row>
    <row r="89" spans="1:26">
      <c r="A89" s="193">
        <f>'Bootstraping-Linear_Interpol'!N16</f>
        <v>1279</v>
      </c>
      <c r="B89" s="108">
        <f>VLOOKUP(A89,'Bootstraping-Linear_Interpol'!$N$7:$R$40,5)</f>
        <v>1.0114281748724145</v>
      </c>
      <c r="C89" s="194">
        <f>(B89/B88)^(1/(A89-A88))</f>
        <v>1.0000060427602544</v>
      </c>
      <c r="D89" s="195">
        <f>D87+H45</f>
        <v>1170</v>
      </c>
      <c r="E89" s="108">
        <f>B88*C89^(D89-A88)</f>
        <v>1.0107622080724596</v>
      </c>
      <c r="K89" s="229"/>
      <c r="L89" s="182"/>
      <c r="M89" s="182"/>
      <c r="N89" s="110"/>
      <c r="O89" s="137"/>
      <c r="Q89" s="137"/>
      <c r="T89" s="219"/>
      <c r="U89" s="230"/>
      <c r="V89" s="104"/>
      <c r="X89" s="217"/>
      <c r="Y89" s="88"/>
      <c r="Z89" s="89"/>
    </row>
    <row r="90" spans="1:26">
      <c r="A90" s="192">
        <f>'Bootstraping-Linear_Interpol'!N16</f>
        <v>1279</v>
      </c>
      <c r="B90" s="104">
        <f>VLOOKUP(A90,'Bootstraping-Linear_Interpol'!$N$7:$R$40,5)</f>
        <v>1.0114281748724145</v>
      </c>
      <c r="C90" s="115"/>
      <c r="D90" s="196"/>
      <c r="E90" s="104"/>
      <c r="K90" s="229"/>
      <c r="L90" s="182"/>
      <c r="M90" s="182"/>
      <c r="N90" s="110"/>
      <c r="O90" s="137"/>
      <c r="Q90" s="137"/>
      <c r="T90" s="219"/>
      <c r="U90" s="230"/>
      <c r="V90" s="104"/>
      <c r="X90" s="217"/>
      <c r="Y90" s="88"/>
      <c r="Z90" s="89"/>
    </row>
    <row r="91" spans="1:26">
      <c r="A91" s="193">
        <f>'Bootstraping-Linear_Interpol'!N17</f>
        <v>1461</v>
      </c>
      <c r="B91" s="108">
        <f>VLOOKUP(A91,'Bootstraping-Linear_Interpol'!$N$7:$R$40,5)</f>
        <v>1.0123536413378431</v>
      </c>
      <c r="C91" s="194">
        <f>(B91/B90)^(1/(A91-A90))</f>
        <v>1.0000050252390544</v>
      </c>
      <c r="D91" s="195">
        <f>D89+H46</f>
        <v>1351</v>
      </c>
      <c r="E91" s="108">
        <f>B90*C91^(D91-A90)</f>
        <v>1.0117941922867517</v>
      </c>
      <c r="K91" s="229"/>
      <c r="L91" s="182"/>
      <c r="M91" s="182"/>
      <c r="N91" s="110"/>
      <c r="O91" s="137"/>
      <c r="Q91" s="137"/>
      <c r="T91" s="219"/>
      <c r="U91" s="230"/>
      <c r="V91" s="104"/>
      <c r="X91" s="217"/>
      <c r="Y91" s="88"/>
      <c r="Z91" s="89"/>
    </row>
    <row r="92" spans="1:26">
      <c r="A92" s="192">
        <f>'Bootstraping-Linear_Interpol'!N17</f>
        <v>1461</v>
      </c>
      <c r="B92" s="104">
        <f>VLOOKUP(A92,'Bootstraping-Linear_Interpol'!$N$7:$R$40,5)</f>
        <v>1.0123536413378431</v>
      </c>
      <c r="C92" s="115"/>
      <c r="D92" s="166"/>
      <c r="E92" s="104"/>
      <c r="K92" s="229"/>
      <c r="L92" s="182"/>
      <c r="M92" s="182"/>
      <c r="N92" s="110"/>
      <c r="O92" s="137"/>
      <c r="Q92" s="137"/>
      <c r="T92" s="219"/>
      <c r="U92" s="230"/>
      <c r="V92" s="104"/>
      <c r="X92" s="217"/>
      <c r="Y92" s="88"/>
      <c r="Z92" s="89"/>
    </row>
    <row r="93" spans="1:26">
      <c r="A93" s="193">
        <f>'Bootstraping-Linear_Interpol'!N18</f>
        <v>1643</v>
      </c>
      <c r="B93" s="108">
        <f>VLOOKUP(A93,'Bootstraping-Linear_Interpol'!$N$7:$R$40,5)</f>
        <v>1.0129984030329278</v>
      </c>
      <c r="C93" s="194">
        <f>(B93/B92)^(1/(A93-A92))</f>
        <v>1.0000034983083583</v>
      </c>
      <c r="D93" s="195">
        <f>D91+H47</f>
        <v>1531</v>
      </c>
      <c r="E93" s="108">
        <f>B92*C93^(D93-A92)</f>
        <v>1.0126015780248474</v>
      </c>
      <c r="K93" s="229"/>
      <c r="L93" s="182"/>
      <c r="M93" s="182"/>
      <c r="N93" s="110"/>
      <c r="O93" s="137"/>
      <c r="Q93" s="137"/>
      <c r="T93" s="219"/>
      <c r="U93" s="230"/>
      <c r="V93" s="104"/>
      <c r="X93" s="217"/>
      <c r="Y93" s="88"/>
      <c r="Z93" s="89"/>
    </row>
    <row r="94" spans="1:26">
      <c r="A94" s="192">
        <f>'Bootstraping-Linear_Interpol'!N18</f>
        <v>1643</v>
      </c>
      <c r="B94" s="104">
        <f>VLOOKUP(A94,'Bootstraping-Linear_Interpol'!$N$7:$R$40,5)</f>
        <v>1.0129984030329278</v>
      </c>
      <c r="D94" s="166"/>
      <c r="E94" s="104"/>
      <c r="K94" s="229"/>
      <c r="L94" s="182"/>
      <c r="M94" s="182"/>
      <c r="N94" s="110"/>
      <c r="O94" s="137"/>
      <c r="Q94" s="137"/>
      <c r="T94" s="219"/>
      <c r="U94" s="230"/>
      <c r="V94" s="104"/>
      <c r="X94" s="217"/>
      <c r="Y94" s="88"/>
      <c r="Z94" s="89"/>
    </row>
    <row r="95" spans="1:26">
      <c r="A95" s="193">
        <f>'Bootstraping-Linear_Interpol'!N19</f>
        <v>1827</v>
      </c>
      <c r="B95" s="108">
        <f>VLOOKUP(A95,'Bootstraping-Linear_Interpol'!$N$7:$R$40,5)</f>
        <v>1.0134263697880397</v>
      </c>
      <c r="C95" s="96">
        <f>(B95/B94)^(1/(A95-A94))</f>
        <v>1.0000022955789065</v>
      </c>
      <c r="D95" s="195">
        <f>D93+H48</f>
        <v>1710</v>
      </c>
      <c r="E95" s="108">
        <f>B94*C95^(D95-A94)</f>
        <v>1.0131542178265776</v>
      </c>
      <c r="K95" s="229"/>
      <c r="L95" s="182"/>
      <c r="M95" s="182"/>
      <c r="N95" s="110"/>
      <c r="O95" s="137"/>
      <c r="Q95" s="137"/>
      <c r="T95" s="219"/>
      <c r="U95" s="230"/>
      <c r="V95" s="104"/>
      <c r="X95" s="217"/>
      <c r="Y95" s="88"/>
      <c r="Z95" s="89"/>
    </row>
    <row r="96" spans="1:26">
      <c r="A96" s="192">
        <f>'Bootstraping-Linear_Interpol'!N19</f>
        <v>1827</v>
      </c>
      <c r="B96" s="104">
        <f>VLOOKUP(A96,'Bootstraping-Linear_Interpol'!$N$7:$R$40,5)</f>
        <v>1.0134263697880397</v>
      </c>
      <c r="E96" s="104"/>
      <c r="K96" s="229"/>
      <c r="L96" s="182"/>
      <c r="M96" s="182"/>
      <c r="N96" s="110"/>
      <c r="O96" s="137"/>
      <c r="Q96" s="137"/>
      <c r="T96" s="219"/>
      <c r="U96" s="230"/>
      <c r="V96" s="104"/>
      <c r="X96" s="217"/>
      <c r="Y96" s="88"/>
      <c r="Z96" s="89"/>
    </row>
    <row r="97" spans="1:26">
      <c r="A97" s="193">
        <f>'Bootstraping-Linear_Interpol'!N20</f>
        <v>2008</v>
      </c>
      <c r="B97" s="108">
        <f>VLOOKUP(A97,'Bootstraping-Linear_Interpol'!$N$7:$R$40,5)</f>
        <v>1.0135216491518062</v>
      </c>
      <c r="C97" s="96">
        <f>(B97/B96)^(1/(A97-A96))</f>
        <v>1.0000005194069674</v>
      </c>
      <c r="D97" s="195">
        <f>D95+H49</f>
        <v>1890</v>
      </c>
      <c r="E97" s="108">
        <f>B96*C97^(D97-A96)</f>
        <v>1.0134595323072064</v>
      </c>
      <c r="K97" s="229"/>
      <c r="L97" s="182"/>
      <c r="M97" s="182"/>
      <c r="N97" s="110"/>
      <c r="O97" s="137"/>
      <c r="Q97" s="137"/>
      <c r="T97" s="219"/>
      <c r="U97" s="230"/>
      <c r="V97" s="104"/>
      <c r="X97" s="217"/>
      <c r="Y97" s="88"/>
      <c r="Z97" s="89"/>
    </row>
    <row r="98" spans="1:26">
      <c r="A98" s="192">
        <f>'Bootstraping-Linear_Interpol'!N20</f>
        <v>2008</v>
      </c>
      <c r="B98" s="104">
        <f>VLOOKUP(A98,'Bootstraping-Linear_Interpol'!$N$7:$R$40,5)</f>
        <v>1.0135216491518062</v>
      </c>
      <c r="E98" s="104"/>
      <c r="K98" s="229"/>
      <c r="L98" s="182"/>
      <c r="M98" s="182"/>
      <c r="N98" s="110"/>
      <c r="O98" s="137"/>
      <c r="Q98" s="137"/>
      <c r="T98" s="219"/>
      <c r="U98" s="230"/>
      <c r="V98" s="104"/>
      <c r="X98" s="217"/>
      <c r="Y98" s="88"/>
      <c r="Z98" s="89"/>
    </row>
    <row r="99" spans="1:26">
      <c r="A99" s="193">
        <f>'Bootstraping-Linear_Interpol'!N21</f>
        <v>2192</v>
      </c>
      <c r="B99" s="108">
        <f>VLOOKUP(A99,'Bootstraping-Linear_Interpol'!$N$7:$R$40,5)</f>
        <v>1.0133599501332615</v>
      </c>
      <c r="C99" s="96">
        <f>(B99/B98)^(1/(A99-A98))</f>
        <v>0.9999991328564678</v>
      </c>
      <c r="D99" s="195">
        <f>D97+H50</f>
        <v>2070</v>
      </c>
      <c r="E99" s="108">
        <f>B98*C99^(D99-A98)</f>
        <v>1.0134671607308678</v>
      </c>
      <c r="K99" s="229"/>
      <c r="L99" s="182"/>
      <c r="M99" s="182"/>
      <c r="N99" s="110"/>
      <c r="O99" s="137"/>
      <c r="Q99" s="137"/>
      <c r="T99" s="219"/>
      <c r="U99" s="230"/>
      <c r="V99" s="104"/>
      <c r="X99" s="217"/>
      <c r="Y99" s="88"/>
      <c r="Z99" s="89"/>
    </row>
    <row r="100" spans="1:26">
      <c r="A100" s="192">
        <f>'Bootstraping-Linear_Interpol'!N21</f>
        <v>2192</v>
      </c>
      <c r="B100" s="104">
        <f>VLOOKUP(A100,'Bootstraping-Linear_Interpol'!$N$7:$R$40,5)</f>
        <v>1.0133599501332615</v>
      </c>
      <c r="E100" s="104"/>
      <c r="K100" s="229"/>
      <c r="L100" s="182"/>
      <c r="M100" s="182"/>
      <c r="N100" s="110"/>
      <c r="O100" s="137"/>
      <c r="Q100" s="137"/>
      <c r="T100" s="219"/>
      <c r="U100" s="230"/>
      <c r="V100" s="104"/>
      <c r="X100" s="217"/>
      <c r="Y100" s="88"/>
      <c r="Z100" s="89"/>
    </row>
    <row r="101" spans="1:26">
      <c r="A101" s="193">
        <f>'Bootstraping-Linear_Interpol'!N22</f>
        <v>2373</v>
      </c>
      <c r="B101" s="108">
        <f>VLOOKUP(A101,'Bootstraping-Linear_Interpol'!$N$7:$R$40,5)</f>
        <v>1.0128305336924632</v>
      </c>
      <c r="C101" s="96">
        <f>(B101/B100)^(1/(A101-A100))</f>
        <v>0.99999711285925075</v>
      </c>
      <c r="D101" s="195">
        <f>D99+H51</f>
        <v>2250</v>
      </c>
      <c r="E101" s="108">
        <f>B100*C101^(D101-A100)</f>
        <v>1.0131902727525781</v>
      </c>
      <c r="K101" s="229"/>
      <c r="L101" s="182"/>
      <c r="M101" s="182"/>
      <c r="N101" s="110"/>
      <c r="O101" s="137"/>
      <c r="Q101" s="137"/>
      <c r="T101" s="219"/>
      <c r="U101" s="230"/>
      <c r="V101" s="104"/>
      <c r="X101" s="217"/>
      <c r="Y101" s="88"/>
      <c r="Z101" s="89"/>
    </row>
    <row r="102" spans="1:26">
      <c r="A102" s="192">
        <f>'Bootstraping-Linear_Interpol'!N22</f>
        <v>2373</v>
      </c>
      <c r="B102" s="104">
        <f>VLOOKUP(A102,'Bootstraping-Linear_Interpol'!$N$7:$R$40,5)</f>
        <v>1.0128305336924632</v>
      </c>
      <c r="E102" s="104"/>
      <c r="K102" s="229"/>
      <c r="L102" s="182"/>
      <c r="M102" s="182"/>
      <c r="N102" s="110"/>
      <c r="O102" s="137"/>
      <c r="Q102" s="137"/>
      <c r="T102" s="219"/>
      <c r="U102" s="230"/>
      <c r="V102" s="104"/>
      <c r="X102" s="217"/>
      <c r="Y102" s="88"/>
      <c r="Z102" s="89"/>
    </row>
    <row r="103" spans="1:26">
      <c r="A103" s="193">
        <f>'Bootstraping-Linear_Interpol'!N23</f>
        <v>2557</v>
      </c>
      <c r="B103" s="108">
        <f>VLOOKUP(A103,'Bootstraping-Linear_Interpol'!$N$7:$R$40,5)</f>
        <v>1.0119976269221789</v>
      </c>
      <c r="C103" s="96">
        <f>(B103/B102)^(1/(A103-A102))</f>
        <v>0.99999552884787613</v>
      </c>
      <c r="D103" s="195">
        <f>D101+H52</f>
        <v>2430</v>
      </c>
      <c r="E103" s="108">
        <f>B102*C103^(D103-A102)</f>
        <v>1.0125724403998082</v>
      </c>
      <c r="K103" s="229"/>
      <c r="L103" s="182"/>
      <c r="M103" s="182"/>
      <c r="N103" s="110"/>
      <c r="O103" s="137"/>
      <c r="Q103" s="137"/>
      <c r="T103" s="219"/>
      <c r="U103" s="230"/>
      <c r="V103" s="104"/>
      <c r="X103" s="217"/>
      <c r="Y103" s="88"/>
      <c r="Z103" s="89"/>
    </row>
    <row r="104" spans="1:26">
      <c r="A104" s="192">
        <f>'Bootstraping-Linear_Interpol'!N23</f>
        <v>2557</v>
      </c>
      <c r="B104" s="104">
        <f>VLOOKUP(A104,'Bootstraping-Linear_Interpol'!$N$7:$R$40,5)</f>
        <v>1.0119976269221789</v>
      </c>
      <c r="E104" s="104"/>
      <c r="K104" s="229"/>
      <c r="L104" s="182"/>
      <c r="M104" s="182"/>
      <c r="N104" s="110"/>
      <c r="O104" s="137"/>
      <c r="Q104" s="137"/>
      <c r="T104" s="219"/>
      <c r="U104" s="230"/>
      <c r="V104" s="104"/>
      <c r="X104" s="217"/>
      <c r="Y104" s="88"/>
      <c r="Z104" s="89"/>
    </row>
    <row r="105" spans="1:26">
      <c r="A105" s="193">
        <f>'Bootstraping-Linear_Interpol'!N24</f>
        <v>2738</v>
      </c>
      <c r="B105" s="108">
        <f>VLOOKUP(A105,'Bootstraping-Linear_Interpol'!$N$7:$R$40,5)</f>
        <v>1.0107653473369573</v>
      </c>
      <c r="C105" s="96">
        <f>(B105/B104)^(1/(A105-A104))</f>
        <v>0.99999326846247627</v>
      </c>
      <c r="D105" s="195">
        <f>D103+H53</f>
        <v>2610</v>
      </c>
      <c r="E105" s="108">
        <f>B104*C105^(D105-A104)</f>
        <v>1.0116366382062674</v>
      </c>
      <c r="K105" s="229"/>
      <c r="L105" s="182"/>
      <c r="M105" s="182"/>
      <c r="N105" s="110"/>
      <c r="O105" s="137"/>
      <c r="Q105" s="137"/>
      <c r="T105" s="219"/>
      <c r="U105" s="230"/>
      <c r="V105" s="104"/>
      <c r="X105" s="217"/>
      <c r="Y105" s="88"/>
      <c r="Z105" s="89"/>
    </row>
    <row r="106" spans="1:26">
      <c r="C106" s="147"/>
      <c r="D106" s="101"/>
      <c r="E106" s="142"/>
      <c r="K106" s="229"/>
      <c r="L106" s="182"/>
      <c r="M106" s="182"/>
      <c r="N106" s="110"/>
      <c r="O106" s="137"/>
      <c r="Q106" s="137"/>
      <c r="T106" s="219"/>
      <c r="U106" s="230"/>
      <c r="V106" s="104"/>
      <c r="X106" s="217"/>
      <c r="Y106" s="88"/>
      <c r="Z106" s="89"/>
    </row>
    <row r="107" spans="1:26">
      <c r="C107" s="147"/>
      <c r="D107" s="101"/>
      <c r="E107" s="142"/>
      <c r="K107" s="229"/>
      <c r="L107" s="182"/>
      <c r="M107" s="182"/>
      <c r="N107" s="110"/>
      <c r="O107" s="137"/>
      <c r="Q107" s="137"/>
      <c r="T107" s="219"/>
      <c r="U107" s="230"/>
      <c r="V107" s="104"/>
      <c r="X107" s="217"/>
      <c r="Y107" s="88"/>
      <c r="Z107" s="89"/>
    </row>
    <row r="108" spans="1:26">
      <c r="C108" s="147"/>
      <c r="D108" s="101"/>
      <c r="E108" s="142"/>
      <c r="K108" s="229"/>
      <c r="L108" s="182"/>
      <c r="M108" s="182"/>
      <c r="N108" s="110"/>
      <c r="O108" s="137"/>
      <c r="Q108" s="137"/>
      <c r="T108" s="219"/>
      <c r="U108" s="230"/>
      <c r="V108" s="104"/>
      <c r="X108" s="217"/>
      <c r="Y108" s="88"/>
      <c r="Z108" s="89"/>
    </row>
    <row r="109" spans="1:26">
      <c r="C109" s="147"/>
      <c r="D109" s="101"/>
      <c r="E109" s="142"/>
      <c r="K109" s="229"/>
      <c r="L109" s="182"/>
      <c r="M109" s="182"/>
      <c r="N109" s="110"/>
      <c r="O109" s="137"/>
      <c r="Q109" s="137"/>
      <c r="T109" s="219"/>
      <c r="U109" s="230"/>
      <c r="V109" s="104"/>
      <c r="X109" s="217"/>
      <c r="Y109" s="88"/>
      <c r="Z109" s="89"/>
    </row>
    <row r="110" spans="1:26">
      <c r="C110" s="147"/>
      <c r="D110" s="101"/>
      <c r="E110" s="142"/>
      <c r="K110" s="229"/>
      <c r="L110" s="182"/>
      <c r="M110" s="182"/>
      <c r="N110" s="110"/>
      <c r="O110" s="137"/>
      <c r="Q110" s="137"/>
      <c r="T110" s="219"/>
      <c r="U110" s="230"/>
      <c r="V110" s="104"/>
      <c r="X110" s="217"/>
      <c r="Y110" s="88"/>
      <c r="Z110" s="89"/>
    </row>
    <row r="111" spans="1:26">
      <c r="C111" s="147"/>
      <c r="D111" s="101"/>
      <c r="E111" s="142"/>
      <c r="K111" s="229"/>
      <c r="L111" s="182"/>
      <c r="M111" s="182"/>
      <c r="N111" s="110"/>
      <c r="O111" s="137"/>
      <c r="Q111" s="137"/>
      <c r="T111" s="219"/>
      <c r="U111" s="230"/>
      <c r="V111" s="104"/>
      <c r="X111" s="217"/>
      <c r="Y111" s="88"/>
      <c r="Z111" s="89"/>
    </row>
    <row r="112" spans="1:26">
      <c r="C112" s="147"/>
      <c r="D112" s="101"/>
      <c r="E112" s="142"/>
      <c r="K112" s="229"/>
      <c r="L112" s="182"/>
      <c r="M112" s="182"/>
      <c r="N112" s="110"/>
      <c r="O112" s="137"/>
      <c r="Q112" s="137"/>
      <c r="T112" s="219"/>
      <c r="U112" s="230"/>
      <c r="V112" s="104"/>
      <c r="X112" s="217"/>
      <c r="Y112" s="88"/>
      <c r="Z112" s="89"/>
    </row>
    <row r="113" spans="1:19" ht="15" thickBot="1">
      <c r="A113" s="315" t="s">
        <v>554</v>
      </c>
      <c r="B113" s="315"/>
    </row>
    <row r="114" spans="1:19" ht="15" thickBot="1">
      <c r="A114" s="314" t="s">
        <v>334</v>
      </c>
      <c r="B114" s="314"/>
      <c r="C114" s="314"/>
      <c r="D114" s="314"/>
      <c r="E114" s="314"/>
      <c r="F114" s="314"/>
      <c r="G114" s="314"/>
      <c r="H114" s="314"/>
      <c r="I114" s="320"/>
      <c r="J114" s="207" t="s">
        <v>412</v>
      </c>
      <c r="K114" s="208"/>
      <c r="L114" s="209"/>
      <c r="M114" s="209"/>
      <c r="N114" s="319" t="s">
        <v>413</v>
      </c>
      <c r="O114" s="314"/>
      <c r="P114" s="314"/>
      <c r="Q114" s="314"/>
      <c r="R114" s="314"/>
      <c r="S114" s="320"/>
    </row>
    <row r="115" spans="1:19" ht="15" thickBot="1">
      <c r="A115" s="99" t="s">
        <v>323</v>
      </c>
      <c r="B115" s="99" t="s">
        <v>299</v>
      </c>
      <c r="C115" s="99" t="s">
        <v>301</v>
      </c>
      <c r="D115" s="99" t="s">
        <v>33</v>
      </c>
      <c r="E115" s="99" t="s">
        <v>395</v>
      </c>
      <c r="F115" s="99" t="s">
        <v>303</v>
      </c>
      <c r="G115" s="99" t="s">
        <v>319</v>
      </c>
      <c r="H115" s="99" t="s">
        <v>344</v>
      </c>
      <c r="I115" s="99" t="s">
        <v>302</v>
      </c>
      <c r="J115" s="212" t="s">
        <v>398</v>
      </c>
      <c r="K115" s="210" t="s">
        <v>405</v>
      </c>
      <c r="L115" s="99" t="s">
        <v>319</v>
      </c>
      <c r="M115" s="99" t="s">
        <v>406</v>
      </c>
      <c r="N115" s="210" t="s">
        <v>407</v>
      </c>
      <c r="O115" s="99" t="s">
        <v>408</v>
      </c>
      <c r="P115" s="99" t="s">
        <v>409</v>
      </c>
      <c r="Q115" s="99" t="s">
        <v>410</v>
      </c>
      <c r="R115" s="99" t="s">
        <v>411</v>
      </c>
      <c r="S115" s="211" t="s">
        <v>439</v>
      </c>
    </row>
    <row r="116" spans="1:19">
      <c r="A116" s="142">
        <f t="shared" ref="A116:A130" si="14">A39</f>
        <v>12</v>
      </c>
      <c r="B116" s="178">
        <f t="shared" ref="B116:B130" si="15">F39</f>
        <v>43781</v>
      </c>
      <c r="C116" s="178">
        <f t="shared" ref="C116:C130" si="16">G39</f>
        <v>43963</v>
      </c>
      <c r="D116" s="142">
        <f t="shared" ref="D116:D130" si="17">A59</f>
        <v>90</v>
      </c>
      <c r="E116" s="142">
        <f t="shared" ref="E116:E130" si="18">H39</f>
        <v>180</v>
      </c>
      <c r="F116" s="103">
        <f>D116/360</f>
        <v>0.25</v>
      </c>
      <c r="G116" s="100">
        <f>E77</f>
        <v>1.0012966791995634</v>
      </c>
      <c r="H116" s="100">
        <f t="shared" ref="H116:H130" si="19">-LN(G116)/F116</f>
        <v>-5.1833569484785345E-3</v>
      </c>
      <c r="I116" s="103">
        <f>E116/360</f>
        <v>0.5</v>
      </c>
      <c r="J116" s="215">
        <f>$B$11*I116</f>
        <v>1.4999999999999999E-2</v>
      </c>
      <c r="K116" s="221">
        <f>J116</f>
        <v>1.4999999999999999E-2</v>
      </c>
      <c r="L116" s="204">
        <f t="shared" ref="L116:L130" si="20">G116</f>
        <v>1.0012966791995634</v>
      </c>
      <c r="M116" s="222">
        <f>K116*L116</f>
        <v>1.5019450187993451E-2</v>
      </c>
      <c r="N116" s="223">
        <f>'Survival Probability (Q3)'!F42</f>
        <v>0.98957749864427946</v>
      </c>
      <c r="O116" s="224">
        <v>0.4</v>
      </c>
      <c r="P116" s="225">
        <f>K116*N116</f>
        <v>1.4843662479664191E-2</v>
      </c>
      <c r="Q116" s="222">
        <f>P116*L116</f>
        <v>1.4862909948046912E-2</v>
      </c>
      <c r="R116" s="222">
        <f>(1-N116)*O116</f>
        <v>4.1690005422882152E-3</v>
      </c>
      <c r="S116" s="200">
        <f>L116*R116</f>
        <v>4.1744063985743691E-3</v>
      </c>
    </row>
    <row r="117" spans="1:19">
      <c r="A117" s="142">
        <f t="shared" si="14"/>
        <v>13</v>
      </c>
      <c r="B117" s="178">
        <f t="shared" si="15"/>
        <v>43963</v>
      </c>
      <c r="C117" s="178">
        <f t="shared" si="16"/>
        <v>44147</v>
      </c>
      <c r="D117" s="142">
        <f t="shared" si="17"/>
        <v>270</v>
      </c>
      <c r="E117" s="142">
        <f t="shared" si="18"/>
        <v>180</v>
      </c>
      <c r="F117" s="103">
        <f>D117/360</f>
        <v>0.75</v>
      </c>
      <c r="G117" s="100">
        <f>E79</f>
        <v>1.0027804670927887</v>
      </c>
      <c r="H117" s="100">
        <f t="shared" si="19"/>
        <v>-3.7021449926851568E-3</v>
      </c>
      <c r="I117" s="103">
        <f>E117/360</f>
        <v>0.5</v>
      </c>
      <c r="J117" s="215">
        <f t="shared" ref="J117:J130" si="21">$B$11*I117</f>
        <v>1.4999999999999999E-2</v>
      </c>
      <c r="K117" s="221">
        <f>J117</f>
        <v>1.4999999999999999E-2</v>
      </c>
      <c r="L117" s="204">
        <f t="shared" si="20"/>
        <v>1.0027804670927887</v>
      </c>
      <c r="M117" s="222">
        <f>K117*L117</f>
        <v>1.5041707006391829E-2</v>
      </c>
      <c r="N117" s="223">
        <f>'Survival Probability (Q3)'!F43</f>
        <v>0.9719379116650726</v>
      </c>
      <c r="O117" s="224">
        <v>0.4</v>
      </c>
      <c r="P117" s="225">
        <f t="shared" ref="P117:P130" si="22">K117*N117</f>
        <v>1.4579068674976088E-2</v>
      </c>
      <c r="Q117" s="222">
        <f>P117*L117</f>
        <v>1.4619605295670366E-2</v>
      </c>
      <c r="R117" s="222">
        <f>(N116-N117)*O117</f>
        <v>7.0558347916827475E-3</v>
      </c>
      <c r="S117" s="200">
        <f>L117*R117</f>
        <v>7.075453308133175E-3</v>
      </c>
    </row>
    <row r="118" spans="1:19">
      <c r="A118" s="142">
        <f t="shared" si="14"/>
        <v>14</v>
      </c>
      <c r="B118" s="178">
        <f t="shared" si="15"/>
        <v>44147</v>
      </c>
      <c r="C118" s="178">
        <f t="shared" si="16"/>
        <v>44328</v>
      </c>
      <c r="D118" s="142">
        <f t="shared" si="17"/>
        <v>450</v>
      </c>
      <c r="E118" s="142">
        <f t="shared" si="18"/>
        <v>180</v>
      </c>
      <c r="F118" s="103">
        <f t="shared" ref="F118:F130" si="23">D118/360</f>
        <v>1.25</v>
      </c>
      <c r="G118" s="100">
        <f>E81</f>
        <v>1.0038810087771415</v>
      </c>
      <c r="H118" s="100">
        <f t="shared" si="19"/>
        <v>-3.0987976732664135E-3</v>
      </c>
      <c r="I118" s="103">
        <f t="shared" ref="I118:I130" si="24">E118/360</f>
        <v>0.5</v>
      </c>
      <c r="J118" s="215">
        <f t="shared" si="21"/>
        <v>1.4999999999999999E-2</v>
      </c>
      <c r="K118" s="221">
        <f t="shared" ref="K118:K130" si="25">J118</f>
        <v>1.4999999999999999E-2</v>
      </c>
      <c r="L118" s="204">
        <f t="shared" si="20"/>
        <v>1.0038810087771415</v>
      </c>
      <c r="M118" s="222">
        <f t="shared" ref="M118:M130" si="26">K118*L118</f>
        <v>1.5058215131657122E-2</v>
      </c>
      <c r="N118" s="223">
        <f>'Survival Probability (Q3)'!F44</f>
        <v>0.95660888015002832</v>
      </c>
      <c r="O118" s="224">
        <v>0.4</v>
      </c>
      <c r="P118" s="225">
        <f t="shared" si="22"/>
        <v>1.4349133202250425E-2</v>
      </c>
      <c r="Q118" s="222">
        <f t="shared" ref="Q118:Q130" si="27">P118*L118</f>
        <v>1.4404822314152731E-2</v>
      </c>
      <c r="R118" s="222">
        <f t="shared" ref="R118:R130" si="28">(N117-N118)*O118</f>
        <v>6.1316126060177115E-3</v>
      </c>
      <c r="S118" s="200">
        <f t="shared" ref="S118:S129" si="29">L118*R118</f>
        <v>6.155409448359698E-3</v>
      </c>
    </row>
    <row r="119" spans="1:19">
      <c r="A119" s="142">
        <f t="shared" si="14"/>
        <v>15</v>
      </c>
      <c r="B119" s="178">
        <f t="shared" si="15"/>
        <v>44328</v>
      </c>
      <c r="C119" s="178">
        <f t="shared" si="16"/>
        <v>44512</v>
      </c>
      <c r="D119" s="142">
        <f t="shared" si="17"/>
        <v>630</v>
      </c>
      <c r="E119" s="142">
        <f t="shared" si="18"/>
        <v>180</v>
      </c>
      <c r="F119" s="103">
        <f t="shared" si="23"/>
        <v>1.75</v>
      </c>
      <c r="G119" s="100">
        <f>E83</f>
        <v>1.0060362667521872</v>
      </c>
      <c r="H119" s="100">
        <f t="shared" si="19"/>
        <v>-3.4389265584204819E-3</v>
      </c>
      <c r="I119" s="103">
        <f t="shared" si="24"/>
        <v>0.5</v>
      </c>
      <c r="J119" s="215">
        <f t="shared" si="21"/>
        <v>1.4999999999999999E-2</v>
      </c>
      <c r="K119" s="221">
        <f t="shared" si="25"/>
        <v>1.4999999999999999E-2</v>
      </c>
      <c r="L119" s="204">
        <f t="shared" si="20"/>
        <v>1.0060362667521872</v>
      </c>
      <c r="M119" s="222">
        <f t="shared" si="26"/>
        <v>1.5090544001282806E-2</v>
      </c>
      <c r="N119" s="223">
        <f>'Survival Probability (Q3)'!F45</f>
        <v>0.94137689860233498</v>
      </c>
      <c r="O119" s="224">
        <v>0.4</v>
      </c>
      <c r="P119" s="225">
        <f t="shared" si="22"/>
        <v>1.4120653479035024E-2</v>
      </c>
      <c r="Q119" s="222">
        <f t="shared" si="27"/>
        <v>1.4205889510149679E-2</v>
      </c>
      <c r="R119" s="222">
        <f t="shared" si="28"/>
        <v>6.0927926190773368E-3</v>
      </c>
      <c r="S119" s="200">
        <f t="shared" si="29"/>
        <v>6.1295703405918446E-3</v>
      </c>
    </row>
    <row r="120" spans="1:19">
      <c r="A120" s="142">
        <f t="shared" si="14"/>
        <v>16</v>
      </c>
      <c r="B120" s="178">
        <f t="shared" si="15"/>
        <v>44512</v>
      </c>
      <c r="C120" s="178">
        <f t="shared" si="16"/>
        <v>44693</v>
      </c>
      <c r="D120" s="142">
        <f t="shared" si="17"/>
        <v>810</v>
      </c>
      <c r="E120" s="142">
        <f t="shared" si="18"/>
        <v>180</v>
      </c>
      <c r="F120" s="103">
        <f t="shared" si="23"/>
        <v>2.25</v>
      </c>
      <c r="G120" s="100">
        <f>E85</f>
        <v>1.0080269597397804</v>
      </c>
      <c r="H120" s="100">
        <f t="shared" si="19"/>
        <v>-3.5532955844918748E-3</v>
      </c>
      <c r="I120" s="103">
        <f t="shared" si="24"/>
        <v>0.5</v>
      </c>
      <c r="J120" s="215">
        <f t="shared" si="21"/>
        <v>1.4999999999999999E-2</v>
      </c>
      <c r="K120" s="221">
        <f t="shared" si="25"/>
        <v>1.4999999999999999E-2</v>
      </c>
      <c r="L120" s="204">
        <f t="shared" si="20"/>
        <v>1.0080269597397804</v>
      </c>
      <c r="M120" s="222">
        <f t="shared" si="26"/>
        <v>1.5120404396096706E-2</v>
      </c>
      <c r="N120" s="223">
        <f>'Survival Probability (Q3)'!F46</f>
        <v>0.92661160406540621</v>
      </c>
      <c r="O120" s="224">
        <v>0.4</v>
      </c>
      <c r="P120" s="225">
        <f t="shared" si="22"/>
        <v>1.3899174060981092E-2</v>
      </c>
      <c r="Q120" s="222">
        <f t="shared" si="27"/>
        <v>1.4010742171584788E-2</v>
      </c>
      <c r="R120" s="222">
        <f t="shared" si="28"/>
        <v>5.9061178147715061E-3</v>
      </c>
      <c r="S120" s="200">
        <f t="shared" si="29"/>
        <v>5.9535259846890771E-3</v>
      </c>
    </row>
    <row r="121" spans="1:19">
      <c r="A121" s="142">
        <f t="shared" si="14"/>
        <v>17</v>
      </c>
      <c r="B121" s="178">
        <f t="shared" si="15"/>
        <v>44693</v>
      </c>
      <c r="C121" s="178">
        <f t="shared" si="16"/>
        <v>44879</v>
      </c>
      <c r="D121" s="142">
        <f t="shared" si="17"/>
        <v>992</v>
      </c>
      <c r="E121" s="142">
        <f t="shared" si="18"/>
        <v>182</v>
      </c>
      <c r="F121" s="103">
        <f t="shared" si="23"/>
        <v>2.7555555555555555</v>
      </c>
      <c r="G121" s="100">
        <f>E87</f>
        <v>1.0095064700241203</v>
      </c>
      <c r="H121" s="100">
        <f t="shared" si="19"/>
        <v>-3.4336335075722813E-3</v>
      </c>
      <c r="I121" s="103">
        <f t="shared" si="24"/>
        <v>0.50555555555555554</v>
      </c>
      <c r="J121" s="215">
        <f t="shared" si="21"/>
        <v>1.5166666666666665E-2</v>
      </c>
      <c r="K121" s="221">
        <f t="shared" si="25"/>
        <v>1.5166666666666665E-2</v>
      </c>
      <c r="L121" s="204">
        <f t="shared" si="20"/>
        <v>1.0095064700241203</v>
      </c>
      <c r="M121" s="222">
        <f t="shared" si="26"/>
        <v>1.5310848128699156E-2</v>
      </c>
      <c r="N121" s="223">
        <f>'Survival Probability (Q3)'!F47</f>
        <v>0.91169640658338413</v>
      </c>
      <c r="O121" s="224">
        <v>0.4</v>
      </c>
      <c r="P121" s="225">
        <f t="shared" si="22"/>
        <v>1.3827395499847992E-2</v>
      </c>
      <c r="Q121" s="222">
        <f t="shared" si="27"/>
        <v>1.3958845220678954E-2</v>
      </c>
      <c r="R121" s="222">
        <f t="shared" si="28"/>
        <v>5.9660789928088322E-3</v>
      </c>
      <c r="S121" s="200">
        <f t="shared" si="29"/>
        <v>6.0227953439155029E-3</v>
      </c>
    </row>
    <row r="122" spans="1:19">
      <c r="A122" s="142">
        <f t="shared" si="14"/>
        <v>18</v>
      </c>
      <c r="B122" s="178">
        <f t="shared" si="15"/>
        <v>44879</v>
      </c>
      <c r="C122" s="178">
        <f t="shared" si="16"/>
        <v>45058</v>
      </c>
      <c r="D122" s="142">
        <f t="shared" si="17"/>
        <v>1170</v>
      </c>
      <c r="E122" s="142">
        <f t="shared" si="18"/>
        <v>178</v>
      </c>
      <c r="F122" s="103">
        <f t="shared" si="23"/>
        <v>3.25</v>
      </c>
      <c r="G122" s="100">
        <f>E89</f>
        <v>1.0107622080724596</v>
      </c>
      <c r="H122" s="100">
        <f t="shared" si="19"/>
        <v>-3.2937562145456236E-3</v>
      </c>
      <c r="I122" s="103">
        <f t="shared" si="24"/>
        <v>0.49444444444444446</v>
      </c>
      <c r="J122" s="215">
        <f t="shared" si="21"/>
        <v>1.4833333333333334E-2</v>
      </c>
      <c r="K122" s="221">
        <f t="shared" si="25"/>
        <v>1.4833333333333334E-2</v>
      </c>
      <c r="L122" s="204">
        <f t="shared" si="20"/>
        <v>1.0107622080724596</v>
      </c>
      <c r="M122" s="222">
        <f t="shared" si="26"/>
        <v>1.4992972753074818E-2</v>
      </c>
      <c r="N122" s="223">
        <f>'Survival Probability (Q3)'!F48</f>
        <v>0.89739224673918205</v>
      </c>
      <c r="O122" s="224">
        <v>0.4</v>
      </c>
      <c r="P122" s="225">
        <f t="shared" si="22"/>
        <v>1.33113183266312E-2</v>
      </c>
      <c r="Q122" s="222">
        <f t="shared" si="27"/>
        <v>1.3454577504181151E-2</v>
      </c>
      <c r="R122" s="222">
        <f t="shared" si="28"/>
        <v>5.7216639376808324E-3</v>
      </c>
      <c r="S122" s="200">
        <f t="shared" si="29"/>
        <v>5.7832416754988424E-3</v>
      </c>
    </row>
    <row r="123" spans="1:19">
      <c r="A123" s="142">
        <f t="shared" si="14"/>
        <v>19</v>
      </c>
      <c r="B123" s="178">
        <f t="shared" si="15"/>
        <v>45058</v>
      </c>
      <c r="C123" s="178">
        <f t="shared" si="16"/>
        <v>45243</v>
      </c>
      <c r="D123" s="142">
        <f t="shared" si="17"/>
        <v>1351</v>
      </c>
      <c r="E123" s="142">
        <f t="shared" si="18"/>
        <v>181</v>
      </c>
      <c r="F123" s="103">
        <f t="shared" si="23"/>
        <v>3.7527777777777778</v>
      </c>
      <c r="G123" s="100">
        <f>E91</f>
        <v>1.0117941922867517</v>
      </c>
      <c r="H123" s="100">
        <f t="shared" si="19"/>
        <v>-3.1244010629110706E-3</v>
      </c>
      <c r="I123" s="103">
        <f t="shared" si="24"/>
        <v>0.50277777777777777</v>
      </c>
      <c r="J123" s="215">
        <f t="shared" si="21"/>
        <v>1.5083333333333332E-2</v>
      </c>
      <c r="K123" s="221">
        <f t="shared" si="25"/>
        <v>1.5083333333333332E-2</v>
      </c>
      <c r="L123" s="204">
        <f t="shared" si="20"/>
        <v>1.0117941922867517</v>
      </c>
      <c r="M123" s="222">
        <f t="shared" si="26"/>
        <v>1.5261229066991837E-2</v>
      </c>
      <c r="N123" s="223">
        <f>'Survival Probability (Q3)'!F49</f>
        <v>0.8830247231511964</v>
      </c>
      <c r="O123" s="224">
        <v>0.4</v>
      </c>
      <c r="P123" s="225">
        <f t="shared" si="22"/>
        <v>1.3318956240863877E-2</v>
      </c>
      <c r="Q123" s="222">
        <f t="shared" si="27"/>
        <v>1.3476042571827457E-2</v>
      </c>
      <c r="R123" s="222">
        <f t="shared" si="28"/>
        <v>5.7470094351942617E-3</v>
      </c>
      <c r="S123" s="200">
        <f t="shared" si="29"/>
        <v>5.8147907695467191E-3</v>
      </c>
    </row>
    <row r="124" spans="1:19">
      <c r="A124" s="142">
        <f t="shared" si="14"/>
        <v>20</v>
      </c>
      <c r="B124" s="178">
        <f t="shared" si="15"/>
        <v>45243</v>
      </c>
      <c r="C124" s="178">
        <f t="shared" si="16"/>
        <v>45425</v>
      </c>
      <c r="D124" s="142">
        <f t="shared" si="17"/>
        <v>1531</v>
      </c>
      <c r="E124" s="142">
        <f t="shared" si="18"/>
        <v>180</v>
      </c>
      <c r="F124" s="103">
        <f t="shared" si="23"/>
        <v>4.2527777777777782</v>
      </c>
      <c r="G124" s="100">
        <f>E93</f>
        <v>1.0126015780248474</v>
      </c>
      <c r="H124" s="100">
        <f t="shared" si="19"/>
        <v>-2.9446257472087473E-3</v>
      </c>
      <c r="I124" s="103">
        <f t="shared" si="24"/>
        <v>0.5</v>
      </c>
      <c r="J124" s="215">
        <f t="shared" si="21"/>
        <v>1.4999999999999999E-2</v>
      </c>
      <c r="K124" s="221">
        <f t="shared" si="25"/>
        <v>1.4999999999999999E-2</v>
      </c>
      <c r="L124" s="204">
        <f t="shared" si="20"/>
        <v>1.0126015780248474</v>
      </c>
      <c r="M124" s="222">
        <f t="shared" si="26"/>
        <v>1.518902367037271E-2</v>
      </c>
      <c r="N124" s="223">
        <f>'Survival Probability (Q3)'!F50</f>
        <v>0.86896820871222047</v>
      </c>
      <c r="O124" s="224">
        <v>0.4</v>
      </c>
      <c r="P124" s="225">
        <f t="shared" si="22"/>
        <v>1.3034523130683307E-2</v>
      </c>
      <c r="Q124" s="222">
        <f t="shared" si="27"/>
        <v>1.3198778690931291E-2</v>
      </c>
      <c r="R124" s="222">
        <f t="shared" si="28"/>
        <v>5.6226057755903724E-3</v>
      </c>
      <c r="S124" s="200">
        <f t="shared" si="29"/>
        <v>5.6934594809744318E-3</v>
      </c>
    </row>
    <row r="125" spans="1:19">
      <c r="A125" s="142">
        <f t="shared" si="14"/>
        <v>21</v>
      </c>
      <c r="B125" s="178">
        <f t="shared" si="15"/>
        <v>45425</v>
      </c>
      <c r="C125" s="178">
        <f t="shared" si="16"/>
        <v>45608</v>
      </c>
      <c r="D125" s="142">
        <f t="shared" si="17"/>
        <v>1710</v>
      </c>
      <c r="E125" s="142">
        <f t="shared" si="18"/>
        <v>179</v>
      </c>
      <c r="F125" s="103">
        <f t="shared" si="23"/>
        <v>4.75</v>
      </c>
      <c r="G125" s="100">
        <f>E95</f>
        <v>1.0131542178265776</v>
      </c>
      <c r="H125" s="100">
        <f t="shared" si="19"/>
        <v>-2.7512531373861402E-3</v>
      </c>
      <c r="I125" s="103">
        <f t="shared" si="24"/>
        <v>0.49722222222222223</v>
      </c>
      <c r="J125" s="215">
        <f t="shared" si="21"/>
        <v>1.4916666666666667E-2</v>
      </c>
      <c r="K125" s="221">
        <f t="shared" si="25"/>
        <v>1.4916666666666667E-2</v>
      </c>
      <c r="L125" s="204">
        <f t="shared" si="20"/>
        <v>1.0131542178265776</v>
      </c>
      <c r="M125" s="222">
        <f t="shared" si="26"/>
        <v>1.5112883749246448E-2</v>
      </c>
      <c r="N125" s="223">
        <f>'Survival Probability (Q3)'!F51</f>
        <v>0.85517053162619039</v>
      </c>
      <c r="O125" s="224">
        <v>0.4</v>
      </c>
      <c r="P125" s="225">
        <f t="shared" si="22"/>
        <v>1.2756293763424006E-2</v>
      </c>
      <c r="Q125" s="222">
        <f t="shared" si="27"/>
        <v>1.2924092830247898E-2</v>
      </c>
      <c r="R125" s="222">
        <f t="shared" si="28"/>
        <v>5.5190708344120326E-3</v>
      </c>
      <c r="S125" s="200">
        <f t="shared" si="29"/>
        <v>5.5916698943681998E-3</v>
      </c>
    </row>
    <row r="126" spans="1:19">
      <c r="A126" s="142">
        <f t="shared" si="14"/>
        <v>22</v>
      </c>
      <c r="B126" s="178">
        <f t="shared" si="15"/>
        <v>45608</v>
      </c>
      <c r="C126" s="178">
        <f t="shared" si="16"/>
        <v>45789</v>
      </c>
      <c r="D126" s="142">
        <f t="shared" si="17"/>
        <v>1890</v>
      </c>
      <c r="E126" s="142">
        <f t="shared" si="18"/>
        <v>180</v>
      </c>
      <c r="F126" s="103">
        <f t="shared" si="23"/>
        <v>5.25</v>
      </c>
      <c r="G126" s="100">
        <f>E97</f>
        <v>1.0134595323072064</v>
      </c>
      <c r="H126" s="100">
        <f t="shared" si="19"/>
        <v>-2.5466204679636694E-3</v>
      </c>
      <c r="I126" s="103">
        <f t="shared" si="24"/>
        <v>0.5</v>
      </c>
      <c r="J126" s="215">
        <f t="shared" si="21"/>
        <v>1.4999999999999999E-2</v>
      </c>
      <c r="K126" s="221">
        <f t="shared" si="25"/>
        <v>1.4999999999999999E-2</v>
      </c>
      <c r="L126" s="204">
        <f t="shared" si="20"/>
        <v>1.0134595323072064</v>
      </c>
      <c r="M126" s="222">
        <f t="shared" si="26"/>
        <v>1.5201892984608096E-2</v>
      </c>
      <c r="N126" s="223">
        <f>'Survival Probability (Q3)'!F52</f>
        <v>0.84152115696817653</v>
      </c>
      <c r="O126" s="224">
        <v>0.4</v>
      </c>
      <c r="P126" s="225">
        <f t="shared" si="22"/>
        <v>1.2622817354522647E-2</v>
      </c>
      <c r="Q126" s="222">
        <f t="shared" si="27"/>
        <v>1.2792714572513811E-2</v>
      </c>
      <c r="R126" s="222">
        <f t="shared" si="28"/>
        <v>5.4597498632055434E-3</v>
      </c>
      <c r="S126" s="200">
        <f t="shared" si="29"/>
        <v>5.5332355428786241E-3</v>
      </c>
    </row>
    <row r="127" spans="1:19">
      <c r="A127" s="142">
        <f t="shared" si="14"/>
        <v>23</v>
      </c>
      <c r="B127" s="178">
        <f t="shared" si="15"/>
        <v>45789</v>
      </c>
      <c r="C127" s="178">
        <f t="shared" si="16"/>
        <v>45973</v>
      </c>
      <c r="D127" s="142">
        <f t="shared" si="17"/>
        <v>2070</v>
      </c>
      <c r="E127" s="142">
        <f t="shared" si="18"/>
        <v>180</v>
      </c>
      <c r="F127" s="103">
        <f t="shared" si="23"/>
        <v>5.75</v>
      </c>
      <c r="G127" s="100">
        <f>E99</f>
        <v>1.0134671607308678</v>
      </c>
      <c r="H127" s="100">
        <f t="shared" si="19"/>
        <v>-2.3264842679533212E-3</v>
      </c>
      <c r="I127" s="103">
        <f t="shared" si="24"/>
        <v>0.5</v>
      </c>
      <c r="J127" s="215">
        <f t="shared" si="21"/>
        <v>1.4999999999999999E-2</v>
      </c>
      <c r="K127" s="221">
        <f t="shared" si="25"/>
        <v>1.4999999999999999E-2</v>
      </c>
      <c r="L127" s="204">
        <f t="shared" si="20"/>
        <v>1.0134671607308678</v>
      </c>
      <c r="M127" s="222">
        <f t="shared" si="26"/>
        <v>1.5202007410963017E-2</v>
      </c>
      <c r="N127" s="223">
        <f>'Survival Probability (Q3)'!F53</f>
        <v>0.82807475696411736</v>
      </c>
      <c r="O127" s="224">
        <v>0.4</v>
      </c>
      <c r="P127" s="225">
        <f t="shared" si="22"/>
        <v>1.2421121354461761E-2</v>
      </c>
      <c r="Q127" s="222">
        <f t="shared" si="27"/>
        <v>1.2588398592199911E-2</v>
      </c>
      <c r="R127" s="222">
        <f t="shared" si="28"/>
        <v>5.3785600016236675E-3</v>
      </c>
      <c r="S127" s="200">
        <f t="shared" si="29"/>
        <v>5.4509939336661499E-3</v>
      </c>
    </row>
    <row r="128" spans="1:19">
      <c r="A128" s="142">
        <f t="shared" si="14"/>
        <v>24</v>
      </c>
      <c r="B128" s="178">
        <f t="shared" si="15"/>
        <v>45973</v>
      </c>
      <c r="C128" s="178">
        <f t="shared" si="16"/>
        <v>46154</v>
      </c>
      <c r="D128" s="142">
        <f t="shared" si="17"/>
        <v>2250</v>
      </c>
      <c r="E128" s="142">
        <f t="shared" si="18"/>
        <v>180</v>
      </c>
      <c r="F128" s="103">
        <f t="shared" si="23"/>
        <v>6.25</v>
      </c>
      <c r="G128" s="100">
        <f>E101</f>
        <v>1.0131902727525781</v>
      </c>
      <c r="H128" s="100">
        <f t="shared" si="19"/>
        <v>-2.0966461725995512E-3</v>
      </c>
      <c r="I128" s="103">
        <f t="shared" si="24"/>
        <v>0.5</v>
      </c>
      <c r="J128" s="215">
        <f t="shared" si="21"/>
        <v>1.4999999999999999E-2</v>
      </c>
      <c r="K128" s="221">
        <f t="shared" si="25"/>
        <v>1.4999999999999999E-2</v>
      </c>
      <c r="L128" s="204">
        <f t="shared" si="20"/>
        <v>1.0131902727525781</v>
      </c>
      <c r="M128" s="222">
        <f t="shared" si="26"/>
        <v>1.5197854091288671E-2</v>
      </c>
      <c r="N128" s="223">
        <f>'Survival Probability (Q3)'!F54</f>
        <v>0.81488927816370282</v>
      </c>
      <c r="O128" s="224">
        <v>0.4</v>
      </c>
      <c r="P128" s="225">
        <f t="shared" si="22"/>
        <v>1.2223339172455543E-2</v>
      </c>
      <c r="Q128" s="222">
        <f t="shared" si="27"/>
        <v>1.2384568350087504E-2</v>
      </c>
      <c r="R128" s="222">
        <f t="shared" si="28"/>
        <v>5.2741915201658168E-3</v>
      </c>
      <c r="S128" s="200">
        <f t="shared" si="29"/>
        <v>5.3437595448661383E-3</v>
      </c>
    </row>
    <row r="129" spans="1:21">
      <c r="A129" s="142">
        <f t="shared" si="14"/>
        <v>25</v>
      </c>
      <c r="B129" s="178">
        <f t="shared" si="15"/>
        <v>46154</v>
      </c>
      <c r="C129" s="178">
        <f t="shared" si="16"/>
        <v>46338</v>
      </c>
      <c r="D129" s="142">
        <f t="shared" si="17"/>
        <v>2430</v>
      </c>
      <c r="E129" s="142">
        <f t="shared" si="18"/>
        <v>180</v>
      </c>
      <c r="F129" s="103">
        <f t="shared" si="23"/>
        <v>6.75</v>
      </c>
      <c r="G129" s="100">
        <f>E103</f>
        <v>1.0125724403998082</v>
      </c>
      <c r="H129" s="100">
        <f t="shared" si="19"/>
        <v>-1.8509723723175596E-3</v>
      </c>
      <c r="I129" s="103">
        <f t="shared" si="24"/>
        <v>0.5</v>
      </c>
      <c r="J129" s="215">
        <f t="shared" si="21"/>
        <v>1.4999999999999999E-2</v>
      </c>
      <c r="K129" s="221">
        <f t="shared" si="25"/>
        <v>1.4999999999999999E-2</v>
      </c>
      <c r="L129" s="204">
        <f t="shared" si="20"/>
        <v>1.0125724403998082</v>
      </c>
      <c r="M129" s="222">
        <f t="shared" si="26"/>
        <v>1.5188586605997123E-2</v>
      </c>
      <c r="N129" s="223">
        <f>'Survival Probability (Q3)'!F55</f>
        <v>0.8019590869475538</v>
      </c>
      <c r="O129" s="224">
        <v>0.4</v>
      </c>
      <c r="P129" s="225">
        <f t="shared" si="22"/>
        <v>1.2029386304213307E-2</v>
      </c>
      <c r="Q129" s="222">
        <f t="shared" si="27"/>
        <v>1.2180625046569298E-2</v>
      </c>
      <c r="R129" s="222">
        <f t="shared" si="28"/>
        <v>5.1720764864596099E-3</v>
      </c>
      <c r="S129" s="200">
        <f t="shared" si="29"/>
        <v>5.237102109828873E-3</v>
      </c>
    </row>
    <row r="130" spans="1:21">
      <c r="A130" s="142">
        <f t="shared" si="14"/>
        <v>26</v>
      </c>
      <c r="B130" s="178">
        <f t="shared" si="15"/>
        <v>46338</v>
      </c>
      <c r="C130" s="178">
        <f t="shared" si="16"/>
        <v>46519</v>
      </c>
      <c r="D130" s="142">
        <f t="shared" si="17"/>
        <v>2610</v>
      </c>
      <c r="E130" s="142">
        <f t="shared" si="18"/>
        <v>180</v>
      </c>
      <c r="F130" s="103">
        <f t="shared" si="23"/>
        <v>7.25</v>
      </c>
      <c r="G130" s="100">
        <f>E105</f>
        <v>1.0116366382062674</v>
      </c>
      <c r="H130" s="100">
        <f t="shared" si="19"/>
        <v>-1.595786653019777E-3</v>
      </c>
      <c r="I130" s="103">
        <f t="shared" si="24"/>
        <v>0.5</v>
      </c>
      <c r="J130" s="215">
        <f t="shared" si="21"/>
        <v>1.4999999999999999E-2</v>
      </c>
      <c r="K130" s="221">
        <f t="shared" si="25"/>
        <v>1.4999999999999999E-2</v>
      </c>
      <c r="L130" s="204">
        <f t="shared" si="20"/>
        <v>1.0116366382062674</v>
      </c>
      <c r="M130" s="222">
        <f t="shared" si="26"/>
        <v>1.517454957309401E-2</v>
      </c>
      <c r="N130" s="223">
        <f>'Survival Probability (Q3)'!F56</f>
        <v>0.78919364869788378</v>
      </c>
      <c r="O130" s="224">
        <v>0.4</v>
      </c>
      <c r="P130" s="225">
        <f t="shared" si="22"/>
        <v>1.1837904730468257E-2</v>
      </c>
      <c r="Q130" s="222">
        <f t="shared" si="27"/>
        <v>1.1975658144936977E-2</v>
      </c>
      <c r="R130" s="222">
        <f t="shared" si="28"/>
        <v>5.1061752998680099E-3</v>
      </c>
      <c r="S130" s="200">
        <f>L130*R130</f>
        <v>5.1655940144503523E-3</v>
      </c>
    </row>
    <row r="131" spans="1:21" ht="15" thickBot="1"/>
    <row r="132" spans="1:21" ht="15" thickBot="1">
      <c r="A132" s="324" t="s">
        <v>444</v>
      </c>
      <c r="B132" s="324"/>
      <c r="C132" s="197" t="s">
        <v>457</v>
      </c>
      <c r="D132" s="233">
        <v>1E-4</v>
      </c>
    </row>
    <row r="133" spans="1:21" ht="15" thickBot="1">
      <c r="A133" s="314" t="s">
        <v>334</v>
      </c>
      <c r="B133" s="314"/>
      <c r="C133" s="314"/>
      <c r="D133" s="314"/>
      <c r="E133" s="314"/>
      <c r="F133" s="314"/>
      <c r="G133" s="314"/>
      <c r="H133" s="314"/>
      <c r="I133" s="314"/>
      <c r="J133" s="314"/>
      <c r="K133" s="320"/>
      <c r="L133" s="207" t="s">
        <v>412</v>
      </c>
      <c r="M133" s="208"/>
      <c r="N133" s="209"/>
      <c r="O133" s="209"/>
      <c r="P133" s="319" t="s">
        <v>413</v>
      </c>
      <c r="Q133" s="314"/>
      <c r="R133" s="314"/>
      <c r="S133" s="314"/>
      <c r="T133" s="314"/>
      <c r="U133" s="320"/>
    </row>
    <row r="134" spans="1:21" ht="15" thickBot="1">
      <c r="A134" s="99" t="s">
        <v>323</v>
      </c>
      <c r="B134" s="99" t="s">
        <v>299</v>
      </c>
      <c r="C134" s="99" t="s">
        <v>301</v>
      </c>
      <c r="D134" s="99" t="s">
        <v>33</v>
      </c>
      <c r="E134" s="99" t="s">
        <v>395</v>
      </c>
      <c r="F134" s="99" t="s">
        <v>303</v>
      </c>
      <c r="G134" s="99" t="s">
        <v>319</v>
      </c>
      <c r="H134" s="99" t="s">
        <v>344</v>
      </c>
      <c r="I134" s="99" t="s">
        <v>457</v>
      </c>
      <c r="J134" s="99" t="s">
        <v>469</v>
      </c>
      <c r="K134" s="99" t="s">
        <v>302</v>
      </c>
      <c r="L134" s="212" t="s">
        <v>398</v>
      </c>
      <c r="M134" s="210" t="s">
        <v>405</v>
      </c>
      <c r="N134" s="99" t="s">
        <v>472</v>
      </c>
      <c r="O134" s="99" t="s">
        <v>406</v>
      </c>
      <c r="P134" s="210" t="s">
        <v>407</v>
      </c>
      <c r="Q134" s="99" t="s">
        <v>408</v>
      </c>
      <c r="R134" s="99" t="s">
        <v>409</v>
      </c>
      <c r="S134" s="99" t="s">
        <v>410</v>
      </c>
      <c r="T134" s="99" t="s">
        <v>411</v>
      </c>
      <c r="U134" s="211" t="s">
        <v>439</v>
      </c>
    </row>
    <row r="135" spans="1:21">
      <c r="A135" s="142">
        <f t="shared" ref="A135:H135" si="30">A116</f>
        <v>12</v>
      </c>
      <c r="B135" s="178">
        <f t="shared" si="30"/>
        <v>43781</v>
      </c>
      <c r="C135" s="178">
        <f t="shared" si="30"/>
        <v>43963</v>
      </c>
      <c r="D135" s="142">
        <f t="shared" si="30"/>
        <v>90</v>
      </c>
      <c r="E135" s="142">
        <f t="shared" si="30"/>
        <v>180</v>
      </c>
      <c r="F135" s="103">
        <f t="shared" si="30"/>
        <v>0.25</v>
      </c>
      <c r="G135" s="104">
        <f t="shared" si="30"/>
        <v>1.0012966791995634</v>
      </c>
      <c r="H135" s="100">
        <f t="shared" si="30"/>
        <v>-5.1833569484785345E-3</v>
      </c>
      <c r="I135" s="160">
        <f>$D$132</f>
        <v>1E-4</v>
      </c>
      <c r="J135" s="160">
        <f>H135+I135</f>
        <v>-5.0833569484785342E-3</v>
      </c>
      <c r="K135" s="103">
        <f t="shared" ref="K135:K149" si="31">I116</f>
        <v>0.5</v>
      </c>
      <c r="L135" s="215">
        <f t="shared" ref="L135:L149" si="32">$B$11*K135</f>
        <v>1.4999999999999999E-2</v>
      </c>
      <c r="M135" s="263">
        <f>L135</f>
        <v>1.4999999999999999E-2</v>
      </c>
      <c r="N135" s="204">
        <f>EXP(-F135*J135)</f>
        <v>1.0012716470954861</v>
      </c>
      <c r="O135" s="222">
        <f>M135*N135</f>
        <v>1.5019074706432291E-2</v>
      </c>
      <c r="P135" s="223">
        <f t="shared" ref="P135:P149" si="33">N116</f>
        <v>0.98957749864427946</v>
      </c>
      <c r="Q135" s="224">
        <v>0.4</v>
      </c>
      <c r="R135" s="225">
        <f>M135*P135</f>
        <v>1.4843662479664191E-2</v>
      </c>
      <c r="S135" s="222">
        <f>R135*N135</f>
        <v>1.4862538379942832E-2</v>
      </c>
      <c r="T135" s="222">
        <f>(1-P135)*Q135</f>
        <v>4.1690005422882152E-3</v>
      </c>
      <c r="U135" s="200">
        <f>N135*T135</f>
        <v>4.1743020397188961E-3</v>
      </c>
    </row>
    <row r="136" spans="1:21">
      <c r="A136" s="142">
        <f t="shared" ref="A136:F136" si="34">A117</f>
        <v>13</v>
      </c>
      <c r="B136" s="178">
        <f t="shared" si="34"/>
        <v>43963</v>
      </c>
      <c r="C136" s="178">
        <f t="shared" si="34"/>
        <v>44147</v>
      </c>
      <c r="D136" s="142">
        <f t="shared" si="34"/>
        <v>270</v>
      </c>
      <c r="E136" s="142">
        <f t="shared" si="34"/>
        <v>180</v>
      </c>
      <c r="F136" s="103">
        <f t="shared" si="34"/>
        <v>0.75</v>
      </c>
      <c r="G136" s="104">
        <f t="shared" ref="G136:G149" si="35">G117</f>
        <v>1.0027804670927887</v>
      </c>
      <c r="H136" s="100">
        <f t="shared" ref="H136:H149" si="36">H117</f>
        <v>-3.7021449926851568E-3</v>
      </c>
      <c r="I136" s="160">
        <f t="shared" ref="I136:I149" si="37">$D$132</f>
        <v>1E-4</v>
      </c>
      <c r="J136" s="160">
        <f t="shared" ref="J136:J149" si="38">H136+I136</f>
        <v>-3.602144992685157E-3</v>
      </c>
      <c r="K136" s="103">
        <f t="shared" si="31"/>
        <v>0.5</v>
      </c>
      <c r="L136" s="215">
        <f t="shared" si="32"/>
        <v>1.4999999999999999E-2</v>
      </c>
      <c r="M136" s="263">
        <f>L136</f>
        <v>1.4999999999999999E-2</v>
      </c>
      <c r="N136" s="204">
        <f>EXP(-F136*J136)</f>
        <v>1.0027052613780063</v>
      </c>
      <c r="O136" s="222">
        <f>M136*N136</f>
        <v>1.5040578920670095E-2</v>
      </c>
      <c r="P136" s="223">
        <f t="shared" si="33"/>
        <v>0.9719379116650726</v>
      </c>
      <c r="Q136" s="224">
        <v>0.4</v>
      </c>
      <c r="R136" s="225">
        <f>M136*P136</f>
        <v>1.4579068674976088E-2</v>
      </c>
      <c r="S136" s="222">
        <f>R136*N136</f>
        <v>1.4618508866389802E-2</v>
      </c>
      <c r="T136" s="222">
        <f>(P135-P136)*Q136</f>
        <v>7.0558347916827475E-3</v>
      </c>
      <c r="U136" s="200">
        <f>N136*T136</f>
        <v>7.0749226690342802E-3</v>
      </c>
    </row>
    <row r="137" spans="1:21">
      <c r="A137" s="142">
        <f t="shared" ref="A137:A149" si="39">A118</f>
        <v>14</v>
      </c>
      <c r="B137" s="178">
        <f t="shared" ref="B137:F137" si="40">B118</f>
        <v>44147</v>
      </c>
      <c r="C137" s="178">
        <f t="shared" si="40"/>
        <v>44328</v>
      </c>
      <c r="D137" s="142">
        <f t="shared" si="40"/>
        <v>450</v>
      </c>
      <c r="E137" s="142">
        <f t="shared" si="40"/>
        <v>180</v>
      </c>
      <c r="F137" s="103">
        <f t="shared" si="40"/>
        <v>1.25</v>
      </c>
      <c r="G137" s="104">
        <f t="shared" si="35"/>
        <v>1.0038810087771415</v>
      </c>
      <c r="H137" s="100">
        <f t="shared" si="36"/>
        <v>-3.0987976732664135E-3</v>
      </c>
      <c r="I137" s="160">
        <f t="shared" si="37"/>
        <v>1E-4</v>
      </c>
      <c r="J137" s="160">
        <f t="shared" si="38"/>
        <v>-2.9987976732664136E-3</v>
      </c>
      <c r="K137" s="103">
        <f t="shared" si="31"/>
        <v>0.5</v>
      </c>
      <c r="L137" s="215">
        <f t="shared" si="32"/>
        <v>1.4999999999999999E-2</v>
      </c>
      <c r="M137" s="263">
        <f t="shared" ref="M137:M149" si="41">L137</f>
        <v>1.4999999999999999E-2</v>
      </c>
      <c r="N137" s="204">
        <f t="shared" ref="N137:N149" si="42">EXP(-F137*J137)</f>
        <v>1.003755531493538</v>
      </c>
      <c r="O137" s="222">
        <f t="shared" ref="O137:O149" si="43">M137*N137</f>
        <v>1.505633297240307E-2</v>
      </c>
      <c r="P137" s="223">
        <f t="shared" si="33"/>
        <v>0.95660888015002832</v>
      </c>
      <c r="Q137" s="224">
        <v>0.4</v>
      </c>
      <c r="R137" s="225">
        <f t="shared" ref="R137:R149" si="44">M137*P137</f>
        <v>1.4349133202250425E-2</v>
      </c>
      <c r="S137" s="222">
        <f t="shared" ref="S137:S149" si="45">R137*N137</f>
        <v>1.4403021823896448E-2</v>
      </c>
      <c r="T137" s="222">
        <f t="shared" ref="T137:T148" si="46">(P136-P137)*Q137</f>
        <v>6.1316126060177115E-3</v>
      </c>
      <c r="U137" s="200">
        <f t="shared" ref="U137:U149" si="47">N137*T137</f>
        <v>6.1546400702657857E-3</v>
      </c>
    </row>
    <row r="138" spans="1:21">
      <c r="A138" s="142">
        <f t="shared" si="39"/>
        <v>15</v>
      </c>
      <c r="B138" s="178">
        <f t="shared" ref="B138:F138" si="48">B119</f>
        <v>44328</v>
      </c>
      <c r="C138" s="178">
        <f t="shared" si="48"/>
        <v>44512</v>
      </c>
      <c r="D138" s="142">
        <f t="shared" si="48"/>
        <v>630</v>
      </c>
      <c r="E138" s="142">
        <f t="shared" si="48"/>
        <v>180</v>
      </c>
      <c r="F138" s="103">
        <f t="shared" si="48"/>
        <v>1.75</v>
      </c>
      <c r="G138" s="104">
        <f t="shared" si="35"/>
        <v>1.0060362667521872</v>
      </c>
      <c r="H138" s="100">
        <f t="shared" si="36"/>
        <v>-3.4389265584204819E-3</v>
      </c>
      <c r="I138" s="160">
        <f t="shared" si="37"/>
        <v>1E-4</v>
      </c>
      <c r="J138" s="160">
        <f t="shared" si="38"/>
        <v>-3.338926558420482E-3</v>
      </c>
      <c r="K138" s="103">
        <f t="shared" si="31"/>
        <v>0.5</v>
      </c>
      <c r="L138" s="215">
        <f t="shared" si="32"/>
        <v>1.4999999999999999E-2</v>
      </c>
      <c r="M138" s="263">
        <f t="shared" si="41"/>
        <v>1.4999999999999999E-2</v>
      </c>
      <c r="N138" s="204">
        <f t="shared" si="42"/>
        <v>1.0058602258095373</v>
      </c>
      <c r="O138" s="222">
        <f t="shared" si="43"/>
        <v>1.5087903387143059E-2</v>
      </c>
      <c r="P138" s="223">
        <f t="shared" si="33"/>
        <v>0.94137689860233498</v>
      </c>
      <c r="Q138" s="224">
        <v>0.4</v>
      </c>
      <c r="R138" s="225">
        <f t="shared" si="44"/>
        <v>1.4120653479035024E-2</v>
      </c>
      <c r="S138" s="222">
        <f t="shared" si="45"/>
        <v>1.4203403697000396E-2</v>
      </c>
      <c r="T138" s="222">
        <f t="shared" si="46"/>
        <v>6.0927926190773368E-3</v>
      </c>
      <c r="U138" s="200">
        <f t="shared" si="47"/>
        <v>6.1284977596358118E-3</v>
      </c>
    </row>
    <row r="139" spans="1:21">
      <c r="A139" s="142">
        <f t="shared" si="39"/>
        <v>16</v>
      </c>
      <c r="B139" s="178">
        <f t="shared" ref="B139:F139" si="49">B120</f>
        <v>44512</v>
      </c>
      <c r="C139" s="178">
        <f t="shared" si="49"/>
        <v>44693</v>
      </c>
      <c r="D139" s="142">
        <f t="shared" si="49"/>
        <v>810</v>
      </c>
      <c r="E139" s="142">
        <f t="shared" si="49"/>
        <v>180</v>
      </c>
      <c r="F139" s="103">
        <f t="shared" si="49"/>
        <v>2.25</v>
      </c>
      <c r="G139" s="104">
        <f t="shared" si="35"/>
        <v>1.0080269597397804</v>
      </c>
      <c r="H139" s="100">
        <f t="shared" si="36"/>
        <v>-3.5532955844918748E-3</v>
      </c>
      <c r="I139" s="160">
        <f t="shared" si="37"/>
        <v>1E-4</v>
      </c>
      <c r="J139" s="160">
        <f t="shared" si="38"/>
        <v>-3.4532955844918749E-3</v>
      </c>
      <c r="K139" s="103">
        <f t="shared" si="31"/>
        <v>0.5</v>
      </c>
      <c r="L139" s="215">
        <f t="shared" si="32"/>
        <v>1.4999999999999999E-2</v>
      </c>
      <c r="M139" s="263">
        <f t="shared" si="41"/>
        <v>1.4999999999999999E-2</v>
      </c>
      <c r="N139" s="204">
        <f t="shared" si="42"/>
        <v>1.0078001791876079</v>
      </c>
      <c r="O139" s="222">
        <f t="shared" si="43"/>
        <v>1.5117002687814117E-2</v>
      </c>
      <c r="P139" s="223">
        <f t="shared" si="33"/>
        <v>0.92661160406540621</v>
      </c>
      <c r="Q139" s="224">
        <v>0.4</v>
      </c>
      <c r="R139" s="225">
        <f t="shared" si="44"/>
        <v>1.3899174060981092E-2</v>
      </c>
      <c r="S139" s="222">
        <f t="shared" si="45"/>
        <v>1.4007590109216496E-2</v>
      </c>
      <c r="T139" s="222">
        <f t="shared" si="46"/>
        <v>5.9061178147715061E-3</v>
      </c>
      <c r="U139" s="200">
        <f t="shared" si="47"/>
        <v>5.952186592029847E-3</v>
      </c>
    </row>
    <row r="140" spans="1:21">
      <c r="A140" s="142">
        <f t="shared" si="39"/>
        <v>17</v>
      </c>
      <c r="B140" s="178">
        <f t="shared" ref="B140:F140" si="50">B121</f>
        <v>44693</v>
      </c>
      <c r="C140" s="178">
        <f t="shared" si="50"/>
        <v>44879</v>
      </c>
      <c r="D140" s="142">
        <f t="shared" si="50"/>
        <v>992</v>
      </c>
      <c r="E140" s="142">
        <f t="shared" si="50"/>
        <v>182</v>
      </c>
      <c r="F140" s="103">
        <f t="shared" si="50"/>
        <v>2.7555555555555555</v>
      </c>
      <c r="G140" s="104">
        <f t="shared" si="35"/>
        <v>1.0095064700241203</v>
      </c>
      <c r="H140" s="100">
        <f t="shared" si="36"/>
        <v>-3.4336335075722813E-3</v>
      </c>
      <c r="I140" s="160">
        <f t="shared" si="37"/>
        <v>1E-4</v>
      </c>
      <c r="J140" s="160">
        <f t="shared" si="38"/>
        <v>-3.3336335075722814E-3</v>
      </c>
      <c r="K140" s="103">
        <f t="shared" si="31"/>
        <v>0.50555555555555554</v>
      </c>
      <c r="L140" s="215">
        <f t="shared" si="32"/>
        <v>1.5166666666666665E-2</v>
      </c>
      <c r="M140" s="263">
        <f t="shared" si="41"/>
        <v>1.5166666666666665E-2</v>
      </c>
      <c r="N140" s="204">
        <f t="shared" si="42"/>
        <v>1.0092283332307652</v>
      </c>
      <c r="O140" s="222">
        <f t="shared" si="43"/>
        <v>1.5306629720666605E-2</v>
      </c>
      <c r="P140" s="223">
        <f t="shared" si="33"/>
        <v>0.91169640658338413</v>
      </c>
      <c r="Q140" s="224">
        <v>0.4</v>
      </c>
      <c r="R140" s="225">
        <f t="shared" si="44"/>
        <v>1.3827395499847992E-2</v>
      </c>
      <c r="S140" s="222">
        <f t="shared" si="45"/>
        <v>1.3954999313234172E-2</v>
      </c>
      <c r="T140" s="222">
        <f t="shared" si="46"/>
        <v>5.9660789928088322E-3</v>
      </c>
      <c r="U140" s="200">
        <f t="shared" si="47"/>
        <v>6.0211359578355404E-3</v>
      </c>
    </row>
    <row r="141" spans="1:21">
      <c r="A141" s="142">
        <f t="shared" si="39"/>
        <v>18</v>
      </c>
      <c r="B141" s="178">
        <f t="shared" ref="B141:F141" si="51">B122</f>
        <v>44879</v>
      </c>
      <c r="C141" s="178">
        <f t="shared" si="51"/>
        <v>45058</v>
      </c>
      <c r="D141" s="142">
        <f t="shared" si="51"/>
        <v>1170</v>
      </c>
      <c r="E141" s="142">
        <f t="shared" si="51"/>
        <v>178</v>
      </c>
      <c r="F141" s="103">
        <f t="shared" si="51"/>
        <v>3.25</v>
      </c>
      <c r="G141" s="104">
        <f t="shared" si="35"/>
        <v>1.0107622080724596</v>
      </c>
      <c r="H141" s="100">
        <f t="shared" si="36"/>
        <v>-3.2937562145456236E-3</v>
      </c>
      <c r="I141" s="160">
        <f t="shared" si="37"/>
        <v>1E-4</v>
      </c>
      <c r="J141" s="160">
        <f t="shared" si="38"/>
        <v>-3.1937562145456237E-3</v>
      </c>
      <c r="K141" s="103">
        <f t="shared" si="31"/>
        <v>0.49444444444444446</v>
      </c>
      <c r="L141" s="215">
        <f t="shared" si="32"/>
        <v>1.4833333333333334E-2</v>
      </c>
      <c r="M141" s="263">
        <f t="shared" si="41"/>
        <v>1.4833333333333334E-2</v>
      </c>
      <c r="N141" s="204">
        <f t="shared" si="42"/>
        <v>1.0104337637299328</v>
      </c>
      <c r="O141" s="222">
        <f t="shared" si="43"/>
        <v>1.498810082866067E-2</v>
      </c>
      <c r="P141" s="223">
        <f t="shared" si="33"/>
        <v>0.89739224673918205</v>
      </c>
      <c r="Q141" s="224">
        <v>0.4</v>
      </c>
      <c r="R141" s="225">
        <f t="shared" si="44"/>
        <v>1.33113183266312E-2</v>
      </c>
      <c r="S141" s="222">
        <f t="shared" si="45"/>
        <v>1.3450205476985194E-2</v>
      </c>
      <c r="T141" s="222">
        <f t="shared" si="46"/>
        <v>5.7216639376808324E-3</v>
      </c>
      <c r="U141" s="200">
        <f t="shared" si="47"/>
        <v>5.7813624273486712E-3</v>
      </c>
    </row>
    <row r="142" spans="1:21">
      <c r="A142" s="142">
        <f t="shared" si="39"/>
        <v>19</v>
      </c>
      <c r="B142" s="178">
        <f t="shared" ref="B142:F142" si="52">B123</f>
        <v>45058</v>
      </c>
      <c r="C142" s="178">
        <f t="shared" si="52"/>
        <v>45243</v>
      </c>
      <c r="D142" s="142">
        <f t="shared" si="52"/>
        <v>1351</v>
      </c>
      <c r="E142" s="142">
        <f t="shared" si="52"/>
        <v>181</v>
      </c>
      <c r="F142" s="103">
        <f t="shared" si="52"/>
        <v>3.7527777777777778</v>
      </c>
      <c r="G142" s="104">
        <f t="shared" si="35"/>
        <v>1.0117941922867517</v>
      </c>
      <c r="H142" s="100">
        <f t="shared" si="36"/>
        <v>-3.1244010629110706E-3</v>
      </c>
      <c r="I142" s="160">
        <f t="shared" si="37"/>
        <v>1E-4</v>
      </c>
      <c r="J142" s="160">
        <f t="shared" si="38"/>
        <v>-3.0244010629110708E-3</v>
      </c>
      <c r="K142" s="103">
        <f t="shared" si="31"/>
        <v>0.50277777777777777</v>
      </c>
      <c r="L142" s="215">
        <f t="shared" si="32"/>
        <v>1.5083333333333332E-2</v>
      </c>
      <c r="M142" s="263">
        <f t="shared" si="41"/>
        <v>1.5083333333333332E-2</v>
      </c>
      <c r="N142" s="204">
        <f t="shared" si="42"/>
        <v>1.0114145596490036</v>
      </c>
      <c r="O142" s="222">
        <f t="shared" si="43"/>
        <v>1.525550294137247E-2</v>
      </c>
      <c r="P142" s="223">
        <f t="shared" si="33"/>
        <v>0.8830247231511964</v>
      </c>
      <c r="Q142" s="224">
        <v>0.4</v>
      </c>
      <c r="R142" s="225">
        <f t="shared" si="44"/>
        <v>1.3318956240863877E-2</v>
      </c>
      <c r="S142" s="222">
        <f t="shared" si="45"/>
        <v>1.3470986261337687E-2</v>
      </c>
      <c r="T142" s="222">
        <f t="shared" si="46"/>
        <v>5.7470094351942617E-3</v>
      </c>
      <c r="U142" s="200">
        <f t="shared" si="47"/>
        <v>5.8126090171956735E-3</v>
      </c>
    </row>
    <row r="143" spans="1:21">
      <c r="A143" s="142">
        <f t="shared" si="39"/>
        <v>20</v>
      </c>
      <c r="B143" s="178">
        <f t="shared" ref="B143:F143" si="53">B124</f>
        <v>45243</v>
      </c>
      <c r="C143" s="178">
        <f t="shared" si="53"/>
        <v>45425</v>
      </c>
      <c r="D143" s="142">
        <f t="shared" si="53"/>
        <v>1531</v>
      </c>
      <c r="E143" s="142">
        <f t="shared" si="53"/>
        <v>180</v>
      </c>
      <c r="F143" s="103">
        <f t="shared" si="53"/>
        <v>4.2527777777777782</v>
      </c>
      <c r="G143" s="104">
        <f t="shared" si="35"/>
        <v>1.0126015780248474</v>
      </c>
      <c r="H143" s="100">
        <f t="shared" si="36"/>
        <v>-2.9446257472087473E-3</v>
      </c>
      <c r="I143" s="160">
        <f t="shared" si="37"/>
        <v>1E-4</v>
      </c>
      <c r="J143" s="160">
        <f t="shared" si="38"/>
        <v>-2.8446257472087475E-3</v>
      </c>
      <c r="K143" s="103">
        <f t="shared" si="31"/>
        <v>0.5</v>
      </c>
      <c r="L143" s="215">
        <f t="shared" si="32"/>
        <v>1.4999999999999999E-2</v>
      </c>
      <c r="M143" s="263">
        <f t="shared" si="41"/>
        <v>1.4999999999999999E-2</v>
      </c>
      <c r="N143" s="204">
        <f>EXP(-F143*J143)</f>
        <v>1.0121710326331534</v>
      </c>
      <c r="O143" s="222">
        <f t="shared" si="43"/>
        <v>1.5182565489497301E-2</v>
      </c>
      <c r="P143" s="223">
        <f t="shared" si="33"/>
        <v>0.86896820871222047</v>
      </c>
      <c r="Q143" s="224">
        <v>0.4</v>
      </c>
      <c r="R143" s="225">
        <f t="shared" si="44"/>
        <v>1.3034523130683307E-2</v>
      </c>
      <c r="S143" s="222">
        <f t="shared" si="45"/>
        <v>1.3193166737064447E-2</v>
      </c>
      <c r="T143" s="222">
        <f t="shared" si="46"/>
        <v>5.6226057755903724E-3</v>
      </c>
      <c r="U143" s="200">
        <f t="shared" si="47"/>
        <v>5.6910386939684398E-3</v>
      </c>
    </row>
    <row r="144" spans="1:21">
      <c r="A144" s="142">
        <f t="shared" si="39"/>
        <v>21</v>
      </c>
      <c r="B144" s="178">
        <f t="shared" ref="B144:F144" si="54">B125</f>
        <v>45425</v>
      </c>
      <c r="C144" s="178">
        <f t="shared" si="54"/>
        <v>45608</v>
      </c>
      <c r="D144" s="142">
        <f t="shared" si="54"/>
        <v>1710</v>
      </c>
      <c r="E144" s="142">
        <f t="shared" si="54"/>
        <v>179</v>
      </c>
      <c r="F144" s="103">
        <f t="shared" si="54"/>
        <v>4.75</v>
      </c>
      <c r="G144" s="104">
        <f t="shared" si="35"/>
        <v>1.0131542178265776</v>
      </c>
      <c r="H144" s="100">
        <f t="shared" si="36"/>
        <v>-2.7512531373861402E-3</v>
      </c>
      <c r="I144" s="160">
        <f t="shared" si="37"/>
        <v>1E-4</v>
      </c>
      <c r="J144" s="160">
        <f t="shared" si="38"/>
        <v>-2.6512531373861403E-3</v>
      </c>
      <c r="K144" s="103">
        <f t="shared" si="31"/>
        <v>0.49722222222222223</v>
      </c>
      <c r="L144" s="215">
        <f t="shared" si="32"/>
        <v>1.4916666666666667E-2</v>
      </c>
      <c r="M144" s="263">
        <f t="shared" si="41"/>
        <v>1.4916666666666667E-2</v>
      </c>
      <c r="N144" s="204">
        <f t="shared" si="42"/>
        <v>1.0126730838514753</v>
      </c>
      <c r="O144" s="222">
        <f t="shared" si="43"/>
        <v>1.5105706834117839E-2</v>
      </c>
      <c r="P144" s="223">
        <f t="shared" si="33"/>
        <v>0.85517053162619039</v>
      </c>
      <c r="Q144" s="224">
        <v>0.4</v>
      </c>
      <c r="R144" s="225">
        <f t="shared" si="44"/>
        <v>1.2756293763424006E-2</v>
      </c>
      <c r="S144" s="222">
        <f t="shared" si="45"/>
        <v>1.2917955343921929E-2</v>
      </c>
      <c r="T144" s="222">
        <f t="shared" si="46"/>
        <v>5.5190708344120326E-3</v>
      </c>
      <c r="U144" s="200">
        <f t="shared" si="47"/>
        <v>5.5890144818787676E-3</v>
      </c>
    </row>
    <row r="145" spans="1:21">
      <c r="A145" s="142">
        <f t="shared" si="39"/>
        <v>22</v>
      </c>
      <c r="B145" s="178">
        <f t="shared" ref="B145:F145" si="55">B126</f>
        <v>45608</v>
      </c>
      <c r="C145" s="178">
        <f t="shared" si="55"/>
        <v>45789</v>
      </c>
      <c r="D145" s="142">
        <f t="shared" si="55"/>
        <v>1890</v>
      </c>
      <c r="E145" s="142">
        <f t="shared" si="55"/>
        <v>180</v>
      </c>
      <c r="F145" s="103">
        <f t="shared" si="55"/>
        <v>5.25</v>
      </c>
      <c r="G145" s="104">
        <f t="shared" si="35"/>
        <v>1.0134595323072064</v>
      </c>
      <c r="H145" s="100">
        <f t="shared" si="36"/>
        <v>-2.5466204679636694E-3</v>
      </c>
      <c r="I145" s="160">
        <f t="shared" si="37"/>
        <v>1E-4</v>
      </c>
      <c r="J145" s="160">
        <f t="shared" si="38"/>
        <v>-2.4466204679636696E-3</v>
      </c>
      <c r="K145" s="103">
        <f t="shared" si="31"/>
        <v>0.5</v>
      </c>
      <c r="L145" s="215">
        <f t="shared" si="32"/>
        <v>1.4999999999999999E-2</v>
      </c>
      <c r="M145" s="263">
        <f t="shared" si="41"/>
        <v>1.4999999999999999E-2</v>
      </c>
      <c r="N145" s="204">
        <f t="shared" si="42"/>
        <v>1.0129276056956984</v>
      </c>
      <c r="O145" s="222">
        <f t="shared" si="43"/>
        <v>1.5193914085435476E-2</v>
      </c>
      <c r="P145" s="223">
        <f t="shared" si="33"/>
        <v>0.84152115696817653</v>
      </c>
      <c r="Q145" s="224">
        <v>0.4</v>
      </c>
      <c r="R145" s="225">
        <f t="shared" si="44"/>
        <v>1.2622817354522647E-2</v>
      </c>
      <c r="S145" s="222">
        <f t="shared" si="45"/>
        <v>1.2786000160050735E-2</v>
      </c>
      <c r="T145" s="222">
        <f t="shared" si="46"/>
        <v>5.4597498632055434E-3</v>
      </c>
      <c r="U145" s="200">
        <f t="shared" si="47"/>
        <v>5.5303313566342077E-3</v>
      </c>
    </row>
    <row r="146" spans="1:21">
      <c r="A146" s="142">
        <f t="shared" si="39"/>
        <v>23</v>
      </c>
      <c r="B146" s="178">
        <f t="shared" ref="B146:F146" si="56">B127</f>
        <v>45789</v>
      </c>
      <c r="C146" s="178">
        <f t="shared" si="56"/>
        <v>45973</v>
      </c>
      <c r="D146" s="142">
        <f t="shared" si="56"/>
        <v>2070</v>
      </c>
      <c r="E146" s="142">
        <f t="shared" si="56"/>
        <v>180</v>
      </c>
      <c r="F146" s="103">
        <f t="shared" si="56"/>
        <v>5.75</v>
      </c>
      <c r="G146" s="104">
        <f t="shared" si="35"/>
        <v>1.0134671607308678</v>
      </c>
      <c r="H146" s="100">
        <f t="shared" si="36"/>
        <v>-2.3264842679533212E-3</v>
      </c>
      <c r="I146" s="160">
        <f t="shared" si="37"/>
        <v>1E-4</v>
      </c>
      <c r="J146" s="160">
        <f t="shared" si="38"/>
        <v>-2.2264842679533214E-3</v>
      </c>
      <c r="K146" s="103">
        <f t="shared" si="31"/>
        <v>0.5</v>
      </c>
      <c r="L146" s="215">
        <f t="shared" si="32"/>
        <v>1.4999999999999999E-2</v>
      </c>
      <c r="M146" s="263">
        <f t="shared" si="41"/>
        <v>1.4999999999999999E-2</v>
      </c>
      <c r="N146" s="204">
        <f t="shared" si="42"/>
        <v>1.0128845846201306</v>
      </c>
      <c r="O146" s="222">
        <f t="shared" si="43"/>
        <v>1.5193268769301958E-2</v>
      </c>
      <c r="P146" s="223">
        <f t="shared" si="33"/>
        <v>0.82807475696411736</v>
      </c>
      <c r="Q146" s="224">
        <v>0.4</v>
      </c>
      <c r="R146" s="225">
        <f t="shared" si="44"/>
        <v>1.2421121354461761E-2</v>
      </c>
      <c r="S146" s="222">
        <f t="shared" si="45"/>
        <v>1.2581162343630235E-2</v>
      </c>
      <c r="T146" s="222">
        <f t="shared" si="46"/>
        <v>5.3785600016236675E-3</v>
      </c>
      <c r="U146" s="200">
        <f t="shared" si="47"/>
        <v>5.4478605130990378E-3</v>
      </c>
    </row>
    <row r="147" spans="1:21">
      <c r="A147" s="142">
        <f t="shared" si="39"/>
        <v>24</v>
      </c>
      <c r="B147" s="178">
        <f t="shared" ref="B147:F147" si="57">B128</f>
        <v>45973</v>
      </c>
      <c r="C147" s="178">
        <f t="shared" si="57"/>
        <v>46154</v>
      </c>
      <c r="D147" s="142">
        <f t="shared" si="57"/>
        <v>2250</v>
      </c>
      <c r="E147" s="142">
        <f t="shared" si="57"/>
        <v>180</v>
      </c>
      <c r="F147" s="103">
        <f t="shared" si="57"/>
        <v>6.25</v>
      </c>
      <c r="G147" s="104">
        <f t="shared" si="35"/>
        <v>1.0131902727525781</v>
      </c>
      <c r="H147" s="100">
        <f t="shared" si="36"/>
        <v>-2.0966461725995512E-3</v>
      </c>
      <c r="I147" s="160">
        <f t="shared" si="37"/>
        <v>1E-4</v>
      </c>
      <c r="J147" s="160">
        <f t="shared" si="38"/>
        <v>-1.9966461725995513E-3</v>
      </c>
      <c r="K147" s="103">
        <f t="shared" si="31"/>
        <v>0.5</v>
      </c>
      <c r="L147" s="215">
        <f t="shared" si="32"/>
        <v>1.4999999999999999E-2</v>
      </c>
      <c r="M147" s="263">
        <f t="shared" si="41"/>
        <v>1.4999999999999999E-2</v>
      </c>
      <c r="N147" s="204">
        <f t="shared" si="42"/>
        <v>1.0125572266796126</v>
      </c>
      <c r="O147" s="222">
        <f t="shared" si="43"/>
        <v>1.5188358400194188E-2</v>
      </c>
      <c r="P147" s="223">
        <f t="shared" si="33"/>
        <v>0.81488927816370282</v>
      </c>
      <c r="Q147" s="224">
        <v>0.4</v>
      </c>
      <c r="R147" s="225">
        <f t="shared" si="44"/>
        <v>1.2223339172455543E-2</v>
      </c>
      <c r="S147" s="222">
        <f t="shared" si="45"/>
        <v>1.2376830413225855E-2</v>
      </c>
      <c r="T147" s="222">
        <f t="shared" si="46"/>
        <v>5.2741915201658168E-3</v>
      </c>
      <c r="U147" s="200">
        <f t="shared" si="47"/>
        <v>5.3404207386362297E-3</v>
      </c>
    </row>
    <row r="148" spans="1:21">
      <c r="A148" s="142">
        <f t="shared" si="39"/>
        <v>25</v>
      </c>
      <c r="B148" s="178">
        <f t="shared" ref="B148:F148" si="58">B129</f>
        <v>46154</v>
      </c>
      <c r="C148" s="178">
        <f t="shared" si="58"/>
        <v>46338</v>
      </c>
      <c r="D148" s="142">
        <f t="shared" si="58"/>
        <v>2430</v>
      </c>
      <c r="E148" s="142">
        <f t="shared" si="58"/>
        <v>180</v>
      </c>
      <c r="F148" s="103">
        <f t="shared" si="58"/>
        <v>6.75</v>
      </c>
      <c r="G148" s="104">
        <f t="shared" si="35"/>
        <v>1.0125724403998082</v>
      </c>
      <c r="H148" s="100">
        <f t="shared" si="36"/>
        <v>-1.8509723723175596E-3</v>
      </c>
      <c r="I148" s="160">
        <f t="shared" si="37"/>
        <v>1E-4</v>
      </c>
      <c r="J148" s="160">
        <f t="shared" si="38"/>
        <v>-1.7509723723175595E-3</v>
      </c>
      <c r="K148" s="103">
        <f t="shared" si="31"/>
        <v>0.5</v>
      </c>
      <c r="L148" s="215">
        <f t="shared" si="32"/>
        <v>1.4999999999999999E-2</v>
      </c>
      <c r="M148" s="263">
        <f t="shared" si="41"/>
        <v>1.4999999999999999E-2</v>
      </c>
      <c r="N148" s="204">
        <f t="shared" si="42"/>
        <v>1.0118891846273039</v>
      </c>
      <c r="O148" s="222">
        <f t="shared" si="43"/>
        <v>1.5178337769409559E-2</v>
      </c>
      <c r="P148" s="223">
        <f t="shared" si="33"/>
        <v>0.8019590869475538</v>
      </c>
      <c r="Q148" s="224">
        <v>0.4</v>
      </c>
      <c r="R148" s="225">
        <f t="shared" si="44"/>
        <v>1.2029386304213307E-2</v>
      </c>
      <c r="S148" s="222">
        <f t="shared" si="45"/>
        <v>1.217240589893726E-2</v>
      </c>
      <c r="T148" s="222">
        <f t="shared" si="46"/>
        <v>5.1720764864596099E-3</v>
      </c>
      <c r="U148" s="200">
        <f t="shared" si="47"/>
        <v>5.2335682587136651E-3</v>
      </c>
    </row>
    <row r="149" spans="1:21">
      <c r="A149" s="142">
        <f t="shared" si="39"/>
        <v>26</v>
      </c>
      <c r="B149" s="178">
        <f t="shared" ref="B149:F149" si="59">B130</f>
        <v>46338</v>
      </c>
      <c r="C149" s="178">
        <f t="shared" si="59"/>
        <v>46519</v>
      </c>
      <c r="D149" s="142">
        <f t="shared" si="59"/>
        <v>2610</v>
      </c>
      <c r="E149" s="142">
        <f t="shared" si="59"/>
        <v>180</v>
      </c>
      <c r="F149" s="103">
        <f t="shared" si="59"/>
        <v>7.25</v>
      </c>
      <c r="G149" s="104">
        <f t="shared" si="35"/>
        <v>1.0116366382062674</v>
      </c>
      <c r="H149" s="100">
        <f t="shared" si="36"/>
        <v>-1.595786653019777E-3</v>
      </c>
      <c r="I149" s="160">
        <f t="shared" si="37"/>
        <v>1E-4</v>
      </c>
      <c r="J149" s="160">
        <f t="shared" si="38"/>
        <v>-1.495786653019777E-3</v>
      </c>
      <c r="K149" s="103">
        <f t="shared" si="31"/>
        <v>0.5</v>
      </c>
      <c r="L149" s="215">
        <f t="shared" si="32"/>
        <v>1.4999999999999999E-2</v>
      </c>
      <c r="M149" s="263">
        <f t="shared" si="41"/>
        <v>1.4999999999999999E-2</v>
      </c>
      <c r="N149" s="204">
        <f t="shared" si="42"/>
        <v>1.0109034674500814</v>
      </c>
      <c r="O149" s="222">
        <f t="shared" si="43"/>
        <v>1.516355201175122E-2</v>
      </c>
      <c r="P149" s="223">
        <f t="shared" si="33"/>
        <v>0.78919364869788378</v>
      </c>
      <c r="Q149" s="224">
        <v>0.4</v>
      </c>
      <c r="R149" s="225">
        <f t="shared" si="44"/>
        <v>1.1837904730468257E-2</v>
      </c>
      <c r="S149" s="222">
        <f t="shared" si="45"/>
        <v>1.1966978939374082E-2</v>
      </c>
      <c r="T149" s="222">
        <f>(P148-P149)*Q149</f>
        <v>5.1061752998680099E-3</v>
      </c>
      <c r="U149" s="200">
        <f t="shared" si="47"/>
        <v>5.1618503160445308E-3</v>
      </c>
    </row>
    <row r="150" spans="1:21" ht="15" thickBot="1"/>
    <row r="151" spans="1:21" ht="15" thickBot="1">
      <c r="A151" s="324" t="s">
        <v>444</v>
      </c>
      <c r="B151" s="324"/>
      <c r="C151" s="197" t="s">
        <v>457</v>
      </c>
      <c r="D151" s="233">
        <f>-D132</f>
        <v>-1E-4</v>
      </c>
    </row>
    <row r="152" spans="1:21" ht="15" thickBot="1">
      <c r="A152" s="314" t="s">
        <v>334</v>
      </c>
      <c r="B152" s="314"/>
      <c r="C152" s="314"/>
      <c r="D152" s="314"/>
      <c r="E152" s="314"/>
      <c r="F152" s="314"/>
      <c r="G152" s="314"/>
      <c r="H152" s="314"/>
      <c r="I152" s="314"/>
      <c r="J152" s="314"/>
      <c r="K152" s="320"/>
      <c r="L152" s="207" t="s">
        <v>412</v>
      </c>
      <c r="M152" s="208"/>
      <c r="N152" s="209"/>
      <c r="O152" s="209"/>
      <c r="P152" s="319" t="s">
        <v>413</v>
      </c>
      <c r="Q152" s="314"/>
      <c r="R152" s="314"/>
      <c r="S152" s="314"/>
      <c r="T152" s="314"/>
      <c r="U152" s="320"/>
    </row>
    <row r="153" spans="1:21" ht="15" thickBot="1">
      <c r="A153" s="99" t="s">
        <v>323</v>
      </c>
      <c r="B153" s="99" t="s">
        <v>299</v>
      </c>
      <c r="C153" s="99" t="s">
        <v>301</v>
      </c>
      <c r="D153" s="99" t="s">
        <v>33</v>
      </c>
      <c r="E153" s="99" t="s">
        <v>395</v>
      </c>
      <c r="F153" s="99" t="s">
        <v>303</v>
      </c>
      <c r="G153" s="99" t="s">
        <v>319</v>
      </c>
      <c r="H153" s="99" t="s">
        <v>344</v>
      </c>
      <c r="I153" s="99" t="s">
        <v>457</v>
      </c>
      <c r="J153" s="99" t="s">
        <v>469</v>
      </c>
      <c r="K153" s="99" t="s">
        <v>302</v>
      </c>
      <c r="L153" s="212" t="s">
        <v>398</v>
      </c>
      <c r="M153" s="210" t="s">
        <v>405</v>
      </c>
      <c r="N153" s="99" t="s">
        <v>472</v>
      </c>
      <c r="O153" s="99" t="s">
        <v>406</v>
      </c>
      <c r="P153" s="210" t="s">
        <v>407</v>
      </c>
      <c r="Q153" s="99" t="s">
        <v>408</v>
      </c>
      <c r="R153" s="99" t="s">
        <v>409</v>
      </c>
      <c r="S153" s="99" t="s">
        <v>410</v>
      </c>
      <c r="T153" s="99" t="s">
        <v>411</v>
      </c>
      <c r="U153" s="211" t="s">
        <v>439</v>
      </c>
    </row>
    <row r="154" spans="1:21">
      <c r="A154" s="142">
        <f t="shared" ref="A154:H154" si="60">A135</f>
        <v>12</v>
      </c>
      <c r="B154" s="178">
        <f t="shared" si="60"/>
        <v>43781</v>
      </c>
      <c r="C154" s="178">
        <f t="shared" si="60"/>
        <v>43963</v>
      </c>
      <c r="D154" s="142">
        <f t="shared" si="60"/>
        <v>90</v>
      </c>
      <c r="E154" s="142">
        <f t="shared" si="60"/>
        <v>180</v>
      </c>
      <c r="F154" s="103">
        <f t="shared" si="60"/>
        <v>0.25</v>
      </c>
      <c r="G154" s="104">
        <f t="shared" si="60"/>
        <v>1.0012966791995634</v>
      </c>
      <c r="H154" s="100">
        <f t="shared" si="60"/>
        <v>-5.1833569484785345E-3</v>
      </c>
      <c r="I154" s="160">
        <f>$D$151</f>
        <v>-1E-4</v>
      </c>
      <c r="J154" s="160">
        <f>H154+I154</f>
        <v>-5.2833569484785348E-3</v>
      </c>
      <c r="K154" s="103">
        <f>K135</f>
        <v>0.5</v>
      </c>
      <c r="L154" s="215">
        <f t="shared" ref="L154:L168" si="61">$B$11*K154</f>
        <v>1.4999999999999999E-2</v>
      </c>
      <c r="M154" s="263">
        <f>L154</f>
        <v>1.4999999999999999E-2</v>
      </c>
      <c r="N154" s="204">
        <f>EXP(-F154*J154)</f>
        <v>1.0013217119294513</v>
      </c>
      <c r="O154" s="222">
        <f>M154*N154</f>
        <v>1.501982567894177E-2</v>
      </c>
      <c r="P154" s="223">
        <f>P135</f>
        <v>0.98957749864427946</v>
      </c>
      <c r="Q154" s="224">
        <v>0.4</v>
      </c>
      <c r="R154" s="225">
        <f>M154*P154</f>
        <v>1.4843662479664191E-2</v>
      </c>
      <c r="S154" s="222">
        <f>R154*N154</f>
        <v>1.4863281525440312E-2</v>
      </c>
      <c r="T154" s="222">
        <f>(1-P154)*Q154</f>
        <v>4.1690005422882152E-3</v>
      </c>
      <c r="U154" s="200">
        <f>N154*T154</f>
        <v>4.1745107600388463E-3</v>
      </c>
    </row>
    <row r="155" spans="1:21">
      <c r="A155" s="142">
        <f t="shared" ref="A155:F155" si="62">A136</f>
        <v>13</v>
      </c>
      <c r="B155" s="178">
        <f t="shared" si="62"/>
        <v>43963</v>
      </c>
      <c r="C155" s="178">
        <f t="shared" si="62"/>
        <v>44147</v>
      </c>
      <c r="D155" s="142">
        <f t="shared" si="62"/>
        <v>270</v>
      </c>
      <c r="E155" s="142">
        <f t="shared" si="62"/>
        <v>180</v>
      </c>
      <c r="F155" s="103">
        <f t="shared" si="62"/>
        <v>0.75</v>
      </c>
      <c r="G155" s="104">
        <f t="shared" ref="G155:G168" si="63">G136</f>
        <v>1.0027804670927887</v>
      </c>
      <c r="H155" s="100">
        <f t="shared" ref="H155:H168" si="64">H136</f>
        <v>-3.7021449926851568E-3</v>
      </c>
      <c r="I155" s="160">
        <f>$D$151</f>
        <v>-1E-4</v>
      </c>
      <c r="J155" s="160">
        <f t="shared" ref="J155:J168" si="65">H155+I155</f>
        <v>-3.8021449926851567E-3</v>
      </c>
      <c r="K155" s="103">
        <f t="shared" ref="K155:K168" si="66">K136</f>
        <v>0.5</v>
      </c>
      <c r="L155" s="215">
        <f t="shared" si="61"/>
        <v>1.4999999999999999E-2</v>
      </c>
      <c r="M155" s="263">
        <f>L155</f>
        <v>1.4999999999999999E-2</v>
      </c>
      <c r="N155" s="204">
        <f t="shared" ref="N155:N168" si="67">EXP(-F155*J155)</f>
        <v>1.0028556784482112</v>
      </c>
      <c r="O155" s="222">
        <f>M155*N155</f>
        <v>1.5042835176723168E-2</v>
      </c>
      <c r="P155" s="223">
        <f>P136</f>
        <v>0.9719379116650726</v>
      </c>
      <c r="Q155" s="224">
        <v>0.4</v>
      </c>
      <c r="R155" s="225">
        <f>M155*P155</f>
        <v>1.4579068674976088E-2</v>
      </c>
      <c r="S155" s="222">
        <f>R155*N155</f>
        <v>1.4620701807186208E-2</v>
      </c>
      <c r="T155" s="222">
        <f>(P154-P155)*Q155</f>
        <v>7.0558347916827475E-3</v>
      </c>
      <c r="U155" s="200">
        <f>N155*T155</f>
        <v>7.0759839870314948E-3</v>
      </c>
    </row>
    <row r="156" spans="1:21">
      <c r="A156" s="142">
        <f t="shared" ref="A156:A168" si="68">A137</f>
        <v>14</v>
      </c>
      <c r="B156" s="178">
        <f t="shared" ref="B156:F156" si="69">B137</f>
        <v>44147</v>
      </c>
      <c r="C156" s="178">
        <f t="shared" si="69"/>
        <v>44328</v>
      </c>
      <c r="D156" s="142">
        <f t="shared" si="69"/>
        <v>450</v>
      </c>
      <c r="E156" s="142">
        <f t="shared" si="69"/>
        <v>180</v>
      </c>
      <c r="F156" s="103">
        <f t="shared" si="69"/>
        <v>1.25</v>
      </c>
      <c r="G156" s="104">
        <f t="shared" si="63"/>
        <v>1.0038810087771415</v>
      </c>
      <c r="H156" s="100">
        <f t="shared" si="64"/>
        <v>-3.0987976732664135E-3</v>
      </c>
      <c r="I156" s="160">
        <f t="shared" ref="I156:I168" si="70">$D$151</f>
        <v>-1E-4</v>
      </c>
      <c r="J156" s="160">
        <f t="shared" si="65"/>
        <v>-3.1987976732664133E-3</v>
      </c>
      <c r="K156" s="103">
        <f t="shared" si="66"/>
        <v>0.5</v>
      </c>
      <c r="L156" s="215">
        <f t="shared" si="61"/>
        <v>1.4999999999999999E-2</v>
      </c>
      <c r="M156" s="263">
        <f t="shared" ref="M156:M168" si="71">L156</f>
        <v>1.4999999999999999E-2</v>
      </c>
      <c r="N156" s="204">
        <f t="shared" si="67"/>
        <v>1.0040065017463857</v>
      </c>
      <c r="O156" s="222">
        <f t="shared" ref="O156:O168" si="72">M156*N156</f>
        <v>1.5060097526195785E-2</v>
      </c>
      <c r="P156" s="223">
        <f t="shared" ref="P156:P168" si="73">P137</f>
        <v>0.95660888015002832</v>
      </c>
      <c r="Q156" s="224">
        <v>0.4</v>
      </c>
      <c r="R156" s="225">
        <f t="shared" ref="R156:R168" si="74">M156*P156</f>
        <v>1.4349133202250425E-2</v>
      </c>
      <c r="S156" s="222">
        <f t="shared" ref="S156:S168" si="75">R156*N156</f>
        <v>1.4406623029484363E-2</v>
      </c>
      <c r="T156" s="222">
        <f t="shared" ref="T156:T167" si="76">(P155-P156)*Q156</f>
        <v>6.1316126060177115E-3</v>
      </c>
      <c r="U156" s="200">
        <f t="shared" ref="U156:U168" si="77">N156*T156</f>
        <v>6.1561789226318823E-3</v>
      </c>
    </row>
    <row r="157" spans="1:21">
      <c r="A157" s="142">
        <f t="shared" si="68"/>
        <v>15</v>
      </c>
      <c r="B157" s="178">
        <f t="shared" ref="B157:F157" si="78">B138</f>
        <v>44328</v>
      </c>
      <c r="C157" s="178">
        <f t="shared" si="78"/>
        <v>44512</v>
      </c>
      <c r="D157" s="142">
        <f t="shared" si="78"/>
        <v>630</v>
      </c>
      <c r="E157" s="142">
        <f t="shared" si="78"/>
        <v>180</v>
      </c>
      <c r="F157" s="103">
        <f t="shared" si="78"/>
        <v>1.75</v>
      </c>
      <c r="G157" s="104">
        <f t="shared" si="63"/>
        <v>1.0060362667521872</v>
      </c>
      <c r="H157" s="100">
        <f t="shared" si="64"/>
        <v>-3.4389265584204819E-3</v>
      </c>
      <c r="I157" s="160">
        <f t="shared" si="70"/>
        <v>-1E-4</v>
      </c>
      <c r="J157" s="160">
        <f t="shared" si="65"/>
        <v>-3.5389265584204817E-3</v>
      </c>
      <c r="K157" s="103">
        <f t="shared" si="66"/>
        <v>0.5</v>
      </c>
      <c r="L157" s="215">
        <f t="shared" si="61"/>
        <v>1.4999999999999999E-2</v>
      </c>
      <c r="M157" s="263">
        <f t="shared" si="71"/>
        <v>1.4999999999999999E-2</v>
      </c>
      <c r="N157" s="204">
        <f t="shared" si="67"/>
        <v>1.0062123385046977</v>
      </c>
      <c r="O157" s="222">
        <f t="shared" si="72"/>
        <v>1.5093185077570466E-2</v>
      </c>
      <c r="P157" s="223">
        <f t="shared" si="73"/>
        <v>0.94137689860233498</v>
      </c>
      <c r="Q157" s="224">
        <v>0.4</v>
      </c>
      <c r="R157" s="225">
        <f t="shared" si="74"/>
        <v>1.4120653479035024E-2</v>
      </c>
      <c r="S157" s="222">
        <f t="shared" si="75"/>
        <v>1.4208375758354326E-2</v>
      </c>
      <c r="T157" s="222">
        <f t="shared" si="76"/>
        <v>6.0927926190773368E-3</v>
      </c>
      <c r="U157" s="200">
        <f t="shared" si="77"/>
        <v>6.1306431092659685E-3</v>
      </c>
    </row>
    <row r="158" spans="1:21">
      <c r="A158" s="142">
        <f t="shared" si="68"/>
        <v>16</v>
      </c>
      <c r="B158" s="178">
        <f t="shared" ref="B158:F158" si="79">B139</f>
        <v>44512</v>
      </c>
      <c r="C158" s="178">
        <f t="shared" si="79"/>
        <v>44693</v>
      </c>
      <c r="D158" s="142">
        <f t="shared" si="79"/>
        <v>810</v>
      </c>
      <c r="E158" s="142">
        <f t="shared" si="79"/>
        <v>180</v>
      </c>
      <c r="F158" s="103">
        <f t="shared" si="79"/>
        <v>2.25</v>
      </c>
      <c r="G158" s="104">
        <f t="shared" si="63"/>
        <v>1.0080269597397804</v>
      </c>
      <c r="H158" s="100">
        <f t="shared" si="64"/>
        <v>-3.5532955844918748E-3</v>
      </c>
      <c r="I158" s="160">
        <f t="shared" si="70"/>
        <v>-1E-4</v>
      </c>
      <c r="J158" s="160">
        <f t="shared" si="65"/>
        <v>-3.6532955844918746E-3</v>
      </c>
      <c r="K158" s="103">
        <f t="shared" si="66"/>
        <v>0.5</v>
      </c>
      <c r="L158" s="215">
        <f t="shared" si="61"/>
        <v>1.4999999999999999E-2</v>
      </c>
      <c r="M158" s="263">
        <f t="shared" si="71"/>
        <v>1.4999999999999999E-2</v>
      </c>
      <c r="N158" s="204">
        <f t="shared" si="67"/>
        <v>1.008253791323318</v>
      </c>
      <c r="O158" s="222">
        <f t="shared" si="72"/>
        <v>1.512380686984977E-2</v>
      </c>
      <c r="P158" s="223">
        <f t="shared" si="73"/>
        <v>0.92661160406540621</v>
      </c>
      <c r="Q158" s="224">
        <v>0.4</v>
      </c>
      <c r="R158" s="225">
        <f t="shared" si="74"/>
        <v>1.3899174060981092E-2</v>
      </c>
      <c r="S158" s="222">
        <f t="shared" si="75"/>
        <v>1.4013894943246905E-2</v>
      </c>
      <c r="T158" s="222">
        <f t="shared" si="76"/>
        <v>5.9061178147715061E-3</v>
      </c>
      <c r="U158" s="200">
        <f t="shared" si="77"/>
        <v>5.9548656787455616E-3</v>
      </c>
    </row>
    <row r="159" spans="1:21">
      <c r="A159" s="142">
        <f t="shared" si="68"/>
        <v>17</v>
      </c>
      <c r="B159" s="178">
        <f t="shared" ref="B159:F159" si="80">B140</f>
        <v>44693</v>
      </c>
      <c r="C159" s="178">
        <f t="shared" si="80"/>
        <v>44879</v>
      </c>
      <c r="D159" s="142">
        <f t="shared" si="80"/>
        <v>992</v>
      </c>
      <c r="E159" s="142">
        <f t="shared" si="80"/>
        <v>182</v>
      </c>
      <c r="F159" s="103">
        <f t="shared" si="80"/>
        <v>2.7555555555555555</v>
      </c>
      <c r="G159" s="104">
        <f t="shared" si="63"/>
        <v>1.0095064700241203</v>
      </c>
      <c r="H159" s="100">
        <f t="shared" si="64"/>
        <v>-3.4336335075722813E-3</v>
      </c>
      <c r="I159" s="160">
        <f t="shared" si="70"/>
        <v>-1E-4</v>
      </c>
      <c r="J159" s="160">
        <f t="shared" si="65"/>
        <v>-3.5336335075722811E-3</v>
      </c>
      <c r="K159" s="103">
        <f t="shared" si="66"/>
        <v>0.50555555555555554</v>
      </c>
      <c r="L159" s="215">
        <f t="shared" si="61"/>
        <v>1.5166666666666665E-2</v>
      </c>
      <c r="M159" s="263">
        <f t="shared" si="71"/>
        <v>1.5166666666666665E-2</v>
      </c>
      <c r="N159" s="204">
        <f t="shared" si="67"/>
        <v>1.0097846834701747</v>
      </c>
      <c r="O159" s="222">
        <f t="shared" si="72"/>
        <v>1.5315067699297647E-2</v>
      </c>
      <c r="P159" s="223">
        <f t="shared" si="73"/>
        <v>0.91169640658338413</v>
      </c>
      <c r="Q159" s="224">
        <v>0.4</v>
      </c>
      <c r="R159" s="225">
        <f t="shared" si="74"/>
        <v>1.3827395499847992E-2</v>
      </c>
      <c r="S159" s="222">
        <f t="shared" si="75"/>
        <v>1.3962692188030923E-2</v>
      </c>
      <c r="T159" s="222">
        <f t="shared" si="76"/>
        <v>5.9660789928088322E-3</v>
      </c>
      <c r="U159" s="200">
        <f t="shared" si="77"/>
        <v>6.0244551873115254E-3</v>
      </c>
    </row>
    <row r="160" spans="1:21">
      <c r="A160" s="142">
        <f t="shared" si="68"/>
        <v>18</v>
      </c>
      <c r="B160" s="178">
        <f t="shared" ref="B160:F160" si="81">B141</f>
        <v>44879</v>
      </c>
      <c r="C160" s="178">
        <f t="shared" si="81"/>
        <v>45058</v>
      </c>
      <c r="D160" s="142">
        <f t="shared" si="81"/>
        <v>1170</v>
      </c>
      <c r="E160" s="142">
        <f t="shared" si="81"/>
        <v>178</v>
      </c>
      <c r="F160" s="103">
        <f t="shared" si="81"/>
        <v>3.25</v>
      </c>
      <c r="G160" s="104">
        <f t="shared" si="63"/>
        <v>1.0107622080724596</v>
      </c>
      <c r="H160" s="100">
        <f t="shared" si="64"/>
        <v>-3.2937562145456236E-3</v>
      </c>
      <c r="I160" s="160">
        <f t="shared" si="70"/>
        <v>-1E-4</v>
      </c>
      <c r="J160" s="160">
        <f t="shared" si="65"/>
        <v>-3.3937562145456234E-3</v>
      </c>
      <c r="K160" s="103">
        <f t="shared" si="66"/>
        <v>0.49444444444444446</v>
      </c>
      <c r="L160" s="215">
        <f t="shared" si="61"/>
        <v>1.4833333333333334E-2</v>
      </c>
      <c r="M160" s="263">
        <f t="shared" si="71"/>
        <v>1.4833333333333334E-2</v>
      </c>
      <c r="N160" s="204">
        <f t="shared" si="67"/>
        <v>1.0110907591767457</v>
      </c>
      <c r="O160" s="222">
        <f t="shared" si="72"/>
        <v>1.4997846261121729E-2</v>
      </c>
      <c r="P160" s="223">
        <f t="shared" si="73"/>
        <v>0.89739224673918205</v>
      </c>
      <c r="Q160" s="224">
        <v>0.4</v>
      </c>
      <c r="R160" s="225">
        <f t="shared" si="74"/>
        <v>1.33113183266312E-2</v>
      </c>
      <c r="S160" s="222">
        <f t="shared" si="75"/>
        <v>1.3458950952516868E-2</v>
      </c>
      <c r="T160" s="222">
        <f t="shared" si="76"/>
        <v>5.7216639376808324E-3</v>
      </c>
      <c r="U160" s="200">
        <f t="shared" si="77"/>
        <v>5.785121534503921E-3</v>
      </c>
    </row>
    <row r="161" spans="1:21">
      <c r="A161" s="142">
        <f t="shared" si="68"/>
        <v>19</v>
      </c>
      <c r="B161" s="178">
        <f t="shared" ref="B161:F161" si="82">B142</f>
        <v>45058</v>
      </c>
      <c r="C161" s="178">
        <f t="shared" si="82"/>
        <v>45243</v>
      </c>
      <c r="D161" s="142">
        <f t="shared" si="82"/>
        <v>1351</v>
      </c>
      <c r="E161" s="142">
        <f t="shared" si="82"/>
        <v>181</v>
      </c>
      <c r="F161" s="103">
        <f t="shared" si="82"/>
        <v>3.7527777777777778</v>
      </c>
      <c r="G161" s="104">
        <f t="shared" si="63"/>
        <v>1.0117941922867517</v>
      </c>
      <c r="H161" s="100">
        <f t="shared" si="64"/>
        <v>-3.1244010629110706E-3</v>
      </c>
      <c r="I161" s="160">
        <f t="shared" si="70"/>
        <v>-1E-4</v>
      </c>
      <c r="J161" s="160">
        <f t="shared" si="65"/>
        <v>-3.2244010629110705E-3</v>
      </c>
      <c r="K161" s="103">
        <f t="shared" si="66"/>
        <v>0.50277777777777777</v>
      </c>
      <c r="L161" s="215">
        <f t="shared" si="61"/>
        <v>1.5083333333333332E-2</v>
      </c>
      <c r="M161" s="263">
        <f t="shared" si="71"/>
        <v>1.5083333333333332E-2</v>
      </c>
      <c r="N161" s="204">
        <f t="shared" si="67"/>
        <v>1.0121739674189283</v>
      </c>
      <c r="O161" s="222">
        <f t="shared" si="72"/>
        <v>1.5266957341902167E-2</v>
      </c>
      <c r="P161" s="223">
        <f t="shared" si="73"/>
        <v>0.8830247231511964</v>
      </c>
      <c r="Q161" s="224">
        <v>0.4</v>
      </c>
      <c r="R161" s="225">
        <f t="shared" si="74"/>
        <v>1.3318956240863877E-2</v>
      </c>
      <c r="S161" s="222">
        <f t="shared" si="75"/>
        <v>1.3481100780194285E-2</v>
      </c>
      <c r="T161" s="222">
        <f t="shared" si="76"/>
        <v>5.7470094351942617E-3</v>
      </c>
      <c r="U161" s="200">
        <f t="shared" si="77"/>
        <v>5.8169733408145897E-3</v>
      </c>
    </row>
    <row r="162" spans="1:21">
      <c r="A162" s="142">
        <f t="shared" si="68"/>
        <v>20</v>
      </c>
      <c r="B162" s="178">
        <f t="shared" ref="B162:F162" si="83">B143</f>
        <v>45243</v>
      </c>
      <c r="C162" s="178">
        <f t="shared" si="83"/>
        <v>45425</v>
      </c>
      <c r="D162" s="142">
        <f t="shared" si="83"/>
        <v>1531</v>
      </c>
      <c r="E162" s="142">
        <f t="shared" si="83"/>
        <v>180</v>
      </c>
      <c r="F162" s="103">
        <f t="shared" si="83"/>
        <v>4.2527777777777782</v>
      </c>
      <c r="G162" s="104">
        <f t="shared" si="63"/>
        <v>1.0126015780248474</v>
      </c>
      <c r="H162" s="100">
        <f t="shared" si="64"/>
        <v>-2.9446257472087473E-3</v>
      </c>
      <c r="I162" s="160">
        <f t="shared" si="70"/>
        <v>-1E-4</v>
      </c>
      <c r="J162" s="160">
        <f t="shared" si="65"/>
        <v>-3.0446257472087472E-3</v>
      </c>
      <c r="K162" s="103">
        <f t="shared" si="66"/>
        <v>0.5</v>
      </c>
      <c r="L162" s="215">
        <f t="shared" si="61"/>
        <v>1.4999999999999999E-2</v>
      </c>
      <c r="M162" s="263">
        <f t="shared" si="71"/>
        <v>1.4999999999999999E-2</v>
      </c>
      <c r="N162" s="204">
        <f t="shared" si="67"/>
        <v>1.0130323065568687</v>
      </c>
      <c r="O162" s="222">
        <f>M162*N162</f>
        <v>1.5195484598353031E-2</v>
      </c>
      <c r="P162" s="223">
        <f t="shared" si="73"/>
        <v>0.86896820871222047</v>
      </c>
      <c r="Q162" s="224">
        <v>0.4</v>
      </c>
      <c r="R162" s="225">
        <f t="shared" si="74"/>
        <v>1.3034523130683307E-2</v>
      </c>
      <c r="S162" s="222">
        <f t="shared" si="75"/>
        <v>1.3204393031944968E-2</v>
      </c>
      <c r="T162" s="222">
        <f t="shared" si="76"/>
        <v>5.6226057755903724E-3</v>
      </c>
      <c r="U162" s="200">
        <f t="shared" si="77"/>
        <v>5.6958812977062866E-3</v>
      </c>
    </row>
    <row r="163" spans="1:21">
      <c r="A163" s="142">
        <f t="shared" si="68"/>
        <v>21</v>
      </c>
      <c r="B163" s="178">
        <f t="shared" ref="B163:F163" si="84">B144</f>
        <v>45425</v>
      </c>
      <c r="C163" s="178">
        <f t="shared" si="84"/>
        <v>45608</v>
      </c>
      <c r="D163" s="142">
        <f t="shared" si="84"/>
        <v>1710</v>
      </c>
      <c r="E163" s="142">
        <f t="shared" si="84"/>
        <v>179</v>
      </c>
      <c r="F163" s="103">
        <f t="shared" si="84"/>
        <v>4.75</v>
      </c>
      <c r="G163" s="104">
        <f t="shared" si="63"/>
        <v>1.0131542178265776</v>
      </c>
      <c r="H163" s="100">
        <f t="shared" si="64"/>
        <v>-2.7512531373861402E-3</v>
      </c>
      <c r="I163" s="160">
        <f t="shared" si="70"/>
        <v>-1E-4</v>
      </c>
      <c r="J163" s="160">
        <f t="shared" si="65"/>
        <v>-2.85125313738614E-3</v>
      </c>
      <c r="K163" s="103">
        <f t="shared" si="66"/>
        <v>0.49722222222222223</v>
      </c>
      <c r="L163" s="215">
        <f t="shared" si="61"/>
        <v>1.4916666666666667E-2</v>
      </c>
      <c r="M163" s="263">
        <f t="shared" si="71"/>
        <v>1.4916666666666667E-2</v>
      </c>
      <c r="N163" s="204">
        <f t="shared" si="67"/>
        <v>1.0136355803946044</v>
      </c>
      <c r="O163" s="222">
        <f t="shared" si="72"/>
        <v>1.5120064074219517E-2</v>
      </c>
      <c r="P163" s="223">
        <f t="shared" si="73"/>
        <v>0.85517053162619039</v>
      </c>
      <c r="Q163" s="224">
        <v>0.4</v>
      </c>
      <c r="R163" s="225">
        <f t="shared" si="74"/>
        <v>1.2756293763424006E-2</v>
      </c>
      <c r="S163" s="222">
        <f t="shared" si="75"/>
        <v>1.2930233232572365E-2</v>
      </c>
      <c r="T163" s="222">
        <f t="shared" si="76"/>
        <v>5.5190708344120326E-3</v>
      </c>
      <c r="U163" s="200">
        <f t="shared" si="77"/>
        <v>5.5943265684781744E-3</v>
      </c>
    </row>
    <row r="164" spans="1:21">
      <c r="A164" s="142">
        <f t="shared" si="68"/>
        <v>22</v>
      </c>
      <c r="B164" s="178">
        <f t="shared" ref="B164:F164" si="85">B145</f>
        <v>45608</v>
      </c>
      <c r="C164" s="178">
        <f t="shared" si="85"/>
        <v>45789</v>
      </c>
      <c r="D164" s="142">
        <f t="shared" si="85"/>
        <v>1890</v>
      </c>
      <c r="E164" s="142">
        <f t="shared" si="85"/>
        <v>180</v>
      </c>
      <c r="F164" s="103">
        <f t="shared" si="85"/>
        <v>5.25</v>
      </c>
      <c r="G164" s="104">
        <f t="shared" si="63"/>
        <v>1.0134595323072064</v>
      </c>
      <c r="H164" s="100">
        <f t="shared" si="64"/>
        <v>-2.5466204679636694E-3</v>
      </c>
      <c r="I164" s="160">
        <f t="shared" si="70"/>
        <v>-1E-4</v>
      </c>
      <c r="J164" s="160">
        <f t="shared" si="65"/>
        <v>-2.6466204679636693E-3</v>
      </c>
      <c r="K164" s="103">
        <f t="shared" si="66"/>
        <v>0.5</v>
      </c>
      <c r="L164" s="215">
        <f t="shared" si="61"/>
        <v>1.4999999999999999E-2</v>
      </c>
      <c r="M164" s="263">
        <f t="shared" si="71"/>
        <v>1.4999999999999999E-2</v>
      </c>
      <c r="N164" s="204">
        <f>EXP(-F164*J164)</f>
        <v>1.0139917382535044</v>
      </c>
      <c r="O164" s="222">
        <f>M164*N164</f>
        <v>1.5209876073802565E-2</v>
      </c>
      <c r="P164" s="223">
        <f t="shared" si="73"/>
        <v>0.84152115696817653</v>
      </c>
      <c r="Q164" s="224">
        <v>0.4</v>
      </c>
      <c r="R164" s="225">
        <f t="shared" si="74"/>
        <v>1.2622817354522647E-2</v>
      </c>
      <c r="S164" s="222">
        <f t="shared" si="75"/>
        <v>1.2799432510968921E-2</v>
      </c>
      <c r="T164" s="222">
        <f t="shared" si="76"/>
        <v>5.4597498632055434E-3</v>
      </c>
      <c r="U164" s="200">
        <f>N164*T164</f>
        <v>5.5361412542211221E-3</v>
      </c>
    </row>
    <row r="165" spans="1:21">
      <c r="A165" s="142">
        <f t="shared" si="68"/>
        <v>23</v>
      </c>
      <c r="B165" s="178">
        <f t="shared" ref="B165:F165" si="86">B146</f>
        <v>45789</v>
      </c>
      <c r="C165" s="178">
        <f t="shared" si="86"/>
        <v>45973</v>
      </c>
      <c r="D165" s="142">
        <f t="shared" si="86"/>
        <v>2070</v>
      </c>
      <c r="E165" s="142">
        <f t="shared" si="86"/>
        <v>180</v>
      </c>
      <c r="F165" s="103">
        <f t="shared" si="86"/>
        <v>5.75</v>
      </c>
      <c r="G165" s="104">
        <f t="shared" si="63"/>
        <v>1.0134671607308678</v>
      </c>
      <c r="H165" s="100">
        <f t="shared" si="64"/>
        <v>-2.3264842679533212E-3</v>
      </c>
      <c r="I165" s="160">
        <f t="shared" si="70"/>
        <v>-1E-4</v>
      </c>
      <c r="J165" s="160">
        <f t="shared" si="65"/>
        <v>-2.426484267953321E-3</v>
      </c>
      <c r="K165" s="103">
        <f t="shared" si="66"/>
        <v>0.5</v>
      </c>
      <c r="L165" s="215">
        <f t="shared" si="61"/>
        <v>1.4999999999999999E-2</v>
      </c>
      <c r="M165" s="263">
        <f t="shared" si="71"/>
        <v>1.4999999999999999E-2</v>
      </c>
      <c r="N165" s="204">
        <f t="shared" si="67"/>
        <v>1.0140500719191943</v>
      </c>
      <c r="O165" s="222">
        <f t="shared" si="72"/>
        <v>1.5210751078787913E-2</v>
      </c>
      <c r="P165" s="223">
        <f t="shared" si="73"/>
        <v>0.82807475696411736</v>
      </c>
      <c r="Q165" s="224">
        <v>0.4</v>
      </c>
      <c r="R165" s="225">
        <f t="shared" si="74"/>
        <v>1.2421121354461761E-2</v>
      </c>
      <c r="S165" s="222">
        <f t="shared" si="75"/>
        <v>1.2595639002808988E-2</v>
      </c>
      <c r="T165" s="222">
        <f t="shared" si="76"/>
        <v>5.3785600016236675E-3</v>
      </c>
      <c r="U165" s="200">
        <f t="shared" si="77"/>
        <v>5.4541291564681816E-3</v>
      </c>
    </row>
    <row r="166" spans="1:21">
      <c r="A166" s="142">
        <f t="shared" si="68"/>
        <v>24</v>
      </c>
      <c r="B166" s="178">
        <f t="shared" ref="B166:F166" si="87">B147</f>
        <v>45973</v>
      </c>
      <c r="C166" s="178">
        <f t="shared" si="87"/>
        <v>46154</v>
      </c>
      <c r="D166" s="142">
        <f t="shared" si="87"/>
        <v>2250</v>
      </c>
      <c r="E166" s="142">
        <f t="shared" si="87"/>
        <v>180</v>
      </c>
      <c r="F166" s="103">
        <f t="shared" si="87"/>
        <v>6.25</v>
      </c>
      <c r="G166" s="104">
        <f t="shared" si="63"/>
        <v>1.0131902727525781</v>
      </c>
      <c r="H166" s="100">
        <f t="shared" si="64"/>
        <v>-2.0966461725995512E-3</v>
      </c>
      <c r="I166" s="160">
        <f t="shared" si="70"/>
        <v>-1E-4</v>
      </c>
      <c r="J166" s="160">
        <f t="shared" si="65"/>
        <v>-2.196646172599551E-3</v>
      </c>
      <c r="K166" s="103">
        <f t="shared" si="66"/>
        <v>0.5</v>
      </c>
      <c r="L166" s="215">
        <f t="shared" si="61"/>
        <v>1.4999999999999999E-2</v>
      </c>
      <c r="M166" s="263">
        <f t="shared" si="71"/>
        <v>1.4999999999999999E-2</v>
      </c>
      <c r="N166" s="204">
        <f t="shared" si="67"/>
        <v>1.0138237146030069</v>
      </c>
      <c r="O166" s="222">
        <f t="shared" si="72"/>
        <v>1.5207355719045103E-2</v>
      </c>
      <c r="P166" s="223">
        <f t="shared" si="73"/>
        <v>0.81488927816370282</v>
      </c>
      <c r="Q166" s="224">
        <v>0.4</v>
      </c>
      <c r="R166" s="225">
        <f t="shared" si="74"/>
        <v>1.2223339172455543E-2</v>
      </c>
      <c r="S166" s="222">
        <f t="shared" si="75"/>
        <v>1.2392311124671323E-2</v>
      </c>
      <c r="T166" s="222">
        <f t="shared" si="76"/>
        <v>5.2741915201658168E-3</v>
      </c>
      <c r="U166" s="200">
        <f t="shared" si="77"/>
        <v>5.3471004385021881E-3</v>
      </c>
    </row>
    <row r="167" spans="1:21">
      <c r="A167" s="142">
        <f t="shared" si="68"/>
        <v>25</v>
      </c>
      <c r="B167" s="178">
        <f t="shared" ref="B167:F167" si="88">B148</f>
        <v>46154</v>
      </c>
      <c r="C167" s="178">
        <f t="shared" si="88"/>
        <v>46338</v>
      </c>
      <c r="D167" s="142">
        <f t="shared" si="88"/>
        <v>2430</v>
      </c>
      <c r="E167" s="142">
        <f t="shared" si="88"/>
        <v>180</v>
      </c>
      <c r="F167" s="103">
        <f t="shared" si="88"/>
        <v>6.75</v>
      </c>
      <c r="G167" s="104">
        <f t="shared" si="63"/>
        <v>1.0125724403998082</v>
      </c>
      <c r="H167" s="100">
        <f t="shared" si="64"/>
        <v>-1.8509723723175596E-3</v>
      </c>
      <c r="I167" s="160">
        <f t="shared" si="70"/>
        <v>-1E-4</v>
      </c>
      <c r="J167" s="160">
        <f t="shared" si="65"/>
        <v>-1.9509723723175596E-3</v>
      </c>
      <c r="K167" s="103">
        <f t="shared" si="66"/>
        <v>0.5</v>
      </c>
      <c r="L167" s="215">
        <f t="shared" si="61"/>
        <v>1.4999999999999999E-2</v>
      </c>
      <c r="M167" s="263">
        <f t="shared" si="71"/>
        <v>1.4999999999999999E-2</v>
      </c>
      <c r="N167" s="204">
        <f t="shared" si="67"/>
        <v>1.0132561575256482</v>
      </c>
      <c r="O167" s="222">
        <f t="shared" si="72"/>
        <v>1.5198842362884723E-2</v>
      </c>
      <c r="P167" s="223">
        <f t="shared" si="73"/>
        <v>0.8019590869475538</v>
      </c>
      <c r="Q167" s="224">
        <v>0.4</v>
      </c>
      <c r="R167" s="225">
        <f t="shared" si="74"/>
        <v>1.2029386304213307E-2</v>
      </c>
      <c r="S167" s="222">
        <f t="shared" si="75"/>
        <v>1.2188849743998835E-2</v>
      </c>
      <c r="T167" s="222">
        <f t="shared" si="76"/>
        <v>5.1720764864596099E-3</v>
      </c>
      <c r="U167" s="200">
        <f t="shared" si="77"/>
        <v>5.2406383470988199E-3</v>
      </c>
    </row>
    <row r="168" spans="1:21">
      <c r="A168" s="142">
        <f t="shared" si="68"/>
        <v>26</v>
      </c>
      <c r="B168" s="178">
        <f t="shared" ref="B168:F168" si="89">B149</f>
        <v>46338</v>
      </c>
      <c r="C168" s="178">
        <f t="shared" si="89"/>
        <v>46519</v>
      </c>
      <c r="D168" s="142">
        <f t="shared" si="89"/>
        <v>2610</v>
      </c>
      <c r="E168" s="142">
        <f t="shared" si="89"/>
        <v>180</v>
      </c>
      <c r="F168" s="103">
        <f t="shared" si="89"/>
        <v>7.25</v>
      </c>
      <c r="G168" s="104">
        <f t="shared" si="63"/>
        <v>1.0116366382062674</v>
      </c>
      <c r="H168" s="100">
        <f t="shared" si="64"/>
        <v>-1.595786653019777E-3</v>
      </c>
      <c r="I168" s="160">
        <f t="shared" si="70"/>
        <v>-1E-4</v>
      </c>
      <c r="J168" s="160">
        <f t="shared" si="65"/>
        <v>-1.695786653019777E-3</v>
      </c>
      <c r="K168" s="103">
        <f t="shared" si="66"/>
        <v>0.5</v>
      </c>
      <c r="L168" s="215">
        <f t="shared" si="61"/>
        <v>1.4999999999999999E-2</v>
      </c>
      <c r="M168" s="263">
        <f t="shared" si="71"/>
        <v>1.4999999999999999E-2</v>
      </c>
      <c r="N168" s="204">
        <f t="shared" si="67"/>
        <v>1.0123703407039846</v>
      </c>
      <c r="O168" s="222">
        <f t="shared" si="72"/>
        <v>1.5185555110559768E-2</v>
      </c>
      <c r="P168" s="223">
        <f t="shared" si="73"/>
        <v>0.78919364869788378</v>
      </c>
      <c r="Q168" s="224">
        <v>0.4</v>
      </c>
      <c r="R168" s="225">
        <f t="shared" si="74"/>
        <v>1.1837904730468257E-2</v>
      </c>
      <c r="S168" s="222">
        <f t="shared" si="75"/>
        <v>1.198434364520546E-2</v>
      </c>
      <c r="T168" s="222">
        <f>(P167-P168)*Q168</f>
        <v>5.1061752998680099E-3</v>
      </c>
      <c r="U168" s="200">
        <f t="shared" si="77"/>
        <v>5.1693404280216473E-3</v>
      </c>
    </row>
    <row r="169" spans="1:21" ht="15" thickBot="1"/>
    <row r="170" spans="1:21" ht="15" thickBot="1">
      <c r="A170" s="324" t="s">
        <v>445</v>
      </c>
      <c r="B170" s="324"/>
      <c r="C170" s="197" t="s">
        <v>467</v>
      </c>
      <c r="D170" s="233">
        <v>2E-3</v>
      </c>
      <c r="E170" s="197" t="s">
        <v>318</v>
      </c>
      <c r="F170" s="264">
        <f>(D173*D170-D187*(-D170))/(D187-D173)</f>
        <v>2.1428571428571425E-3</v>
      </c>
      <c r="G170" s="120" t="s">
        <v>458</v>
      </c>
      <c r="H170" s="198">
        <f>(-D170-D170)/(D187/360-D173/360)</f>
        <v>-5.7142857142857147E-4</v>
      </c>
    </row>
    <row r="171" spans="1:21" ht="15" thickBot="1">
      <c r="A171" s="314" t="s">
        <v>334</v>
      </c>
      <c r="B171" s="314"/>
      <c r="C171" s="314"/>
      <c r="D171" s="314"/>
      <c r="E171" s="314"/>
      <c r="F171" s="314"/>
      <c r="G171" s="314"/>
      <c r="H171" s="314"/>
      <c r="I171" s="314"/>
      <c r="J171" s="314"/>
      <c r="K171" s="320"/>
      <c r="L171" s="207" t="s">
        <v>412</v>
      </c>
      <c r="M171" s="208"/>
      <c r="N171" s="209"/>
      <c r="O171" s="209"/>
      <c r="P171" s="319" t="s">
        <v>413</v>
      </c>
      <c r="Q171" s="314"/>
      <c r="R171" s="314"/>
      <c r="S171" s="314"/>
      <c r="T171" s="314"/>
      <c r="U171" s="320"/>
    </row>
    <row r="172" spans="1:21" ht="15" thickBot="1">
      <c r="A172" s="99" t="s">
        <v>323</v>
      </c>
      <c r="B172" s="99" t="s">
        <v>299</v>
      </c>
      <c r="C172" s="99" t="s">
        <v>301</v>
      </c>
      <c r="D172" s="99" t="s">
        <v>33</v>
      </c>
      <c r="E172" s="99" t="s">
        <v>395</v>
      </c>
      <c r="F172" s="99" t="s">
        <v>303</v>
      </c>
      <c r="G172" s="99" t="s">
        <v>319</v>
      </c>
      <c r="H172" s="99" t="s">
        <v>344</v>
      </c>
      <c r="I172" s="99" t="s">
        <v>457</v>
      </c>
      <c r="J172" s="99" t="s">
        <v>469</v>
      </c>
      <c r="K172" s="99" t="s">
        <v>302</v>
      </c>
      <c r="L172" s="212" t="s">
        <v>398</v>
      </c>
      <c r="M172" s="210" t="s">
        <v>405</v>
      </c>
      <c r="N172" s="99" t="s">
        <v>472</v>
      </c>
      <c r="O172" s="99" t="s">
        <v>406</v>
      </c>
      <c r="P172" s="210" t="s">
        <v>407</v>
      </c>
      <c r="Q172" s="99" t="s">
        <v>408</v>
      </c>
      <c r="R172" s="99" t="s">
        <v>409</v>
      </c>
      <c r="S172" s="99" t="s">
        <v>410</v>
      </c>
      <c r="T172" s="99" t="s">
        <v>411</v>
      </c>
      <c r="U172" s="211" t="s">
        <v>439</v>
      </c>
    </row>
    <row r="173" spans="1:21">
      <c r="A173" s="142">
        <f t="shared" ref="A173:F173" si="90">A135</f>
        <v>12</v>
      </c>
      <c r="B173" s="178">
        <f t="shared" si="90"/>
        <v>43781</v>
      </c>
      <c r="C173" s="178">
        <f t="shared" si="90"/>
        <v>43963</v>
      </c>
      <c r="D173" s="142">
        <f t="shared" si="90"/>
        <v>90</v>
      </c>
      <c r="E173" s="142">
        <f t="shared" si="90"/>
        <v>180</v>
      </c>
      <c r="F173" s="103">
        <f t="shared" si="90"/>
        <v>0.25</v>
      </c>
      <c r="G173" s="104">
        <f>G154</f>
        <v>1.0012966791995634</v>
      </c>
      <c r="H173" s="100">
        <f t="shared" ref="H173:H187" si="91">H135</f>
        <v>-5.1833569484785345E-3</v>
      </c>
      <c r="I173" s="265">
        <f>$F$170+$H$170*(D173/360)</f>
        <v>1.9999999999999996E-3</v>
      </c>
      <c r="J173" s="160">
        <f>H173+I173</f>
        <v>-3.1833569484785349E-3</v>
      </c>
      <c r="K173" s="103">
        <f t="shared" ref="K173:K187" si="92">K135</f>
        <v>0.5</v>
      </c>
      <c r="L173" s="215">
        <f t="shared" ref="L173:L187" si="93">$B$11*K173</f>
        <v>1.4999999999999999E-2</v>
      </c>
      <c r="M173" s="221">
        <f t="shared" ref="M173:M187" si="94">L173</f>
        <v>1.4999999999999999E-2</v>
      </c>
      <c r="N173" s="204">
        <f>EXP(-F173*J173)</f>
        <v>1.0007961560011909</v>
      </c>
      <c r="O173" s="222">
        <f>M173*N173</f>
        <v>1.5011942340017863E-2</v>
      </c>
      <c r="P173" s="223">
        <f t="shared" ref="P173:P187" si="95">P135</f>
        <v>0.98957749864427946</v>
      </c>
      <c r="Q173" s="224">
        <v>0.4</v>
      </c>
      <c r="R173" s="225">
        <f>M173*P173</f>
        <v>1.4843662479664191E-2</v>
      </c>
      <c r="S173" s="222">
        <f>R173*N173</f>
        <v>1.4855480350627026E-2</v>
      </c>
      <c r="T173" s="222">
        <f>(1-P173)*Q173</f>
        <v>4.1690005422882152E-3</v>
      </c>
      <c r="U173" s="200">
        <f>N173*T173</f>
        <v>4.1723197170889263E-3</v>
      </c>
    </row>
    <row r="174" spans="1:21">
      <c r="A174" s="142">
        <f t="shared" ref="A174:F174" si="96">A136</f>
        <v>13</v>
      </c>
      <c r="B174" s="178">
        <f t="shared" si="96"/>
        <v>43963</v>
      </c>
      <c r="C174" s="178">
        <f t="shared" si="96"/>
        <v>44147</v>
      </c>
      <c r="D174" s="142">
        <f t="shared" si="96"/>
        <v>270</v>
      </c>
      <c r="E174" s="142">
        <f t="shared" si="96"/>
        <v>180</v>
      </c>
      <c r="F174" s="103">
        <f t="shared" si="96"/>
        <v>0.75</v>
      </c>
      <c r="G174" s="104">
        <f t="shared" ref="G174:G187" si="97">G155</f>
        <v>1.0027804670927887</v>
      </c>
      <c r="H174" s="100">
        <f t="shared" si="91"/>
        <v>-3.7021449926851568E-3</v>
      </c>
      <c r="I174" s="160">
        <f>$F$170+$H$170*(D174/360)</f>
        <v>1.714285714285714E-3</v>
      </c>
      <c r="J174" s="160">
        <f t="shared" ref="J174:J187" si="98">H174+I174</f>
        <v>-1.9878592783994431E-3</v>
      </c>
      <c r="K174" s="103">
        <f t="shared" si="92"/>
        <v>0.5</v>
      </c>
      <c r="L174" s="215">
        <f t="shared" si="93"/>
        <v>1.4999999999999999E-2</v>
      </c>
      <c r="M174" s="221">
        <f t="shared" si="94"/>
        <v>1.4999999999999999E-2</v>
      </c>
      <c r="N174" s="204">
        <f t="shared" ref="N174:N187" si="99">EXP(-F174*J174)</f>
        <v>1.0014920063944674</v>
      </c>
      <c r="O174" s="222">
        <f t="shared" ref="O174:O179" si="100">M174*N174</f>
        <v>1.5022380095917011E-2</v>
      </c>
      <c r="P174" s="223">
        <f t="shared" si="95"/>
        <v>0.9719379116650726</v>
      </c>
      <c r="Q174" s="224">
        <v>0.4</v>
      </c>
      <c r="R174" s="225">
        <f t="shared" ref="R174:R179" si="101">M174*P174</f>
        <v>1.4579068674976088E-2</v>
      </c>
      <c r="S174" s="222">
        <f t="shared" ref="S174:S179" si="102">R174*N174</f>
        <v>1.4600820738664533E-2</v>
      </c>
      <c r="T174" s="222">
        <f t="shared" ref="T174:T187" si="103">(P173-P174)*Q174</f>
        <v>7.0558347916827475E-3</v>
      </c>
      <c r="U174" s="200">
        <f t="shared" ref="U174:U179" si="104">N174*T174</f>
        <v>7.066362142310244E-3</v>
      </c>
    </row>
    <row r="175" spans="1:21">
      <c r="A175" s="142">
        <f t="shared" ref="A175:F175" si="105">A137</f>
        <v>14</v>
      </c>
      <c r="B175" s="178">
        <f t="shared" si="105"/>
        <v>44147</v>
      </c>
      <c r="C175" s="178">
        <f t="shared" si="105"/>
        <v>44328</v>
      </c>
      <c r="D175" s="142">
        <f t="shared" si="105"/>
        <v>450</v>
      </c>
      <c r="E175" s="142">
        <f t="shared" si="105"/>
        <v>180</v>
      </c>
      <c r="F175" s="103">
        <f t="shared" si="105"/>
        <v>1.25</v>
      </c>
      <c r="G175" s="104">
        <f t="shared" si="97"/>
        <v>1.0038810087771415</v>
      </c>
      <c r="H175" s="100">
        <f t="shared" si="91"/>
        <v>-3.0987976732664135E-3</v>
      </c>
      <c r="I175" s="160">
        <f t="shared" ref="I175:I187" si="106">$F$170+$H$170*(D175/360)</f>
        <v>1.4285714285714281E-3</v>
      </c>
      <c r="J175" s="160">
        <f t="shared" si="98"/>
        <v>-1.6702262446949853E-3</v>
      </c>
      <c r="K175" s="103">
        <f t="shared" si="92"/>
        <v>0.5</v>
      </c>
      <c r="L175" s="215">
        <f t="shared" si="93"/>
        <v>1.4999999999999999E-2</v>
      </c>
      <c r="M175" s="221">
        <f t="shared" si="94"/>
        <v>1.4999999999999999E-2</v>
      </c>
      <c r="N175" s="204">
        <f t="shared" si="99"/>
        <v>1.0020899637419005</v>
      </c>
      <c r="O175" s="222">
        <f t="shared" si="100"/>
        <v>1.5031349456128508E-2</v>
      </c>
      <c r="P175" s="223">
        <f t="shared" si="95"/>
        <v>0.95660888015002832</v>
      </c>
      <c r="Q175" s="224">
        <v>0.4</v>
      </c>
      <c r="R175" s="225">
        <f t="shared" si="101"/>
        <v>1.4349133202250425E-2</v>
      </c>
      <c r="S175" s="222">
        <f t="shared" si="102"/>
        <v>1.4379122370370829E-2</v>
      </c>
      <c r="T175" s="222">
        <f t="shared" si="103"/>
        <v>6.1316126060177115E-3</v>
      </c>
      <c r="U175" s="200">
        <f t="shared" si="104"/>
        <v>6.144427454043669E-3</v>
      </c>
    </row>
    <row r="176" spans="1:21">
      <c r="A176" s="142">
        <f t="shared" ref="A176:F176" si="107">A138</f>
        <v>15</v>
      </c>
      <c r="B176" s="178">
        <f t="shared" si="107"/>
        <v>44328</v>
      </c>
      <c r="C176" s="178">
        <f t="shared" si="107"/>
        <v>44512</v>
      </c>
      <c r="D176" s="142">
        <f t="shared" si="107"/>
        <v>630</v>
      </c>
      <c r="E176" s="142">
        <f t="shared" si="107"/>
        <v>180</v>
      </c>
      <c r="F176" s="103">
        <f t="shared" si="107"/>
        <v>1.75</v>
      </c>
      <c r="G176" s="104">
        <f t="shared" si="97"/>
        <v>1.0060362667521872</v>
      </c>
      <c r="H176" s="100">
        <f t="shared" si="91"/>
        <v>-3.4389265584204819E-3</v>
      </c>
      <c r="I176" s="160">
        <f t="shared" si="106"/>
        <v>1.1428571428571425E-3</v>
      </c>
      <c r="J176" s="160">
        <f t="shared" si="98"/>
        <v>-2.2960694155633394E-3</v>
      </c>
      <c r="K176" s="103">
        <f t="shared" si="92"/>
        <v>0.5</v>
      </c>
      <c r="L176" s="215">
        <f t="shared" si="93"/>
        <v>1.4999999999999999E-2</v>
      </c>
      <c r="M176" s="221">
        <f t="shared" si="94"/>
        <v>1.4999999999999999E-2</v>
      </c>
      <c r="N176" s="204">
        <f t="shared" si="99"/>
        <v>1.0040262049505051</v>
      </c>
      <c r="O176" s="222">
        <f t="shared" si="100"/>
        <v>1.5060393074257576E-2</v>
      </c>
      <c r="P176" s="223">
        <f t="shared" si="95"/>
        <v>0.94137689860233498</v>
      </c>
      <c r="Q176" s="224">
        <v>0.4</v>
      </c>
      <c r="R176" s="225">
        <f t="shared" si="101"/>
        <v>1.4120653479035024E-2</v>
      </c>
      <c r="S176" s="222">
        <f t="shared" si="102"/>
        <v>1.4177506123976681E-2</v>
      </c>
      <c r="T176" s="222">
        <f t="shared" si="103"/>
        <v>6.0927926190773368E-3</v>
      </c>
      <c r="U176" s="200">
        <f t="shared" si="104"/>
        <v>6.1173234508826672E-3</v>
      </c>
    </row>
    <row r="177" spans="1:21">
      <c r="A177" s="142">
        <f t="shared" ref="A177:F177" si="108">A139</f>
        <v>16</v>
      </c>
      <c r="B177" s="178">
        <f t="shared" si="108"/>
        <v>44512</v>
      </c>
      <c r="C177" s="178">
        <f t="shared" si="108"/>
        <v>44693</v>
      </c>
      <c r="D177" s="142">
        <f t="shared" si="108"/>
        <v>810</v>
      </c>
      <c r="E177" s="142">
        <f t="shared" si="108"/>
        <v>180</v>
      </c>
      <c r="F177" s="103">
        <f t="shared" si="108"/>
        <v>2.25</v>
      </c>
      <c r="G177" s="104">
        <f t="shared" si="97"/>
        <v>1.0080269597397804</v>
      </c>
      <c r="H177" s="100">
        <f t="shared" si="91"/>
        <v>-3.5532955844918748E-3</v>
      </c>
      <c r="I177" s="160">
        <f t="shared" si="106"/>
        <v>8.5714285714285667E-4</v>
      </c>
      <c r="J177" s="160">
        <f t="shared" si="98"/>
        <v>-2.6961527273490181E-3</v>
      </c>
      <c r="K177" s="103">
        <f t="shared" si="92"/>
        <v>0.5</v>
      </c>
      <c r="L177" s="215">
        <f t="shared" si="93"/>
        <v>1.4999999999999999E-2</v>
      </c>
      <c r="M177" s="221">
        <f t="shared" si="94"/>
        <v>1.4999999999999999E-2</v>
      </c>
      <c r="N177" s="204">
        <f t="shared" si="99"/>
        <v>1.0060847811630289</v>
      </c>
      <c r="O177" s="222">
        <f t="shared" si="100"/>
        <v>1.5091271717445433E-2</v>
      </c>
      <c r="P177" s="223">
        <f t="shared" si="95"/>
        <v>0.92661160406540621</v>
      </c>
      <c r="Q177" s="224">
        <v>0.4</v>
      </c>
      <c r="R177" s="225">
        <f t="shared" si="101"/>
        <v>1.3899174060981092E-2</v>
      </c>
      <c r="S177" s="222">
        <f t="shared" si="102"/>
        <v>1.398374749348901E-2</v>
      </c>
      <c r="T177" s="222">
        <f t="shared" si="103"/>
        <v>5.9061178147715061E-3</v>
      </c>
      <c r="U177" s="200">
        <f t="shared" si="104"/>
        <v>5.9420552491974568E-3</v>
      </c>
    </row>
    <row r="178" spans="1:21">
      <c r="A178" s="142">
        <f t="shared" ref="A178:F178" si="109">A140</f>
        <v>17</v>
      </c>
      <c r="B178" s="178">
        <f t="shared" si="109"/>
        <v>44693</v>
      </c>
      <c r="C178" s="178">
        <f t="shared" si="109"/>
        <v>44879</v>
      </c>
      <c r="D178" s="142">
        <f t="shared" si="109"/>
        <v>992</v>
      </c>
      <c r="E178" s="142">
        <f t="shared" si="109"/>
        <v>182</v>
      </c>
      <c r="F178" s="103">
        <f t="shared" si="109"/>
        <v>2.7555555555555555</v>
      </c>
      <c r="G178" s="104">
        <f t="shared" si="97"/>
        <v>1.0095064700241203</v>
      </c>
      <c r="H178" s="100">
        <f t="shared" si="91"/>
        <v>-3.4336335075722813E-3</v>
      </c>
      <c r="I178" s="160">
        <f t="shared" si="106"/>
        <v>5.6825396825396779E-4</v>
      </c>
      <c r="J178" s="160">
        <f t="shared" si="98"/>
        <v>-2.8653795393183135E-3</v>
      </c>
      <c r="K178" s="103">
        <f t="shared" si="92"/>
        <v>0.50555555555555554</v>
      </c>
      <c r="L178" s="215">
        <f t="shared" si="93"/>
        <v>1.5166666666666665E-2</v>
      </c>
      <c r="M178" s="221">
        <f t="shared" si="94"/>
        <v>1.5166666666666665E-2</v>
      </c>
      <c r="N178" s="204">
        <f t="shared" si="99"/>
        <v>1.0079269658479952</v>
      </c>
      <c r="O178" s="222">
        <f t="shared" si="100"/>
        <v>1.528689231536126E-2</v>
      </c>
      <c r="P178" s="223">
        <f t="shared" si="95"/>
        <v>0.91169640658338413</v>
      </c>
      <c r="Q178" s="224">
        <v>0.4</v>
      </c>
      <c r="R178" s="225">
        <f t="shared" si="101"/>
        <v>1.3827395499847992E-2</v>
      </c>
      <c r="S178" s="222">
        <f t="shared" si="102"/>
        <v>1.393700479174201E-2</v>
      </c>
      <c r="T178" s="222">
        <f t="shared" si="103"/>
        <v>5.9660789928088322E-3</v>
      </c>
      <c r="U178" s="200">
        <f t="shared" si="104"/>
        <v>6.0133718972312693E-3</v>
      </c>
    </row>
    <row r="179" spans="1:21">
      <c r="A179" s="142">
        <f t="shared" ref="A179:F179" si="110">A141</f>
        <v>18</v>
      </c>
      <c r="B179" s="178">
        <f t="shared" si="110"/>
        <v>44879</v>
      </c>
      <c r="C179" s="178">
        <f t="shared" si="110"/>
        <v>45058</v>
      </c>
      <c r="D179" s="142">
        <f t="shared" si="110"/>
        <v>1170</v>
      </c>
      <c r="E179" s="142">
        <f t="shared" si="110"/>
        <v>178</v>
      </c>
      <c r="F179" s="103">
        <f t="shared" si="110"/>
        <v>3.25</v>
      </c>
      <c r="G179" s="104">
        <f t="shared" si="97"/>
        <v>1.0107622080724596</v>
      </c>
      <c r="H179" s="100">
        <f t="shared" si="91"/>
        <v>-3.2937562145456236E-3</v>
      </c>
      <c r="I179" s="160">
        <f t="shared" si="106"/>
        <v>2.8571428571428519E-4</v>
      </c>
      <c r="J179" s="160">
        <f t="shared" si="98"/>
        <v>-3.0080419288313386E-3</v>
      </c>
      <c r="K179" s="103">
        <f t="shared" si="92"/>
        <v>0.49444444444444446</v>
      </c>
      <c r="L179" s="215">
        <f t="shared" si="93"/>
        <v>1.4833333333333334E-2</v>
      </c>
      <c r="M179" s="221">
        <f t="shared" si="94"/>
        <v>1.4833333333333334E-2</v>
      </c>
      <c r="N179" s="204">
        <f t="shared" si="99"/>
        <v>1.0098240787923949</v>
      </c>
      <c r="O179" s="222">
        <f t="shared" si="100"/>
        <v>1.4979057168753859E-2</v>
      </c>
      <c r="P179" s="223">
        <f t="shared" si="95"/>
        <v>0.89739224673918205</v>
      </c>
      <c r="Q179" s="224">
        <v>0.4</v>
      </c>
      <c r="R179" s="225">
        <f t="shared" si="101"/>
        <v>1.33113183266312E-2</v>
      </c>
      <c r="S179" s="222">
        <f t="shared" si="102"/>
        <v>1.3442089766702676E-2</v>
      </c>
      <c r="T179" s="222">
        <f t="shared" si="103"/>
        <v>5.7216639376808324E-3</v>
      </c>
      <c r="U179" s="200">
        <f t="shared" si="104"/>
        <v>5.7778740150282136E-3</v>
      </c>
    </row>
    <row r="180" spans="1:21">
      <c r="A180" s="142">
        <f t="shared" ref="A180:F180" si="111">A142</f>
        <v>19</v>
      </c>
      <c r="B180" s="178">
        <f t="shared" si="111"/>
        <v>45058</v>
      </c>
      <c r="C180" s="178">
        <f t="shared" si="111"/>
        <v>45243</v>
      </c>
      <c r="D180" s="142">
        <f t="shared" si="111"/>
        <v>1351</v>
      </c>
      <c r="E180" s="142">
        <f t="shared" si="111"/>
        <v>181</v>
      </c>
      <c r="F180" s="103">
        <f t="shared" si="111"/>
        <v>3.7527777777777778</v>
      </c>
      <c r="G180" s="104">
        <f t="shared" si="97"/>
        <v>1.0117941922867517</v>
      </c>
      <c r="H180" s="100">
        <f t="shared" si="91"/>
        <v>-3.1244010629110706E-3</v>
      </c>
      <c r="I180" s="160">
        <f t="shared" si="106"/>
        <v>-1.5873015873019494E-6</v>
      </c>
      <c r="J180" s="160">
        <f t="shared" si="98"/>
        <v>-3.1259883644983726E-3</v>
      </c>
      <c r="K180" s="103">
        <f t="shared" si="92"/>
        <v>0.50277777777777777</v>
      </c>
      <c r="L180" s="215">
        <f t="shared" si="93"/>
        <v>1.5083333333333332E-2</v>
      </c>
      <c r="M180" s="221">
        <f t="shared" si="94"/>
        <v>1.5083333333333332E-2</v>
      </c>
      <c r="N180" s="204">
        <f t="shared" si="99"/>
        <v>1.0118002193503544</v>
      </c>
      <c r="O180" s="222">
        <f t="shared" ref="O180:O187" si="112">M180*N180</f>
        <v>1.5261319975201177E-2</v>
      </c>
      <c r="P180" s="223">
        <f t="shared" si="95"/>
        <v>0.8830247231511964</v>
      </c>
      <c r="Q180" s="224">
        <v>0.4</v>
      </c>
      <c r="R180" s="225">
        <f t="shared" ref="R180:R187" si="113">M180*P180</f>
        <v>1.3318956240863877E-2</v>
      </c>
      <c r="S180" s="222">
        <f t="shared" ref="S180:S187" si="114">R180*N180</f>
        <v>1.3476122846023841E-2</v>
      </c>
      <c r="T180" s="222">
        <f t="shared" si="103"/>
        <v>5.7470094351942617E-3</v>
      </c>
      <c r="U180" s="200">
        <f t="shared" ref="U180:U187" si="115">N180*T180</f>
        <v>5.8148254071381097E-3</v>
      </c>
    </row>
    <row r="181" spans="1:21">
      <c r="A181" s="142">
        <f t="shared" ref="A181:F181" si="116">A143</f>
        <v>20</v>
      </c>
      <c r="B181" s="178">
        <f t="shared" si="116"/>
        <v>45243</v>
      </c>
      <c r="C181" s="178">
        <f t="shared" si="116"/>
        <v>45425</v>
      </c>
      <c r="D181" s="142">
        <f t="shared" si="116"/>
        <v>1531</v>
      </c>
      <c r="E181" s="142">
        <f t="shared" si="116"/>
        <v>180</v>
      </c>
      <c r="F181" s="103">
        <f t="shared" si="116"/>
        <v>4.2527777777777782</v>
      </c>
      <c r="G181" s="104">
        <f t="shared" si="97"/>
        <v>1.0126015780248474</v>
      </c>
      <c r="H181" s="100">
        <f t="shared" si="91"/>
        <v>-2.9446257472087473E-3</v>
      </c>
      <c r="I181" s="160">
        <f t="shared" si="106"/>
        <v>-2.8730158730158823E-4</v>
      </c>
      <c r="J181" s="160">
        <f t="shared" si="98"/>
        <v>-3.2319273345103356E-3</v>
      </c>
      <c r="K181" s="103">
        <f t="shared" si="92"/>
        <v>0.5</v>
      </c>
      <c r="L181" s="215">
        <f t="shared" si="93"/>
        <v>1.4999999999999999E-2</v>
      </c>
      <c r="M181" s="221">
        <f t="shared" si="94"/>
        <v>1.4999999999999999E-2</v>
      </c>
      <c r="N181" s="204">
        <f t="shared" si="99"/>
        <v>1.0138395609626916</v>
      </c>
      <c r="O181" s="222">
        <f t="shared" si="112"/>
        <v>1.5207593414440373E-2</v>
      </c>
      <c r="P181" s="223">
        <f t="shared" si="95"/>
        <v>0.86896820871222047</v>
      </c>
      <c r="Q181" s="224">
        <v>0.4</v>
      </c>
      <c r="R181" s="225">
        <f t="shared" si="113"/>
        <v>1.3034523130683307E-2</v>
      </c>
      <c r="S181" s="222">
        <f t="shared" si="114"/>
        <v>1.3214915208170011E-2</v>
      </c>
      <c r="T181" s="222">
        <f t="shared" si="103"/>
        <v>5.6226057755903724E-3</v>
      </c>
      <c r="U181" s="200">
        <f t="shared" si="115"/>
        <v>5.7004201709908373E-3</v>
      </c>
    </row>
    <row r="182" spans="1:21">
      <c r="A182" s="142">
        <f t="shared" ref="A182:F182" si="117">A144</f>
        <v>21</v>
      </c>
      <c r="B182" s="178">
        <f t="shared" si="117"/>
        <v>45425</v>
      </c>
      <c r="C182" s="178">
        <f t="shared" si="117"/>
        <v>45608</v>
      </c>
      <c r="D182" s="142">
        <f t="shared" si="117"/>
        <v>1710</v>
      </c>
      <c r="E182" s="142">
        <f t="shared" si="117"/>
        <v>179</v>
      </c>
      <c r="F182" s="103">
        <f t="shared" si="117"/>
        <v>4.75</v>
      </c>
      <c r="G182" s="104">
        <f t="shared" si="97"/>
        <v>1.0131542178265776</v>
      </c>
      <c r="H182" s="100">
        <f t="shared" si="91"/>
        <v>-2.7512531373861402E-3</v>
      </c>
      <c r="I182" s="160">
        <f t="shared" si="106"/>
        <v>-5.7142857142857212E-4</v>
      </c>
      <c r="J182" s="160">
        <f t="shared" si="98"/>
        <v>-3.3226817088147123E-3</v>
      </c>
      <c r="K182" s="103">
        <f t="shared" si="92"/>
        <v>0.49722222222222223</v>
      </c>
      <c r="L182" s="215">
        <f t="shared" si="93"/>
        <v>1.4916666666666667E-2</v>
      </c>
      <c r="M182" s="221">
        <f t="shared" si="94"/>
        <v>1.4916666666666667E-2</v>
      </c>
      <c r="N182" s="204">
        <f t="shared" si="99"/>
        <v>1.0159079433546863</v>
      </c>
      <c r="O182" s="222">
        <f t="shared" si="112"/>
        <v>1.5153960155040736E-2</v>
      </c>
      <c r="P182" s="223">
        <f t="shared" si="95"/>
        <v>0.85517053162619039</v>
      </c>
      <c r="Q182" s="224">
        <v>0.4</v>
      </c>
      <c r="R182" s="225">
        <f t="shared" si="113"/>
        <v>1.2756293763424006E-2</v>
      </c>
      <c r="S182" s="222">
        <f t="shared" si="114"/>
        <v>1.2959220162028294E-2</v>
      </c>
      <c r="T182" s="222">
        <f t="shared" si="103"/>
        <v>5.5190708344120326E-3</v>
      </c>
      <c r="U182" s="200">
        <f t="shared" si="115"/>
        <v>5.6068679006163599E-3</v>
      </c>
    </row>
    <row r="183" spans="1:21">
      <c r="A183" s="142">
        <f t="shared" ref="A183:F183" si="118">A145</f>
        <v>22</v>
      </c>
      <c r="B183" s="178">
        <f t="shared" si="118"/>
        <v>45608</v>
      </c>
      <c r="C183" s="178">
        <f t="shared" si="118"/>
        <v>45789</v>
      </c>
      <c r="D183" s="142">
        <f t="shared" si="118"/>
        <v>1890</v>
      </c>
      <c r="E183" s="142">
        <f t="shared" si="118"/>
        <v>180</v>
      </c>
      <c r="F183" s="103">
        <f t="shared" si="118"/>
        <v>5.25</v>
      </c>
      <c r="G183" s="104">
        <f t="shared" si="97"/>
        <v>1.0134595323072064</v>
      </c>
      <c r="H183" s="100">
        <f t="shared" si="91"/>
        <v>-2.5466204679636694E-3</v>
      </c>
      <c r="I183" s="160">
        <f t="shared" si="106"/>
        <v>-8.5714285714285753E-4</v>
      </c>
      <c r="J183" s="160">
        <f t="shared" si="98"/>
        <v>-3.403763325106527E-3</v>
      </c>
      <c r="K183" s="103">
        <f t="shared" si="92"/>
        <v>0.5</v>
      </c>
      <c r="L183" s="215">
        <f t="shared" si="93"/>
        <v>1.4999999999999999E-2</v>
      </c>
      <c r="M183" s="221">
        <f t="shared" si="94"/>
        <v>1.4999999999999999E-2</v>
      </c>
      <c r="N183" s="204">
        <f t="shared" si="99"/>
        <v>1.0180303768896015</v>
      </c>
      <c r="O183" s="222">
        <f t="shared" si="112"/>
        <v>1.5270455653344022E-2</v>
      </c>
      <c r="P183" s="223">
        <f t="shared" si="95"/>
        <v>0.84152115696817653</v>
      </c>
      <c r="Q183" s="224">
        <v>0.4</v>
      </c>
      <c r="R183" s="225">
        <f t="shared" si="113"/>
        <v>1.2622817354522647E-2</v>
      </c>
      <c r="S183" s="222">
        <f t="shared" si="114"/>
        <v>1.2850411508833294E-2</v>
      </c>
      <c r="T183" s="222">
        <f t="shared" si="103"/>
        <v>5.4597498632055434E-3</v>
      </c>
      <c r="U183" s="200">
        <f t="shared" si="115"/>
        <v>5.5581912109620895E-3</v>
      </c>
    </row>
    <row r="184" spans="1:21">
      <c r="A184" s="142">
        <f t="shared" ref="A184:F184" si="119">A146</f>
        <v>23</v>
      </c>
      <c r="B184" s="178">
        <f t="shared" si="119"/>
        <v>45789</v>
      </c>
      <c r="C184" s="178">
        <f t="shared" si="119"/>
        <v>45973</v>
      </c>
      <c r="D184" s="142">
        <f t="shared" si="119"/>
        <v>2070</v>
      </c>
      <c r="E184" s="142">
        <f t="shared" si="119"/>
        <v>180</v>
      </c>
      <c r="F184" s="103">
        <f t="shared" si="119"/>
        <v>5.75</v>
      </c>
      <c r="G184" s="104">
        <f t="shared" si="97"/>
        <v>1.0134671607308678</v>
      </c>
      <c r="H184" s="100">
        <f t="shared" si="91"/>
        <v>-2.3264842679533212E-3</v>
      </c>
      <c r="I184" s="160">
        <f t="shared" si="106"/>
        <v>-1.1428571428571434E-3</v>
      </c>
      <c r="J184" s="160">
        <f t="shared" si="98"/>
        <v>-3.4693414108104646E-3</v>
      </c>
      <c r="K184" s="103">
        <f t="shared" si="92"/>
        <v>0.5</v>
      </c>
      <c r="L184" s="215">
        <f t="shared" si="93"/>
        <v>1.4999999999999999E-2</v>
      </c>
      <c r="M184" s="221">
        <f t="shared" si="94"/>
        <v>1.4999999999999999E-2</v>
      </c>
      <c r="N184" s="204">
        <f t="shared" si="99"/>
        <v>1.0201490184167736</v>
      </c>
      <c r="O184" s="222">
        <f t="shared" si="112"/>
        <v>1.5302235276251604E-2</v>
      </c>
      <c r="P184" s="223">
        <f t="shared" si="95"/>
        <v>0.82807475696411736</v>
      </c>
      <c r="Q184" s="224">
        <v>0.4</v>
      </c>
      <c r="R184" s="225">
        <f t="shared" si="113"/>
        <v>1.2421121354461761E-2</v>
      </c>
      <c r="S184" s="222">
        <f t="shared" si="114"/>
        <v>1.2671394757389791E-2</v>
      </c>
      <c r="T184" s="222">
        <f t="shared" si="103"/>
        <v>5.3785600016236675E-3</v>
      </c>
      <c r="U184" s="200">
        <f t="shared" si="115"/>
        <v>5.4869327061521046E-3</v>
      </c>
    </row>
    <row r="185" spans="1:21">
      <c r="A185" s="142">
        <f t="shared" ref="A185:F185" si="120">A147</f>
        <v>24</v>
      </c>
      <c r="B185" s="178">
        <f t="shared" si="120"/>
        <v>45973</v>
      </c>
      <c r="C185" s="178">
        <f t="shared" si="120"/>
        <v>46154</v>
      </c>
      <c r="D185" s="142">
        <f t="shared" si="120"/>
        <v>2250</v>
      </c>
      <c r="E185" s="142">
        <f t="shared" si="120"/>
        <v>180</v>
      </c>
      <c r="F185" s="103">
        <f t="shared" si="120"/>
        <v>6.25</v>
      </c>
      <c r="G185" s="104">
        <f t="shared" si="97"/>
        <v>1.0131902727525781</v>
      </c>
      <c r="H185" s="100">
        <f t="shared" si="91"/>
        <v>-2.0966461725995512E-3</v>
      </c>
      <c r="I185" s="160">
        <f t="shared" si="106"/>
        <v>-1.4285714285714292E-3</v>
      </c>
      <c r="J185" s="160">
        <f t="shared" si="98"/>
        <v>-3.5252176011709804E-3</v>
      </c>
      <c r="K185" s="103">
        <f t="shared" si="92"/>
        <v>0.5</v>
      </c>
      <c r="L185" s="215">
        <f t="shared" si="93"/>
        <v>1.4999999999999999E-2</v>
      </c>
      <c r="M185" s="221">
        <f t="shared" si="94"/>
        <v>1.4999999999999999E-2</v>
      </c>
      <c r="N185" s="204">
        <f t="shared" si="99"/>
        <v>1.0222771203912706</v>
      </c>
      <c r="O185" s="222">
        <f t="shared" si="112"/>
        <v>1.5334156805869059E-2</v>
      </c>
      <c r="P185" s="223">
        <f t="shared" si="95"/>
        <v>0.81488927816370282</v>
      </c>
      <c r="Q185" s="224">
        <v>0.4</v>
      </c>
      <c r="R185" s="225">
        <f t="shared" si="113"/>
        <v>1.2223339172455543E-2</v>
      </c>
      <c r="S185" s="222">
        <f t="shared" si="114"/>
        <v>1.2495639970783668E-2</v>
      </c>
      <c r="T185" s="222">
        <f t="shared" si="103"/>
        <v>5.2741915201658168E-3</v>
      </c>
      <c r="U185" s="200">
        <f t="shared" si="115"/>
        <v>5.3916853196271696E-3</v>
      </c>
    </row>
    <row r="186" spans="1:21">
      <c r="A186" s="142">
        <f t="shared" ref="A186:F186" si="121">A148</f>
        <v>25</v>
      </c>
      <c r="B186" s="178">
        <f t="shared" si="121"/>
        <v>46154</v>
      </c>
      <c r="C186" s="178">
        <f t="shared" si="121"/>
        <v>46338</v>
      </c>
      <c r="D186" s="142">
        <f t="shared" si="121"/>
        <v>2430</v>
      </c>
      <c r="E186" s="142">
        <f t="shared" si="121"/>
        <v>180</v>
      </c>
      <c r="F186" s="103">
        <f t="shared" si="121"/>
        <v>6.75</v>
      </c>
      <c r="G186" s="104">
        <f t="shared" si="97"/>
        <v>1.0125724403998082</v>
      </c>
      <c r="H186" s="100">
        <f t="shared" si="91"/>
        <v>-1.8509723723175596E-3</v>
      </c>
      <c r="I186" s="160">
        <f t="shared" si="106"/>
        <v>-1.7142857142857151E-3</v>
      </c>
      <c r="J186" s="160">
        <f t="shared" si="98"/>
        <v>-3.5652580866032749E-3</v>
      </c>
      <c r="K186" s="103">
        <f t="shared" si="92"/>
        <v>0.5</v>
      </c>
      <c r="L186" s="215">
        <f t="shared" si="93"/>
        <v>1.4999999999999999E-2</v>
      </c>
      <c r="M186" s="221">
        <f t="shared" si="94"/>
        <v>1.4999999999999999E-2</v>
      </c>
      <c r="N186" s="204">
        <f t="shared" si="99"/>
        <v>1.0243574029954949</v>
      </c>
      <c r="O186" s="222">
        <f t="shared" si="112"/>
        <v>1.5365361044932423E-2</v>
      </c>
      <c r="P186" s="223">
        <f t="shared" si="95"/>
        <v>0.8019590869475538</v>
      </c>
      <c r="Q186" s="224">
        <v>0.4</v>
      </c>
      <c r="R186" s="225">
        <f t="shared" si="113"/>
        <v>1.2029386304213307E-2</v>
      </c>
      <c r="S186" s="222">
        <f t="shared" si="114"/>
        <v>1.2322390914213518E-2</v>
      </c>
      <c r="T186" s="222">
        <f t="shared" si="103"/>
        <v>5.1720764864596099E-3</v>
      </c>
      <c r="U186" s="200">
        <f t="shared" si="115"/>
        <v>5.2980548377638305E-3</v>
      </c>
    </row>
    <row r="187" spans="1:21">
      <c r="A187" s="142">
        <f t="shared" ref="A187:F187" si="122">A149</f>
        <v>26</v>
      </c>
      <c r="B187" s="178">
        <f t="shared" si="122"/>
        <v>46338</v>
      </c>
      <c r="C187" s="178">
        <f t="shared" si="122"/>
        <v>46519</v>
      </c>
      <c r="D187" s="142">
        <f t="shared" si="122"/>
        <v>2610</v>
      </c>
      <c r="E187" s="142">
        <f t="shared" si="122"/>
        <v>180</v>
      </c>
      <c r="F187" s="103">
        <f t="shared" si="122"/>
        <v>7.25</v>
      </c>
      <c r="G187" s="104">
        <f t="shared" si="97"/>
        <v>1.0116366382062674</v>
      </c>
      <c r="H187" s="100">
        <f t="shared" si="91"/>
        <v>-1.595786653019777E-3</v>
      </c>
      <c r="I187" s="160">
        <f t="shared" si="106"/>
        <v>-2.0000000000000009E-3</v>
      </c>
      <c r="J187" s="160">
        <f t="shared" si="98"/>
        <v>-3.5957866530197781E-3</v>
      </c>
      <c r="K187" s="103">
        <f t="shared" si="92"/>
        <v>0.5</v>
      </c>
      <c r="L187" s="215">
        <f t="shared" si="93"/>
        <v>1.4999999999999999E-2</v>
      </c>
      <c r="M187" s="221">
        <f t="shared" si="94"/>
        <v>1.4999999999999999E-2</v>
      </c>
      <c r="N187" s="204">
        <f t="shared" si="99"/>
        <v>1.0264122336473682</v>
      </c>
      <c r="O187" s="222">
        <f t="shared" si="112"/>
        <v>1.5396183504710522E-2</v>
      </c>
      <c r="P187" s="223">
        <f t="shared" si="95"/>
        <v>0.78919364869788378</v>
      </c>
      <c r="Q187" s="224">
        <v>0.4</v>
      </c>
      <c r="R187" s="225">
        <f t="shared" si="113"/>
        <v>1.1837904730468257E-2</v>
      </c>
      <c r="S187" s="222">
        <f t="shared" si="114"/>
        <v>1.215057023610467E-2</v>
      </c>
      <c r="T187" s="222">
        <f t="shared" si="103"/>
        <v>5.1061752998680099E-3</v>
      </c>
      <c r="U187" s="200">
        <f t="shared" si="115"/>
        <v>5.241040794932544E-3</v>
      </c>
    </row>
  </sheetData>
  <mergeCells count="28">
    <mergeCell ref="A26:L26"/>
    <mergeCell ref="N3:O3"/>
    <mergeCell ref="N13:O13"/>
    <mergeCell ref="P133:U133"/>
    <mergeCell ref="A1:C2"/>
    <mergeCell ref="E3:F3"/>
    <mergeCell ref="H3:I3"/>
    <mergeCell ref="E13:F13"/>
    <mergeCell ref="H13:I13"/>
    <mergeCell ref="E2:F2"/>
    <mergeCell ref="K3:L3"/>
    <mergeCell ref="K13:L13"/>
    <mergeCell ref="H2:I2"/>
    <mergeCell ref="K2:L2"/>
    <mergeCell ref="N2:O2"/>
    <mergeCell ref="P171:U171"/>
    <mergeCell ref="A113:B113"/>
    <mergeCell ref="N114:S114"/>
    <mergeCell ref="A114:I114"/>
    <mergeCell ref="A57:E57"/>
    <mergeCell ref="A171:K171"/>
    <mergeCell ref="A133:K133"/>
    <mergeCell ref="A151:B151"/>
    <mergeCell ref="A152:K152"/>
    <mergeCell ref="A74:E74"/>
    <mergeCell ref="A132:B132"/>
    <mergeCell ref="A170:B170"/>
    <mergeCell ref="P152:U152"/>
  </mergeCells>
  <pageMargins left="0.7" right="0.7" top="0.75" bottom="0.75" header="0.3" footer="0.3"/>
  <pageSetup scale="18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8BCCA-F109-44F4-970C-869DDB410245}">
  <sheetPr codeName="Sheet15"/>
  <dimension ref="A1:AX164"/>
  <sheetViews>
    <sheetView topLeftCell="B45" zoomScale="68" zoomScaleNormal="70" workbookViewId="0">
      <selection activeCell="E15" sqref="E15"/>
    </sheetView>
  </sheetViews>
  <sheetFormatPr defaultRowHeight="14.5"/>
  <cols>
    <col min="1" max="1" width="19.81640625" style="90" bestFit="1" customWidth="1"/>
    <col min="2" max="2" width="18.1796875" style="90" bestFit="1" customWidth="1"/>
    <col min="3" max="3" width="12.6328125" style="90" customWidth="1"/>
    <col min="4" max="4" width="15.90625" style="90" bestFit="1" customWidth="1"/>
    <col min="5" max="5" width="21.453125" style="90" bestFit="1" customWidth="1"/>
    <col min="6" max="6" width="12.54296875" style="90" bestFit="1" customWidth="1"/>
    <col min="7" max="7" width="20.1796875" style="90" bestFit="1" customWidth="1"/>
    <col min="8" max="8" width="17.81640625" style="90" bestFit="1" customWidth="1"/>
    <col min="9" max="9" width="11.1796875" style="90" bestFit="1" customWidth="1"/>
    <col min="10" max="10" width="10.453125" style="90" bestFit="1" customWidth="1"/>
    <col min="11" max="11" width="17.81640625" style="90" bestFit="1" customWidth="1"/>
    <col min="12" max="12" width="11.36328125" style="90" bestFit="1" customWidth="1"/>
    <col min="13" max="13" width="17.6328125" style="90" bestFit="1" customWidth="1"/>
    <col min="14" max="14" width="17.81640625" style="90" bestFit="1" customWidth="1"/>
    <col min="15" max="15" width="11.36328125" style="90" bestFit="1" customWidth="1"/>
    <col min="16" max="16" width="10.90625" style="90" customWidth="1"/>
    <col min="17" max="17" width="13.7265625" style="90" bestFit="1" customWidth="1"/>
    <col min="18" max="18" width="18.90625" style="90" bestFit="1" customWidth="1"/>
    <col min="19" max="19" width="18.26953125" style="90" bestFit="1" customWidth="1"/>
    <col min="20" max="20" width="12.26953125" style="90" bestFit="1" customWidth="1"/>
    <col min="21" max="21" width="12.26953125" style="90" customWidth="1"/>
    <col min="22" max="22" width="18.90625" style="90" bestFit="1" customWidth="1"/>
    <col min="23" max="23" width="18.26953125" style="90" bestFit="1" customWidth="1"/>
    <col min="24" max="27" width="12.26953125" style="90" customWidth="1"/>
    <col min="28" max="30" width="10.90625" style="90" customWidth="1"/>
    <col min="31" max="31" width="18.08984375" style="90" bestFit="1" customWidth="1"/>
    <col min="32" max="32" width="10.90625" style="90" customWidth="1"/>
    <col min="33" max="33" width="18.90625" style="90" bestFit="1" customWidth="1"/>
    <col min="34" max="34" width="17.6328125" style="90" bestFit="1" customWidth="1"/>
    <col min="35" max="35" width="13.7265625" style="90" bestFit="1" customWidth="1"/>
    <col min="36" max="36" width="17.6328125" style="90" bestFit="1" customWidth="1"/>
    <col min="37" max="37" width="13.54296875" style="90" bestFit="1" customWidth="1"/>
    <col min="38" max="38" width="17.08984375" style="90" bestFit="1" customWidth="1"/>
    <col min="39" max="50" width="8.7265625" style="90"/>
  </cols>
  <sheetData>
    <row r="1" spans="1:27" ht="14.5" customHeight="1">
      <c r="A1" s="304" t="s">
        <v>557</v>
      </c>
      <c r="B1" s="304"/>
      <c r="C1" s="304"/>
    </row>
    <row r="2" spans="1:27" ht="15" customHeight="1" thickBot="1">
      <c r="A2" s="305"/>
      <c r="B2" s="305"/>
      <c r="C2" s="305"/>
    </row>
    <row r="3" spans="1:27" ht="15" thickBot="1">
      <c r="A3" s="92" t="s">
        <v>498</v>
      </c>
      <c r="B3" s="92"/>
      <c r="C3" s="92"/>
      <c r="U3"/>
      <c r="V3"/>
      <c r="W3"/>
      <c r="X3"/>
      <c r="Y3"/>
      <c r="Z3"/>
      <c r="AA3"/>
    </row>
    <row r="4" spans="1:27" ht="15" thickBot="1">
      <c r="A4" s="168" t="s">
        <v>297</v>
      </c>
      <c r="B4" s="147">
        <v>43873</v>
      </c>
      <c r="F4" s="314" t="s">
        <v>486</v>
      </c>
      <c r="G4" s="314"/>
      <c r="H4" s="314"/>
      <c r="I4" s="314"/>
      <c r="U4"/>
      <c r="V4"/>
      <c r="W4"/>
      <c r="X4"/>
      <c r="Y4"/>
      <c r="Z4"/>
      <c r="AA4"/>
    </row>
    <row r="5" spans="1:27" ht="15" thickBot="1">
      <c r="A5" s="142" t="s">
        <v>4</v>
      </c>
      <c r="B5" s="147">
        <f>B4</f>
        <v>43873</v>
      </c>
      <c r="C5" s="142"/>
      <c r="F5" s="117"/>
      <c r="G5" s="244" t="s">
        <v>398</v>
      </c>
      <c r="H5" s="244" t="s">
        <v>487</v>
      </c>
      <c r="I5" s="244" t="s">
        <v>488</v>
      </c>
      <c r="J5" s="244" t="s">
        <v>471</v>
      </c>
      <c r="U5"/>
      <c r="V5"/>
      <c r="W5"/>
      <c r="X5"/>
      <c r="Y5"/>
      <c r="Z5"/>
      <c r="AA5"/>
    </row>
    <row r="6" spans="1:27">
      <c r="A6" s="142" t="s">
        <v>30</v>
      </c>
      <c r="B6" s="147">
        <v>44969</v>
      </c>
      <c r="C6" s="148" t="str">
        <f>VLOOKUP(WEEKDAY(B6),Auxiliar!$A$1:$B$7,2)</f>
        <v>Sunday</v>
      </c>
      <c r="F6" s="245" t="s">
        <v>468</v>
      </c>
      <c r="G6" s="100">
        <f>R24</f>
        <v>-1.2123472883344382E-2</v>
      </c>
      <c r="H6" s="100">
        <f>R34</f>
        <v>-1.1816980323826264E-2</v>
      </c>
      <c r="I6" s="100">
        <f>H6-G6</f>
        <v>3.0649255951811782E-4</v>
      </c>
      <c r="J6" s="160">
        <f>-I6</f>
        <v>-3.0649255951811782E-4</v>
      </c>
      <c r="U6"/>
      <c r="V6"/>
      <c r="W6"/>
      <c r="X6"/>
      <c r="Y6"/>
      <c r="Z6"/>
      <c r="AA6"/>
    </row>
    <row r="7" spans="1:27">
      <c r="A7" s="142" t="s">
        <v>473</v>
      </c>
      <c r="B7" s="147">
        <f>B6+1</f>
        <v>44970</v>
      </c>
      <c r="C7" s="148" t="str">
        <f>VLOOKUP(WEEKDAY(B7),Auxiliar!$A$1:$B$7,2)</f>
        <v>Monday</v>
      </c>
      <c r="F7" s="245" t="s">
        <v>467</v>
      </c>
      <c r="G7" s="100">
        <f>R44</f>
        <v>-1.2107677965389665E-2</v>
      </c>
      <c r="H7" s="100">
        <f>R54</f>
        <v>-1.0887544092891128E-2</v>
      </c>
      <c r="I7" s="100">
        <f>H7-G7</f>
        <v>1.2201338724985369E-3</v>
      </c>
      <c r="J7" s="160">
        <f>-I7</f>
        <v>-1.2201338724985369E-3</v>
      </c>
      <c r="U7"/>
      <c r="V7"/>
      <c r="W7"/>
      <c r="X7"/>
      <c r="Y7"/>
      <c r="Z7"/>
      <c r="AA7"/>
    </row>
    <row r="8" spans="1:27">
      <c r="A8" s="142" t="s">
        <v>26</v>
      </c>
      <c r="B8" s="90" t="s">
        <v>479</v>
      </c>
      <c r="C8" s="148"/>
      <c r="U8"/>
      <c r="V8"/>
      <c r="W8"/>
      <c r="X8"/>
      <c r="Y8"/>
      <c r="Z8"/>
      <c r="AA8"/>
    </row>
    <row r="9" spans="1:27">
      <c r="A9" s="142" t="s">
        <v>21</v>
      </c>
      <c r="B9" s="142" t="s">
        <v>20</v>
      </c>
      <c r="C9" s="142"/>
      <c r="U9"/>
      <c r="V9"/>
      <c r="W9"/>
      <c r="X9"/>
      <c r="Y9"/>
      <c r="Z9"/>
      <c r="AA9"/>
    </row>
    <row r="10" spans="1:27">
      <c r="A10" s="142" t="s">
        <v>23</v>
      </c>
      <c r="B10" s="142" t="s">
        <v>22</v>
      </c>
      <c r="C10" s="142"/>
      <c r="V10" s="160"/>
    </row>
    <row r="11" spans="1:27">
      <c r="A11" s="142" t="s">
        <v>474</v>
      </c>
      <c r="B11" s="90" t="s">
        <v>475</v>
      </c>
      <c r="C11" s="142"/>
      <c r="V11" s="160"/>
    </row>
    <row r="12" spans="1:27" ht="15" thickBot="1">
      <c r="A12" s="142" t="s">
        <v>476</v>
      </c>
      <c r="B12" s="90" t="s">
        <v>24</v>
      </c>
      <c r="C12" s="142"/>
      <c r="V12" s="160"/>
    </row>
    <row r="13" spans="1:27" ht="15" thickBot="1">
      <c r="A13" s="118"/>
      <c r="B13" s="241" t="s">
        <v>468</v>
      </c>
      <c r="C13" s="246" t="s">
        <v>490</v>
      </c>
      <c r="V13" s="160"/>
    </row>
    <row r="14" spans="1:27">
      <c r="A14" s="247" t="s">
        <v>477</v>
      </c>
      <c r="B14" s="222">
        <v>-1.971939502230435E-3</v>
      </c>
      <c r="C14" s="200">
        <f>B14</f>
        <v>-1.971939502230435E-3</v>
      </c>
    </row>
    <row r="15" spans="1:27" ht="15" thickBot="1">
      <c r="A15" s="248" t="s">
        <v>478</v>
      </c>
      <c r="B15" s="234">
        <f>1-O33</f>
        <v>-1.1816980323826387E-2</v>
      </c>
      <c r="C15" s="249">
        <f>1-O53</f>
        <v>-1.0887544092891055E-2</v>
      </c>
    </row>
    <row r="16" spans="1:27">
      <c r="E16" s="175"/>
      <c r="F16" s="176"/>
    </row>
    <row r="17" spans="1:18">
      <c r="A17" s="250" t="s">
        <v>491</v>
      </c>
      <c r="E17" s="175"/>
      <c r="F17" s="176"/>
    </row>
    <row r="18" spans="1:18" ht="15" thickBot="1">
      <c r="A18" s="177" t="s">
        <v>477</v>
      </c>
      <c r="B18" s="251" t="s">
        <v>457</v>
      </c>
    </row>
    <row r="19" spans="1:18" ht="15" thickBot="1">
      <c r="A19" s="323" t="s">
        <v>493</v>
      </c>
      <c r="B19" s="323"/>
      <c r="C19" s="323"/>
      <c r="D19" s="323"/>
      <c r="E19" s="323"/>
      <c r="F19" s="323"/>
      <c r="G19" s="323"/>
      <c r="H19" s="323"/>
      <c r="I19" s="323"/>
      <c r="J19" s="323"/>
      <c r="K19" s="323"/>
      <c r="L19" s="323"/>
      <c r="M19" s="323"/>
      <c r="N19" s="323"/>
    </row>
    <row r="20" spans="1:18" ht="15" thickBot="1">
      <c r="A20" s="99" t="s">
        <v>323</v>
      </c>
      <c r="B20" s="99" t="s">
        <v>298</v>
      </c>
      <c r="C20" s="99" t="s">
        <v>32</v>
      </c>
      <c r="D20" s="99" t="s">
        <v>300</v>
      </c>
      <c r="E20" s="99" t="s">
        <v>32</v>
      </c>
      <c r="F20" s="99" t="s">
        <v>299</v>
      </c>
      <c r="G20" s="99" t="s">
        <v>301</v>
      </c>
      <c r="H20" s="99" t="s">
        <v>33</v>
      </c>
      <c r="I20" s="99" t="s">
        <v>395</v>
      </c>
      <c r="J20" s="99" t="s">
        <v>303</v>
      </c>
      <c r="K20" s="99" t="s">
        <v>319</v>
      </c>
      <c r="L20" s="99" t="s">
        <v>337</v>
      </c>
      <c r="M20" s="99" t="s">
        <v>457</v>
      </c>
      <c r="N20" s="99" t="s">
        <v>469</v>
      </c>
      <c r="O20" s="99" t="s">
        <v>481</v>
      </c>
      <c r="P20" s="99" t="s">
        <v>302</v>
      </c>
      <c r="Q20" s="99" t="s">
        <v>489</v>
      </c>
      <c r="R20" s="99" t="s">
        <v>482</v>
      </c>
    </row>
    <row r="21" spans="1:18">
      <c r="A21" s="142">
        <v>1</v>
      </c>
      <c r="B21" s="178">
        <f>B4</f>
        <v>43873</v>
      </c>
      <c r="C21" s="142" t="str">
        <f>VLOOKUP(WEEKDAY(B21),Auxiliar!$A$1:$B$7,2)</f>
        <v>Wednesday</v>
      </c>
      <c r="D21" s="252">
        <f>DATE(YEAR(B21)+1,MONTH(B21),DAY(B21))</f>
        <v>44239</v>
      </c>
      <c r="E21" s="142" t="str">
        <f>VLOOKUP(WEEKDAY(D21),Auxiliar!$A$1:$B$7,2)</f>
        <v>Friday</v>
      </c>
      <c r="F21" s="147">
        <f>IF(C21="Saturday",B21+2,IF(C21="Sunday",B21+1,B21))</f>
        <v>43873</v>
      </c>
      <c r="G21" s="147">
        <f>IF(E21="Saturday",D21+2,IF(E21="Sunday",D21+1,D21))</f>
        <v>44239</v>
      </c>
      <c r="H21" s="142">
        <f>G21-F21</f>
        <v>366</v>
      </c>
      <c r="I21" s="142">
        <f>G21-F21</f>
        <v>366</v>
      </c>
      <c r="J21" s="179">
        <f>H21/360</f>
        <v>1.0166666666666666</v>
      </c>
      <c r="K21" s="255">
        <f>VLOOKUP(H21,'Bootstraping-Linear_Interpol'!$N$7:$U$40,5)</f>
        <v>1.0029493816043955</v>
      </c>
      <c r="L21" s="254">
        <f>-LN(K21)/J21</f>
        <v>-2.8967613557471096E-3</v>
      </c>
      <c r="M21" s="181">
        <f>IF($B$18="Shift",'NOTE 2 (Q1, Q3 to Q5)'!$D$132,0)</f>
        <v>1E-4</v>
      </c>
      <c r="N21" s="255">
        <f>L21+M21</f>
        <v>-2.7967613557471098E-3</v>
      </c>
      <c r="O21" s="100">
        <f>EXP(-N21*J21)</f>
        <v>1.0028474202670548</v>
      </c>
      <c r="P21" s="103">
        <f>H21/360</f>
        <v>1.0166666666666666</v>
      </c>
      <c r="Q21" s="100">
        <f>$B$14</f>
        <v>-1.971939502230435E-3</v>
      </c>
      <c r="R21" s="100">
        <f>O21*P21*Q21</f>
        <v>-2.010513683446733E-3</v>
      </c>
    </row>
    <row r="22" spans="1:18">
      <c r="A22" s="142">
        <v>2</v>
      </c>
      <c r="B22" s="183">
        <f>D21</f>
        <v>44239</v>
      </c>
      <c r="C22" s="142" t="str">
        <f>VLOOKUP(WEEKDAY(B22),Auxiliar!$A$1:$B$7,2)</f>
        <v>Friday</v>
      </c>
      <c r="D22" s="252">
        <f>DATE(YEAR(B22)+1,MONTH(B22),DAY(B22))</f>
        <v>44604</v>
      </c>
      <c r="E22" s="142" t="str">
        <f>VLOOKUP(WEEKDAY(D22),Auxiliar!$A$1:$B$7,2)</f>
        <v>Saturday</v>
      </c>
      <c r="F22" s="147">
        <f>IF(C22="Saturday",B22+2,IF(C22="Sunday",B22+1,B22))</f>
        <v>44239</v>
      </c>
      <c r="G22" s="147">
        <f>IF(E22="Saturday",D22+2,IF(E22="Sunday",D22+1,D22))</f>
        <v>44606</v>
      </c>
      <c r="H22" s="142">
        <f>H21+(G22-F22)</f>
        <v>733</v>
      </c>
      <c r="I22" s="142">
        <f>G22-F22</f>
        <v>367</v>
      </c>
      <c r="J22" s="179">
        <f>H22/360</f>
        <v>2.036111111111111</v>
      </c>
      <c r="K22" s="255">
        <f>VLOOKUP(H22,'Bootstraping-Linear_Interpol'!$N$7:$U$40,5)</f>
        <v>1.0073760986995521</v>
      </c>
      <c r="L22" s="254">
        <f>-LN(K22)/J22</f>
        <v>-3.609345422164898E-3</v>
      </c>
      <c r="M22" s="181">
        <f>IF($B$18="Shift",'NOTE 2 (Q1, Q3 to Q5)'!$D$132,0)</f>
        <v>1E-4</v>
      </c>
      <c r="N22" s="255">
        <f>L22+M22</f>
        <v>-3.5093454221648982E-3</v>
      </c>
      <c r="O22" s="100">
        <f>EXP(-N22*J22)</f>
        <v>1.0071710066130115</v>
      </c>
      <c r="P22" s="103">
        <f>H22/360</f>
        <v>2.036111111111111</v>
      </c>
      <c r="Q22" s="100">
        <f>$B$14</f>
        <v>-1.971939502230435E-3</v>
      </c>
      <c r="R22" s="100">
        <f>O22*P22*Q22</f>
        <v>-4.0438801530348258E-3</v>
      </c>
    </row>
    <row r="23" spans="1:18">
      <c r="A23" s="142">
        <v>3</v>
      </c>
      <c r="B23" s="183">
        <f>D22</f>
        <v>44604</v>
      </c>
      <c r="C23" s="142" t="str">
        <f>VLOOKUP(WEEKDAY(B23),Auxiliar!$A$1:$B$7,2)</f>
        <v>Saturday</v>
      </c>
      <c r="D23" s="252">
        <f>DATE(YEAR(B23)+1,MONTH(B23),DAY(B23))</f>
        <v>44969</v>
      </c>
      <c r="E23" s="142" t="str">
        <f>VLOOKUP(WEEKDAY(D23),Auxiliar!$A$1:$B$7,2)</f>
        <v>Sunday</v>
      </c>
      <c r="F23" s="147">
        <f>IF(C23="Saturday",B23+2,IF(C23="Sunday",B23+1,B23))</f>
        <v>44606</v>
      </c>
      <c r="G23" s="147">
        <f>IF(E23="Saturday",D23+2,IF(E23="Sunday",D23+1,D23))</f>
        <v>44970</v>
      </c>
      <c r="H23" s="142">
        <f>H22+(G23-F23)</f>
        <v>1097</v>
      </c>
      <c r="I23" s="142">
        <f>G23-F23</f>
        <v>364</v>
      </c>
      <c r="J23" s="179">
        <f>H23/360</f>
        <v>3.0472222222222221</v>
      </c>
      <c r="K23" s="255">
        <f>VLOOKUP(H23,'Bootstraping-Linear_Interpol'!$N$7:$U$40,5)</f>
        <v>1.0103164388058028</v>
      </c>
      <c r="L23" s="254">
        <f>-LN(K23)/J23</f>
        <v>-3.3681782236432648E-3</v>
      </c>
      <c r="M23" s="181">
        <f>IF($B$18="Shift",'NOTE 2 (Q1, Q3 to Q5)'!$D$132,0)</f>
        <v>1E-4</v>
      </c>
      <c r="N23" s="255">
        <f>L23+M23</f>
        <v>-3.268178223643265E-3</v>
      </c>
      <c r="O23" s="100">
        <f>EXP(-N23*J23)</f>
        <v>1.0100086198374443</v>
      </c>
      <c r="P23" s="103">
        <f>H23/360</f>
        <v>3.0472222222222221</v>
      </c>
      <c r="Q23" s="100">
        <f>$B$14</f>
        <v>-1.971939502230435E-3</v>
      </c>
      <c r="R23" s="100">
        <f>O23*P23*Q23</f>
        <v>-6.0690790468628224E-3</v>
      </c>
    </row>
    <row r="24" spans="1:18">
      <c r="A24" s="142"/>
      <c r="B24" s="183"/>
      <c r="C24" s="142"/>
      <c r="D24" s="183"/>
      <c r="E24" s="142"/>
      <c r="F24" s="147"/>
      <c r="G24" s="147"/>
      <c r="H24" s="142"/>
      <c r="I24" s="142"/>
      <c r="J24" s="179"/>
      <c r="L24" s="180"/>
      <c r="M24" s="181"/>
      <c r="N24" s="182"/>
      <c r="R24" s="256">
        <f>SUM(R21:R23)</f>
        <v>-1.2123472883344382E-2</v>
      </c>
    </row>
    <row r="25" spans="1:18" ht="15" thickBot="1">
      <c r="A25" s="177" t="s">
        <v>476</v>
      </c>
      <c r="R25" s="100"/>
    </row>
    <row r="26" spans="1:18" ht="15" thickBot="1">
      <c r="A26" s="323" t="s">
        <v>494</v>
      </c>
      <c r="B26" s="323"/>
      <c r="C26" s="323"/>
      <c r="D26" s="323"/>
      <c r="E26" s="323"/>
      <c r="F26" s="323"/>
      <c r="G26" s="323"/>
      <c r="H26" s="323"/>
      <c r="I26" s="323"/>
      <c r="J26" s="323"/>
      <c r="K26" s="323"/>
      <c r="L26" s="323"/>
      <c r="M26" s="323"/>
      <c r="N26" s="323"/>
    </row>
    <row r="27" spans="1:18" ht="15" thickBot="1">
      <c r="A27" s="99" t="s">
        <v>323</v>
      </c>
      <c r="B27" s="99" t="s">
        <v>298</v>
      </c>
      <c r="C27" s="99" t="s">
        <v>32</v>
      </c>
      <c r="D27" s="99" t="s">
        <v>300</v>
      </c>
      <c r="E27" s="99" t="s">
        <v>32</v>
      </c>
      <c r="F27" s="99" t="s">
        <v>299</v>
      </c>
      <c r="G27" s="99" t="s">
        <v>301</v>
      </c>
      <c r="H27" s="99" t="s">
        <v>33</v>
      </c>
      <c r="I27" s="99" t="s">
        <v>395</v>
      </c>
      <c r="J27" s="99" t="s">
        <v>303</v>
      </c>
      <c r="K27" s="99" t="s">
        <v>319</v>
      </c>
      <c r="L27" s="99" t="s">
        <v>337</v>
      </c>
      <c r="M27" s="99" t="s">
        <v>457</v>
      </c>
      <c r="N27" s="99" t="s">
        <v>469</v>
      </c>
      <c r="O27" s="257" t="s">
        <v>481</v>
      </c>
      <c r="P27" s="257" t="s">
        <v>302</v>
      </c>
      <c r="Q27" s="257" t="s">
        <v>396</v>
      </c>
      <c r="R27" s="257" t="s">
        <v>482</v>
      </c>
    </row>
    <row r="28" spans="1:18">
      <c r="A28" s="142">
        <v>1</v>
      </c>
      <c r="B28" s="178">
        <f>B21</f>
        <v>43873</v>
      </c>
      <c r="C28" s="142" t="str">
        <f>VLOOKUP(WEEKDAY(B28),Auxiliar!$A$1:$B$7,2)</f>
        <v>Wednesday</v>
      </c>
      <c r="D28" s="252">
        <f t="shared" ref="D28:D33" si="0">EDATE(B28,6)</f>
        <v>44055</v>
      </c>
      <c r="E28" s="142" t="str">
        <f>VLOOKUP(WEEKDAY(D28),Auxiliar!$A$1:$B$7,2)</f>
        <v>Wednesday</v>
      </c>
      <c r="F28" s="147">
        <f t="shared" ref="F28:F33" si="1">IF(C28="Saturday",B28+2,IF(C28="Sunday",B28+1,B28))</f>
        <v>43873</v>
      </c>
      <c r="G28" s="147">
        <f t="shared" ref="G28:G33" si="2">IF(E28="Saturday",D28+2,IF(E28="Sunday",D28+1,D28))</f>
        <v>44055</v>
      </c>
      <c r="H28" s="142">
        <f>G28-F28</f>
        <v>182</v>
      </c>
      <c r="I28" s="142">
        <f t="shared" ref="I28:I33" si="3">G28-F28</f>
        <v>182</v>
      </c>
      <c r="J28" s="179">
        <f t="shared" ref="J28:J33" si="4">H28/360</f>
        <v>0.50555555555555554</v>
      </c>
      <c r="K28" s="255">
        <f>E138</f>
        <v>1.0026256537815617</v>
      </c>
      <c r="L28" s="254">
        <f t="shared" ref="L28:L33" si="5">-LN(K28)/J28</f>
        <v>-5.1867944992428066E-3</v>
      </c>
      <c r="M28" s="181">
        <f>IF($B$18="Shift",'NOTE 2 (Q1, Q3 to Q5)'!$D$132,0)</f>
        <v>1E-4</v>
      </c>
      <c r="N28" s="255">
        <f t="shared" ref="N28:N33" si="6">L28+M28</f>
        <v>-5.0867944992428063E-3</v>
      </c>
      <c r="O28" s="100">
        <f t="shared" ref="O28:O33" si="7">EXP(-N28*J28)</f>
        <v>1.0025749667658863</v>
      </c>
      <c r="P28" s="259">
        <f t="shared" ref="P28:P33" si="8">I28/360</f>
        <v>0.50555555555555554</v>
      </c>
      <c r="Q28" s="100">
        <f>(1/O28-1)/P28</f>
        <v>-5.0802593565939481E-3</v>
      </c>
      <c r="R28" s="100">
        <f t="shared" ref="R28:R33" si="9">O28*P28*Q28</f>
        <v>-2.5749667658862929E-3</v>
      </c>
    </row>
    <row r="29" spans="1:18">
      <c r="A29" s="142">
        <v>2</v>
      </c>
      <c r="B29" s="183">
        <f>D28</f>
        <v>44055</v>
      </c>
      <c r="C29" s="142" t="str">
        <f>VLOOKUP(WEEKDAY(B29),Auxiliar!$A$1:$B$7,2)</f>
        <v>Wednesday</v>
      </c>
      <c r="D29" s="183">
        <f t="shared" si="0"/>
        <v>44239</v>
      </c>
      <c r="E29" s="142" t="str">
        <f>VLOOKUP(WEEKDAY(D29),Auxiliar!$A$1:$B$7,2)</f>
        <v>Friday</v>
      </c>
      <c r="F29" s="147">
        <f t="shared" si="1"/>
        <v>44055</v>
      </c>
      <c r="G29" s="147">
        <f t="shared" si="2"/>
        <v>44239</v>
      </c>
      <c r="H29" s="142">
        <f>H28+(G29-F29)</f>
        <v>366</v>
      </c>
      <c r="I29" s="142">
        <f t="shared" si="3"/>
        <v>184</v>
      </c>
      <c r="J29" s="179">
        <f t="shared" si="4"/>
        <v>1.0166666666666666</v>
      </c>
      <c r="K29" s="255">
        <f>E140</f>
        <v>1.0029493816044028</v>
      </c>
      <c r="L29" s="254">
        <f t="shared" si="5"/>
        <v>-2.8967613557542957E-3</v>
      </c>
      <c r="M29" s="181">
        <f>IF($B$18="Shift",'NOTE 2 (Q1, Q3 to Q5)'!$D$132,0)</f>
        <v>1E-4</v>
      </c>
      <c r="N29" s="255">
        <f t="shared" si="6"/>
        <v>-2.7967613557542959E-3</v>
      </c>
      <c r="O29" s="100">
        <f t="shared" si="7"/>
        <v>1.0028474202670621</v>
      </c>
      <c r="P29" s="259">
        <f t="shared" si="8"/>
        <v>0.51111111111111107</v>
      </c>
      <c r="Q29" s="100">
        <f>(O28/O29-1)/P29</f>
        <v>-5.3154765837719038E-4</v>
      </c>
      <c r="R29" s="100">
        <f t="shared" si="9"/>
        <v>-2.7245350117575441E-4</v>
      </c>
    </row>
    <row r="30" spans="1:18">
      <c r="A30" s="142">
        <v>3</v>
      </c>
      <c r="B30" s="183">
        <f>D29</f>
        <v>44239</v>
      </c>
      <c r="C30" s="142" t="str">
        <f>VLOOKUP(WEEKDAY(B30),Auxiliar!$A$1:$B$7,2)</f>
        <v>Friday</v>
      </c>
      <c r="D30" s="183">
        <f t="shared" si="0"/>
        <v>44420</v>
      </c>
      <c r="E30" s="142" t="str">
        <f>VLOOKUP(WEEKDAY(D30),Auxiliar!$A$1:$B$7,2)</f>
        <v>Thursday</v>
      </c>
      <c r="F30" s="147">
        <f t="shared" si="1"/>
        <v>44239</v>
      </c>
      <c r="G30" s="147">
        <f t="shared" si="2"/>
        <v>44420</v>
      </c>
      <c r="H30" s="142">
        <f>H29+(G30-F30)</f>
        <v>547</v>
      </c>
      <c r="I30" s="142">
        <f t="shared" si="3"/>
        <v>181</v>
      </c>
      <c r="J30" s="179">
        <f t="shared" si="4"/>
        <v>1.5194444444444444</v>
      </c>
      <c r="K30" s="255">
        <f>E142</f>
        <v>1.0049578930285976</v>
      </c>
      <c r="L30" s="254">
        <f t="shared" si="5"/>
        <v>-3.2549022555021954E-3</v>
      </c>
      <c r="M30" s="181">
        <f>IF($B$18="Shift",'NOTE 2 (Q1, Q3 to Q5)'!$D$132,0)</f>
        <v>1E-4</v>
      </c>
      <c r="N30" s="255">
        <f t="shared" si="6"/>
        <v>-3.1549022555021956E-3</v>
      </c>
      <c r="O30" s="100">
        <f t="shared" si="7"/>
        <v>1.0048052068600526</v>
      </c>
      <c r="P30" s="259">
        <f t="shared" si="8"/>
        <v>0.50277777777777777</v>
      </c>
      <c r="Q30" s="100">
        <f>(O29/O30-1)/P30</f>
        <v>-3.8753184780179278E-3</v>
      </c>
      <c r="R30" s="100">
        <f t="shared" si="9"/>
        <v>-1.9577865929904536E-3</v>
      </c>
    </row>
    <row r="31" spans="1:18">
      <c r="A31" s="142">
        <v>4</v>
      </c>
      <c r="B31" s="183">
        <f>D30</f>
        <v>44420</v>
      </c>
      <c r="C31" s="142" t="str">
        <f>VLOOKUP(WEEKDAY(B31),Auxiliar!$A$1:$B$7,2)</f>
        <v>Thursday</v>
      </c>
      <c r="D31" s="183">
        <f t="shared" si="0"/>
        <v>44604</v>
      </c>
      <c r="E31" s="142" t="str">
        <f>VLOOKUP(WEEKDAY(D31),Auxiliar!$A$1:$B$7,2)</f>
        <v>Saturday</v>
      </c>
      <c r="F31" s="147">
        <f t="shared" si="1"/>
        <v>44420</v>
      </c>
      <c r="G31" s="147">
        <f t="shared" si="2"/>
        <v>44606</v>
      </c>
      <c r="H31" s="142">
        <f>H30+(G31-F31)</f>
        <v>733</v>
      </c>
      <c r="I31" s="142">
        <f t="shared" si="3"/>
        <v>186</v>
      </c>
      <c r="J31" s="179">
        <f t="shared" si="4"/>
        <v>2.036111111111111</v>
      </c>
      <c r="K31" s="255">
        <f>E144</f>
        <v>1.0073760986995253</v>
      </c>
      <c r="L31" s="254">
        <f t="shared" si="5"/>
        <v>-3.6093454221517991E-3</v>
      </c>
      <c r="M31" s="181">
        <f>IF($B$18="Shift",'NOTE 2 (Q1, Q3 to Q5)'!$D$132,0)</f>
        <v>1E-4</v>
      </c>
      <c r="N31" s="255">
        <f t="shared" si="6"/>
        <v>-3.5093454221517993E-3</v>
      </c>
      <c r="O31" s="100">
        <f t="shared" si="7"/>
        <v>1.0071710066129846</v>
      </c>
      <c r="P31" s="259">
        <f t="shared" si="8"/>
        <v>0.51666666666666672</v>
      </c>
      <c r="Q31" s="100">
        <f>(O30/O31-1)/P31</f>
        <v>-4.5463652484775945E-3</v>
      </c>
      <c r="R31" s="100">
        <f t="shared" si="9"/>
        <v>-2.36579975293206E-3</v>
      </c>
    </row>
    <row r="32" spans="1:18">
      <c r="A32" s="142">
        <v>5</v>
      </c>
      <c r="B32" s="183">
        <f>D31</f>
        <v>44604</v>
      </c>
      <c r="C32" s="142" t="str">
        <f>VLOOKUP(WEEKDAY(B32),Auxiliar!$A$1:$B$7,2)</f>
        <v>Saturday</v>
      </c>
      <c r="D32" s="183">
        <f t="shared" si="0"/>
        <v>44785</v>
      </c>
      <c r="E32" s="142" t="str">
        <f>VLOOKUP(WEEKDAY(D32),Auxiliar!$A$1:$B$7,2)</f>
        <v>Friday</v>
      </c>
      <c r="F32" s="147">
        <f t="shared" si="1"/>
        <v>44606</v>
      </c>
      <c r="G32" s="147">
        <f t="shared" si="2"/>
        <v>44785</v>
      </c>
      <c r="H32" s="142">
        <f>H31+(G32-F32)</f>
        <v>912</v>
      </c>
      <c r="I32" s="142">
        <f t="shared" si="3"/>
        <v>179</v>
      </c>
      <c r="J32" s="179">
        <f t="shared" si="4"/>
        <v>2.5333333333333332</v>
      </c>
      <c r="K32" s="255">
        <f>E146</f>
        <v>1.00970879096994</v>
      </c>
      <c r="L32" s="254">
        <f t="shared" si="5"/>
        <v>-3.8139329632754957E-3</v>
      </c>
      <c r="M32" s="181">
        <f>IF($B$18="Shift",'NOTE 2 (Q1, Q3 to Q5)'!$D$132,0)</f>
        <v>1E-4</v>
      </c>
      <c r="N32" s="255">
        <f t="shared" si="6"/>
        <v>-3.7139329632754959E-3</v>
      </c>
      <c r="O32" s="100">
        <f t="shared" si="7"/>
        <v>1.0094530304739251</v>
      </c>
      <c r="P32" s="259">
        <f t="shared" si="8"/>
        <v>0.49722222222222223</v>
      </c>
      <c r="Q32" s="100">
        <f>(O31/O32-1)/P32</f>
        <v>-4.5465663647894271E-3</v>
      </c>
      <c r="R32" s="100">
        <f t="shared" si="9"/>
        <v>-2.2820238609404537E-3</v>
      </c>
    </row>
    <row r="33" spans="1:20">
      <c r="A33" s="142">
        <v>6</v>
      </c>
      <c r="B33" s="183">
        <f>D32</f>
        <v>44785</v>
      </c>
      <c r="C33" s="142" t="str">
        <f>VLOOKUP(WEEKDAY(B33),Auxiliar!$A$1:$B$7,2)</f>
        <v>Friday</v>
      </c>
      <c r="D33" s="183">
        <f t="shared" si="0"/>
        <v>44969</v>
      </c>
      <c r="E33" s="142" t="str">
        <f>VLOOKUP(WEEKDAY(D33),Auxiliar!$A$1:$B$7,2)</f>
        <v>Sunday</v>
      </c>
      <c r="F33" s="147">
        <f t="shared" si="1"/>
        <v>44785</v>
      </c>
      <c r="G33" s="147">
        <f t="shared" si="2"/>
        <v>44970</v>
      </c>
      <c r="H33" s="142">
        <f>H32+(G33-F33)</f>
        <v>1097</v>
      </c>
      <c r="I33" s="142">
        <f t="shared" si="3"/>
        <v>185</v>
      </c>
      <c r="J33" s="179">
        <f t="shared" si="4"/>
        <v>3.0472222222222221</v>
      </c>
      <c r="K33" s="255">
        <f>E148</f>
        <v>1.0121253504237777</v>
      </c>
      <c r="L33" s="254">
        <f t="shared" si="5"/>
        <v>-3.95521769366793E-3</v>
      </c>
      <c r="M33" s="181">
        <f>IF($B$18="Shift",'NOTE 2 (Q1, Q3 to Q5)'!$D$132,0)</f>
        <v>1E-4</v>
      </c>
      <c r="N33" s="255">
        <f t="shared" si="6"/>
        <v>-3.8552176936679301E-3</v>
      </c>
      <c r="O33" s="100">
        <f t="shared" si="7"/>
        <v>1.0118169803238264</v>
      </c>
      <c r="P33" s="259">
        <f t="shared" si="8"/>
        <v>0.51388888888888884</v>
      </c>
      <c r="Q33" s="100">
        <f>(O32/O33-1)/P33</f>
        <v>-4.5463939786448545E-3</v>
      </c>
      <c r="R33" s="100">
        <f t="shared" si="9"/>
        <v>-2.3639498499012489E-3</v>
      </c>
    </row>
    <row r="34" spans="1:20">
      <c r="B34" s="147"/>
      <c r="G34" s="190"/>
      <c r="H34" s="191"/>
      <c r="J34" s="161"/>
      <c r="R34" s="256">
        <f>SUM(R28:R33)</f>
        <v>-1.1816980323826264E-2</v>
      </c>
    </row>
    <row r="35" spans="1:20">
      <c r="B35" s="147"/>
      <c r="G35" s="190"/>
      <c r="H35" s="191" t="s">
        <v>484</v>
      </c>
      <c r="J35" s="161"/>
      <c r="T35" s="116"/>
    </row>
    <row r="36" spans="1:20">
      <c r="H36" s="191" t="s">
        <v>485</v>
      </c>
    </row>
    <row r="37" spans="1:20" ht="15" thickBot="1">
      <c r="A37" s="250" t="s">
        <v>492</v>
      </c>
      <c r="B37" s="251" t="s">
        <v>457</v>
      </c>
      <c r="K37" s="180"/>
      <c r="T37" s="116"/>
    </row>
    <row r="38" spans="1:20" ht="15" thickBot="1">
      <c r="A38" s="177" t="s">
        <v>477</v>
      </c>
      <c r="C38" s="239" t="s">
        <v>318</v>
      </c>
      <c r="D38" s="240">
        <f>'NOTE 2 (Q1, Q3 to Q5)'!F170</f>
        <v>2.1428571428571425E-3</v>
      </c>
      <c r="E38" s="241" t="s">
        <v>458</v>
      </c>
      <c r="F38" s="242">
        <f>'NOTE 2 (Q1, Q3 to Q5)'!H170</f>
        <v>-5.7142857142857147E-4</v>
      </c>
      <c r="T38" s="100"/>
    </row>
    <row r="39" spans="1:20" ht="15" thickBot="1">
      <c r="A39" s="323" t="s">
        <v>495</v>
      </c>
      <c r="B39" s="323"/>
      <c r="C39" s="323"/>
      <c r="D39" s="323"/>
      <c r="E39" s="323"/>
      <c r="F39" s="323"/>
      <c r="G39" s="323"/>
      <c r="H39" s="323"/>
      <c r="I39" s="323"/>
      <c r="J39" s="323"/>
      <c r="K39" s="323"/>
      <c r="L39" s="323"/>
      <c r="M39" s="323"/>
      <c r="N39" s="323"/>
    </row>
    <row r="40" spans="1:20" ht="15" thickBot="1">
      <c r="A40" s="99" t="s">
        <v>323</v>
      </c>
      <c r="B40" s="99" t="s">
        <v>298</v>
      </c>
      <c r="C40" s="99" t="s">
        <v>32</v>
      </c>
      <c r="D40" s="99" t="s">
        <v>300</v>
      </c>
      <c r="E40" s="99" t="s">
        <v>32</v>
      </c>
      <c r="F40" s="99" t="s">
        <v>299</v>
      </c>
      <c r="G40" s="99" t="s">
        <v>301</v>
      </c>
      <c r="H40" s="99" t="s">
        <v>33</v>
      </c>
      <c r="I40" s="99" t="s">
        <v>395</v>
      </c>
      <c r="J40" s="99" t="s">
        <v>303</v>
      </c>
      <c r="K40" s="99" t="s">
        <v>319</v>
      </c>
      <c r="L40" s="99" t="s">
        <v>337</v>
      </c>
      <c r="M40" s="99" t="s">
        <v>457</v>
      </c>
      <c r="N40" s="99" t="s">
        <v>469</v>
      </c>
      <c r="O40" s="257" t="s">
        <v>481</v>
      </c>
      <c r="P40" s="257" t="s">
        <v>302</v>
      </c>
      <c r="Q40" s="257" t="s">
        <v>489</v>
      </c>
      <c r="R40" s="257" t="s">
        <v>482</v>
      </c>
    </row>
    <row r="41" spans="1:20">
      <c r="A41" s="142">
        <v>1</v>
      </c>
      <c r="B41" s="178">
        <f>B21</f>
        <v>43873</v>
      </c>
      <c r="C41" s="142" t="str">
        <f>VLOOKUP(WEEKDAY(B41),Auxiliar!$A$1:$B$7,2)</f>
        <v>Wednesday</v>
      </c>
      <c r="D41" s="252">
        <f>DATE(YEAR(B41)+1,MONTH(B41),DAY(B41))</f>
        <v>44239</v>
      </c>
      <c r="E41" s="142" t="str">
        <f>VLOOKUP(WEEKDAY(D41),Auxiliar!$A$1:$B$7,2)</f>
        <v>Friday</v>
      </c>
      <c r="F41" s="147">
        <f>IF(C41="Saturday",B41+2,IF(C41="Sunday",B41+1,B41))</f>
        <v>43873</v>
      </c>
      <c r="G41" s="147">
        <f>IF(E41="Saturday",D41+2,IF(E41="Sunday",D41+1,D41))</f>
        <v>44239</v>
      </c>
      <c r="H41" s="142">
        <f>G41-F41</f>
        <v>366</v>
      </c>
      <c r="I41" s="142">
        <f>G41-F41</f>
        <v>366</v>
      </c>
      <c r="J41" s="179">
        <f>H41/360</f>
        <v>1.0166666666666666</v>
      </c>
      <c r="K41" s="253">
        <f>VLOOKUP(H41,'Bootstraping-Linear_Interpol'!$N$7:$U$40,5)</f>
        <v>1.0029493816043955</v>
      </c>
      <c r="L41" s="254">
        <f>-LN(K41)/J41</f>
        <v>-2.8967613557471096E-3</v>
      </c>
      <c r="M41" s="181">
        <f>IF($B$37="Shift",$D$38+$F$38*(H41/360),0)</f>
        <v>1.5619047619047615E-3</v>
      </c>
      <c r="N41" s="255">
        <f>L41+M41</f>
        <v>-1.3348565938423481E-3</v>
      </c>
      <c r="O41" s="100">
        <f>EXP(-N41*J41)</f>
        <v>1.0013580254863614</v>
      </c>
      <c r="P41" s="103">
        <f>H41/360</f>
        <v>1.0166666666666666</v>
      </c>
      <c r="Q41" s="160">
        <f>$C$14</f>
        <v>-1.971939502230435E-3</v>
      </c>
      <c r="R41" s="100">
        <f>O41*P41*Q41</f>
        <v>-2.0075277371042269E-3</v>
      </c>
    </row>
    <row r="42" spans="1:20">
      <c r="A42" s="142">
        <v>2</v>
      </c>
      <c r="B42" s="183">
        <f>D41</f>
        <v>44239</v>
      </c>
      <c r="C42" s="142" t="str">
        <f>VLOOKUP(WEEKDAY(B42),Auxiliar!$A$1:$B$7,2)</f>
        <v>Friday</v>
      </c>
      <c r="D42" s="252">
        <f>DATE(YEAR(B42)+1,MONTH(B42),DAY(B42))</f>
        <v>44604</v>
      </c>
      <c r="E42" s="142" t="str">
        <f>VLOOKUP(WEEKDAY(D42),Auxiliar!$A$1:$B$7,2)</f>
        <v>Saturday</v>
      </c>
      <c r="F42" s="147">
        <f>IF(C42="Saturday",B42+2,IF(C42="Sunday",B42+1,B42))</f>
        <v>44239</v>
      </c>
      <c r="G42" s="147">
        <f>IF(E42="Saturday",D42+2,IF(E42="Sunday",D42+1,D42))</f>
        <v>44606</v>
      </c>
      <c r="H42" s="142">
        <f>H41+(G42-F42)</f>
        <v>733</v>
      </c>
      <c r="I42" s="142">
        <f>G42-F42</f>
        <v>367</v>
      </c>
      <c r="J42" s="179">
        <f>H42/360</f>
        <v>2.036111111111111</v>
      </c>
      <c r="K42" s="253">
        <f>VLOOKUP(H42,'Bootstraping-Linear_Interpol'!$N$7:$U$40,5)</f>
        <v>1.0073760986995521</v>
      </c>
      <c r="L42" s="254">
        <f>-LN(K42)/J42</f>
        <v>-3.609345422164898E-3</v>
      </c>
      <c r="M42" s="181">
        <f>IF($B$37="Shift",$D$38+$F$38*(H42/360),0)</f>
        <v>9.7936507936507902E-4</v>
      </c>
      <c r="N42" s="255">
        <f>L42+M42</f>
        <v>-2.629980342799819E-3</v>
      </c>
      <c r="O42" s="100">
        <f>EXP(-N42*J42)</f>
        <v>1.0053692954740792</v>
      </c>
      <c r="P42" s="103">
        <f>H42/360</f>
        <v>2.036111111111111</v>
      </c>
      <c r="Q42" s="160">
        <f>$C$14</f>
        <v>-1.971939502230435E-3</v>
      </c>
      <c r="R42" s="100">
        <f>O42*P42*Q42</f>
        <v>-4.0366461243858762E-3</v>
      </c>
    </row>
    <row r="43" spans="1:20">
      <c r="A43" s="142">
        <v>3</v>
      </c>
      <c r="B43" s="183">
        <f>D42</f>
        <v>44604</v>
      </c>
      <c r="C43" s="142" t="str">
        <f>VLOOKUP(WEEKDAY(B43),Auxiliar!$A$1:$B$7,2)</f>
        <v>Saturday</v>
      </c>
      <c r="D43" s="252">
        <f>DATE(YEAR(B43)+1,MONTH(B43),DAY(B43))</f>
        <v>44969</v>
      </c>
      <c r="E43" s="142" t="str">
        <f>VLOOKUP(WEEKDAY(D43),Auxiliar!$A$1:$B$7,2)</f>
        <v>Sunday</v>
      </c>
      <c r="F43" s="147">
        <f>IF(C43="Saturday",B43+2,IF(C43="Sunday",B43+1,B43))</f>
        <v>44606</v>
      </c>
      <c r="G43" s="147">
        <f>IF(E43="Saturday",D43+2,IF(E43="Sunday",D43+1,D43))</f>
        <v>44970</v>
      </c>
      <c r="H43" s="142">
        <f>H42+(G43-F43)</f>
        <v>1097</v>
      </c>
      <c r="I43" s="142">
        <f>G43-F43</f>
        <v>364</v>
      </c>
      <c r="J43" s="179">
        <f>H43/360</f>
        <v>3.0472222222222221</v>
      </c>
      <c r="K43" s="253">
        <f>VLOOKUP(H43,'Bootstraping-Linear_Interpol'!$N$7:$U$40,5)</f>
        <v>1.0103164388058028</v>
      </c>
      <c r="L43" s="254">
        <f>-LN(K43)/J43</f>
        <v>-3.3681782236432648E-3</v>
      </c>
      <c r="M43" s="181">
        <f>IF($B$37="Shift",$D$38+$F$38*(H43/360),0)</f>
        <v>4.0158730158730126E-4</v>
      </c>
      <c r="N43" s="255">
        <f>L43+M43</f>
        <v>-2.9665909220559636E-3</v>
      </c>
      <c r="O43" s="100">
        <f>EXP(-N43*J43)</f>
        <v>1.0090808447327673</v>
      </c>
      <c r="P43" s="103">
        <f>H43/360</f>
        <v>3.0472222222222221</v>
      </c>
      <c r="Q43" s="160">
        <f>$C$14</f>
        <v>-1.971939502230435E-3</v>
      </c>
      <c r="R43" s="100">
        <f>O43*P43*Q43</f>
        <v>-6.0635041038995616E-3</v>
      </c>
    </row>
    <row r="44" spans="1:20">
      <c r="A44" s="142"/>
      <c r="B44" s="183"/>
      <c r="C44" s="142"/>
      <c r="D44" s="183"/>
      <c r="E44" s="142"/>
      <c r="F44" s="147"/>
      <c r="G44" s="147"/>
      <c r="H44" s="142"/>
      <c r="I44" s="142"/>
      <c r="J44" s="179"/>
      <c r="L44" s="180"/>
      <c r="M44" s="181"/>
      <c r="N44" s="182"/>
      <c r="R44" s="256">
        <f>SUM(R41:R43)</f>
        <v>-1.2107677965389665E-2</v>
      </c>
    </row>
    <row r="45" spans="1:20" ht="15" thickBot="1">
      <c r="A45" s="177" t="s">
        <v>476</v>
      </c>
      <c r="R45" s="100"/>
    </row>
    <row r="46" spans="1:20" ht="15" thickBot="1">
      <c r="A46" s="323" t="s">
        <v>496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M46" s="323"/>
      <c r="N46" s="323"/>
    </row>
    <row r="47" spans="1:20" ht="15" thickBot="1">
      <c r="A47" s="99" t="s">
        <v>323</v>
      </c>
      <c r="B47" s="99" t="s">
        <v>298</v>
      </c>
      <c r="C47" s="99" t="s">
        <v>32</v>
      </c>
      <c r="D47" s="99" t="s">
        <v>300</v>
      </c>
      <c r="E47" s="99" t="s">
        <v>32</v>
      </c>
      <c r="F47" s="99" t="s">
        <v>299</v>
      </c>
      <c r="G47" s="99" t="s">
        <v>301</v>
      </c>
      <c r="H47" s="99" t="s">
        <v>33</v>
      </c>
      <c r="I47" s="99" t="s">
        <v>395</v>
      </c>
      <c r="J47" s="99" t="s">
        <v>303</v>
      </c>
      <c r="K47" s="99" t="s">
        <v>319</v>
      </c>
      <c r="L47" s="99" t="s">
        <v>337</v>
      </c>
      <c r="M47" s="99" t="s">
        <v>457</v>
      </c>
      <c r="N47" s="99" t="s">
        <v>469</v>
      </c>
      <c r="O47" s="257" t="s">
        <v>481</v>
      </c>
      <c r="P47" s="257" t="s">
        <v>302</v>
      </c>
      <c r="Q47" s="257" t="s">
        <v>396</v>
      </c>
      <c r="R47" s="257" t="s">
        <v>482</v>
      </c>
    </row>
    <row r="48" spans="1:20">
      <c r="A48" s="142">
        <v>1</v>
      </c>
      <c r="B48" s="178">
        <f>B28</f>
        <v>43873</v>
      </c>
      <c r="C48" s="142" t="str">
        <f>VLOOKUP(WEEKDAY(B48),Auxiliar!$A$1:$B$7,2)</f>
        <v>Wednesday</v>
      </c>
      <c r="D48" s="252">
        <f t="shared" ref="D48:D53" si="10">EDATE(B48,6)</f>
        <v>44055</v>
      </c>
      <c r="E48" s="142" t="str">
        <f>VLOOKUP(WEEKDAY(D48),Auxiliar!$A$1:$B$7,2)</f>
        <v>Wednesday</v>
      </c>
      <c r="F48" s="147">
        <f t="shared" ref="F48:F53" si="11">IF(C48="Saturday",B48+2,IF(C48="Sunday",B48+1,B48))</f>
        <v>43873</v>
      </c>
      <c r="G48" s="147">
        <f t="shared" ref="G48:G53" si="12">IF(E48="Saturday",D48+2,IF(E48="Sunday",D48+1,D48))</f>
        <v>44055</v>
      </c>
      <c r="H48" s="142">
        <f>G48-F48</f>
        <v>182</v>
      </c>
      <c r="I48" s="142">
        <f t="shared" ref="I48:I53" si="13">G48-F48</f>
        <v>182</v>
      </c>
      <c r="J48" s="179">
        <f t="shared" ref="J48:J53" si="14">H48/360</f>
        <v>0.50555555555555554</v>
      </c>
      <c r="K48" s="253">
        <f t="shared" ref="K48:K53" si="15">K28</f>
        <v>1.0026256537815617</v>
      </c>
      <c r="L48" s="254">
        <f t="shared" ref="L48:L53" si="16">-LN(K48)/J48</f>
        <v>-5.1867944992428066E-3</v>
      </c>
      <c r="M48" s="181">
        <f t="shared" ref="M48:M53" si="17">IF($B$37="Shift",$D$38+$F$38*(H48/360),0)</f>
        <v>1.8539682539682537E-3</v>
      </c>
      <c r="N48" s="255">
        <f t="shared" ref="N48:N53" si="18">L48+M48</f>
        <v>-3.3328262452745529E-3</v>
      </c>
      <c r="O48" s="100">
        <f t="shared" ref="O48:O53" si="19">EXP(-N48*J48)</f>
        <v>1.0016863491141548</v>
      </c>
      <c r="P48" s="103">
        <f t="shared" ref="P48:P53" si="20">I48/360</f>
        <v>0.50555555555555554</v>
      </c>
      <c r="Q48" s="100">
        <f>(1/O48-1)/P48</f>
        <v>-3.3300200340815457E-3</v>
      </c>
      <c r="R48" s="100">
        <f t="shared" ref="R48:R53" si="21">O48*P48*Q48</f>
        <v>-1.6863491141548244E-3</v>
      </c>
    </row>
    <row r="49" spans="1:18">
      <c r="A49" s="142">
        <v>2</v>
      </c>
      <c r="B49" s="183">
        <f>D48</f>
        <v>44055</v>
      </c>
      <c r="C49" s="142" t="str">
        <f>VLOOKUP(WEEKDAY(B49),Auxiliar!$A$1:$B$7,2)</f>
        <v>Wednesday</v>
      </c>
      <c r="D49" s="183">
        <f t="shared" si="10"/>
        <v>44239</v>
      </c>
      <c r="E49" s="142" t="str">
        <f>VLOOKUP(WEEKDAY(D49),Auxiliar!$A$1:$B$7,2)</f>
        <v>Friday</v>
      </c>
      <c r="F49" s="147">
        <f t="shared" si="11"/>
        <v>44055</v>
      </c>
      <c r="G49" s="147">
        <f t="shared" si="12"/>
        <v>44239</v>
      </c>
      <c r="H49" s="142">
        <f>H48+(G49-F49)</f>
        <v>366</v>
      </c>
      <c r="I49" s="142">
        <f t="shared" si="13"/>
        <v>184</v>
      </c>
      <c r="J49" s="179">
        <f t="shared" si="14"/>
        <v>1.0166666666666666</v>
      </c>
      <c r="K49" s="253">
        <f t="shared" si="15"/>
        <v>1.0029493816044028</v>
      </c>
      <c r="L49" s="254">
        <f t="shared" si="16"/>
        <v>-2.8967613557542957E-3</v>
      </c>
      <c r="M49" s="181">
        <f t="shared" si="17"/>
        <v>1.5619047619047615E-3</v>
      </c>
      <c r="N49" s="255">
        <f t="shared" si="18"/>
        <v>-1.3348565938495342E-3</v>
      </c>
      <c r="O49" s="100">
        <f t="shared" si="19"/>
        <v>1.0013580254863685</v>
      </c>
      <c r="P49" s="103">
        <f t="shared" si="20"/>
        <v>0.51111111111111107</v>
      </c>
      <c r="Q49" s="100">
        <f>(O48/O49-1)/P49</f>
        <v>6.4150114033562327E-4</v>
      </c>
      <c r="R49" s="100">
        <f t="shared" si="21"/>
        <v>3.2832362778613042E-4</v>
      </c>
    </row>
    <row r="50" spans="1:18">
      <c r="A50" s="142">
        <v>3</v>
      </c>
      <c r="B50" s="183">
        <f>D49</f>
        <v>44239</v>
      </c>
      <c r="C50" s="142" t="str">
        <f>VLOOKUP(WEEKDAY(B50),Auxiliar!$A$1:$B$7,2)</f>
        <v>Friday</v>
      </c>
      <c r="D50" s="183">
        <f t="shared" si="10"/>
        <v>44420</v>
      </c>
      <c r="E50" s="142" t="str">
        <f>VLOOKUP(WEEKDAY(D50),Auxiliar!$A$1:$B$7,2)</f>
        <v>Thursday</v>
      </c>
      <c r="F50" s="147">
        <f t="shared" si="11"/>
        <v>44239</v>
      </c>
      <c r="G50" s="147">
        <f t="shared" si="12"/>
        <v>44420</v>
      </c>
      <c r="H50" s="142">
        <f>H49+(G50-F50)</f>
        <v>547</v>
      </c>
      <c r="I50" s="142">
        <f t="shared" si="13"/>
        <v>181</v>
      </c>
      <c r="J50" s="179">
        <f t="shared" si="14"/>
        <v>1.5194444444444444</v>
      </c>
      <c r="K50" s="253">
        <f t="shared" si="15"/>
        <v>1.0049578930285976</v>
      </c>
      <c r="L50" s="254">
        <f t="shared" si="16"/>
        <v>-3.2549022555021954E-3</v>
      </c>
      <c r="M50" s="181">
        <f t="shared" si="17"/>
        <v>1.2746031746031744E-3</v>
      </c>
      <c r="N50" s="255">
        <f t="shared" si="18"/>
        <v>-1.980299080899021E-3</v>
      </c>
      <c r="O50" s="100">
        <f t="shared" si="19"/>
        <v>1.0030134858840447</v>
      </c>
      <c r="P50" s="103">
        <f t="shared" si="20"/>
        <v>0.50277777777777777</v>
      </c>
      <c r="Q50" s="100">
        <f>(O49/O50-1)/P50</f>
        <v>-3.2827359368606916E-3</v>
      </c>
      <c r="R50" s="100">
        <f t="shared" si="21"/>
        <v>-1.6554603976761432E-3</v>
      </c>
    </row>
    <row r="51" spans="1:18">
      <c r="A51" s="142">
        <v>4</v>
      </c>
      <c r="B51" s="183">
        <f>D50</f>
        <v>44420</v>
      </c>
      <c r="C51" s="142" t="str">
        <f>VLOOKUP(WEEKDAY(B51),Auxiliar!$A$1:$B$7,2)</f>
        <v>Thursday</v>
      </c>
      <c r="D51" s="183">
        <f t="shared" si="10"/>
        <v>44604</v>
      </c>
      <c r="E51" s="142" t="str">
        <f>VLOOKUP(WEEKDAY(D51),Auxiliar!$A$1:$B$7,2)</f>
        <v>Saturday</v>
      </c>
      <c r="F51" s="147">
        <f t="shared" si="11"/>
        <v>44420</v>
      </c>
      <c r="G51" s="147">
        <f t="shared" si="12"/>
        <v>44606</v>
      </c>
      <c r="H51" s="142">
        <f>H50+(G51-F51)</f>
        <v>733</v>
      </c>
      <c r="I51" s="142">
        <f t="shared" si="13"/>
        <v>186</v>
      </c>
      <c r="J51" s="179">
        <f t="shared" si="14"/>
        <v>2.036111111111111</v>
      </c>
      <c r="K51" s="253">
        <f t="shared" si="15"/>
        <v>1.0073760986995253</v>
      </c>
      <c r="L51" s="254">
        <f t="shared" si="16"/>
        <v>-3.6093454221517991E-3</v>
      </c>
      <c r="M51" s="181">
        <f t="shared" si="17"/>
        <v>9.7936507936507902E-4</v>
      </c>
      <c r="N51" s="255">
        <f t="shared" si="18"/>
        <v>-2.6299803427867201E-3</v>
      </c>
      <c r="O51" s="100">
        <f t="shared" si="19"/>
        <v>1.0053692954740525</v>
      </c>
      <c r="P51" s="103">
        <f t="shared" si="20"/>
        <v>0.51666666666666672</v>
      </c>
      <c r="Q51" s="100">
        <f>(O50/O51-1)/P51</f>
        <v>-4.5352802050527006E-3</v>
      </c>
      <c r="R51" s="100">
        <f t="shared" si="21"/>
        <v>-2.3558095900078129E-3</v>
      </c>
    </row>
    <row r="52" spans="1:18">
      <c r="A52" s="142">
        <v>5</v>
      </c>
      <c r="B52" s="183">
        <f>D51</f>
        <v>44604</v>
      </c>
      <c r="C52" s="142" t="str">
        <f>VLOOKUP(WEEKDAY(B52),Auxiliar!$A$1:$B$7,2)</f>
        <v>Saturday</v>
      </c>
      <c r="D52" s="183">
        <f t="shared" si="10"/>
        <v>44785</v>
      </c>
      <c r="E52" s="142" t="str">
        <f>VLOOKUP(WEEKDAY(D52),Auxiliar!$A$1:$B$7,2)</f>
        <v>Friday</v>
      </c>
      <c r="F52" s="147">
        <f t="shared" si="11"/>
        <v>44606</v>
      </c>
      <c r="G52" s="147">
        <f t="shared" si="12"/>
        <v>44785</v>
      </c>
      <c r="H52" s="142">
        <f>H51+(G52-F52)</f>
        <v>912</v>
      </c>
      <c r="I52" s="142">
        <f t="shared" si="13"/>
        <v>179</v>
      </c>
      <c r="J52" s="179">
        <f t="shared" si="14"/>
        <v>2.5333333333333332</v>
      </c>
      <c r="K52" s="253">
        <f t="shared" si="15"/>
        <v>1.00970879096994</v>
      </c>
      <c r="L52" s="254">
        <f t="shared" si="16"/>
        <v>-3.8139329632754957E-3</v>
      </c>
      <c r="M52" s="181">
        <f t="shared" si="17"/>
        <v>6.952380952380949E-4</v>
      </c>
      <c r="N52" s="255">
        <f t="shared" si="18"/>
        <v>-3.1186948680374006E-3</v>
      </c>
      <c r="O52" s="100">
        <f t="shared" si="19"/>
        <v>1.0079319865033145</v>
      </c>
      <c r="P52" s="103">
        <f t="shared" si="20"/>
        <v>0.49722222222222223</v>
      </c>
      <c r="Q52" s="100">
        <f>(O51/O52-1)/P52</f>
        <v>-5.1134556169066397E-3</v>
      </c>
      <c r="R52" s="100">
        <f t="shared" si="21"/>
        <v>-2.5626910292619394E-3</v>
      </c>
    </row>
    <row r="53" spans="1:18">
      <c r="A53" s="142">
        <v>6</v>
      </c>
      <c r="B53" s="183">
        <f>D52</f>
        <v>44785</v>
      </c>
      <c r="C53" s="142" t="str">
        <f>VLOOKUP(WEEKDAY(B53),Auxiliar!$A$1:$B$7,2)</f>
        <v>Friday</v>
      </c>
      <c r="D53" s="183">
        <f t="shared" si="10"/>
        <v>44969</v>
      </c>
      <c r="E53" s="142" t="str">
        <f>VLOOKUP(WEEKDAY(D53),Auxiliar!$A$1:$B$7,2)</f>
        <v>Sunday</v>
      </c>
      <c r="F53" s="147">
        <f t="shared" si="11"/>
        <v>44785</v>
      </c>
      <c r="G53" s="147">
        <f t="shared" si="12"/>
        <v>44970</v>
      </c>
      <c r="H53" s="142">
        <f>H52+(G53-F53)</f>
        <v>1097</v>
      </c>
      <c r="I53" s="142">
        <f t="shared" si="13"/>
        <v>185</v>
      </c>
      <c r="J53" s="179">
        <f t="shared" si="14"/>
        <v>3.0472222222222221</v>
      </c>
      <c r="K53" s="253">
        <f t="shared" si="15"/>
        <v>1.0121253504237777</v>
      </c>
      <c r="L53" s="254">
        <f t="shared" si="16"/>
        <v>-3.95521769366793E-3</v>
      </c>
      <c r="M53" s="181">
        <f t="shared" si="17"/>
        <v>4.0158730158730126E-4</v>
      </c>
      <c r="N53" s="255">
        <f t="shared" si="18"/>
        <v>-3.5536303920806287E-3</v>
      </c>
      <c r="O53" s="100">
        <f t="shared" si="19"/>
        <v>1.0108875440928911</v>
      </c>
      <c r="P53" s="103">
        <f t="shared" si="20"/>
        <v>0.51388888888888884</v>
      </c>
      <c r="Q53" s="100">
        <f>(O52/O53-1)/P53</f>
        <v>-5.6894115898986092E-3</v>
      </c>
      <c r="R53" s="100">
        <f t="shared" si="21"/>
        <v>-2.9555575895765379E-3</v>
      </c>
    </row>
    <row r="54" spans="1:18">
      <c r="B54" s="147"/>
      <c r="G54" s="190"/>
      <c r="H54" s="191"/>
      <c r="J54" s="161"/>
      <c r="R54" s="256">
        <f>SUM(R48:R53)</f>
        <v>-1.0887544092891128E-2</v>
      </c>
    </row>
    <row r="57" spans="1:18" ht="15" thickBot="1"/>
    <row r="58" spans="1:18" ht="15" thickBot="1">
      <c r="A58" s="92" t="s">
        <v>499</v>
      </c>
      <c r="B58" s="92"/>
      <c r="C58" s="92"/>
    </row>
    <row r="59" spans="1:18" ht="15" thickBot="1">
      <c r="A59" s="168" t="s">
        <v>297</v>
      </c>
      <c r="B59" s="147">
        <v>43873</v>
      </c>
      <c r="F59" s="314" t="s">
        <v>486</v>
      </c>
      <c r="G59" s="314"/>
      <c r="H59" s="314"/>
      <c r="I59" s="314"/>
    </row>
    <row r="60" spans="1:18" ht="15" thickBot="1">
      <c r="A60" s="142" t="s">
        <v>4</v>
      </c>
      <c r="B60" s="147">
        <f>B59</f>
        <v>43873</v>
      </c>
      <c r="C60" s="142"/>
      <c r="F60" s="117"/>
      <c r="G60" s="244" t="s">
        <v>398</v>
      </c>
      <c r="H60" s="244" t="s">
        <v>487</v>
      </c>
      <c r="I60" s="244" t="s">
        <v>488</v>
      </c>
      <c r="J60" s="244" t="s">
        <v>471</v>
      </c>
    </row>
    <row r="61" spans="1:18">
      <c r="A61" s="142" t="s">
        <v>30</v>
      </c>
      <c r="B61" s="147">
        <v>46430</v>
      </c>
      <c r="C61" s="148" t="str">
        <f>VLOOKUP(WEEKDAY(B61),Auxiliar!$A$1:$B$7,2)</f>
        <v>Friday</v>
      </c>
      <c r="F61" s="245" t="s">
        <v>468</v>
      </c>
      <c r="G61" s="100">
        <f>R83</f>
        <v>-1.1991538166635099E-2</v>
      </c>
      <c r="H61" s="100">
        <f>R101</f>
        <v>-1.1279082709813943E-2</v>
      </c>
      <c r="I61" s="100">
        <f>H61-G61</f>
        <v>7.1245545682115628E-4</v>
      </c>
      <c r="J61" s="160">
        <f>-I61</f>
        <v>-7.1245545682115628E-4</v>
      </c>
    </row>
    <row r="62" spans="1:18">
      <c r="A62" s="142" t="s">
        <v>473</v>
      </c>
      <c r="B62" s="147">
        <f>B61+2</f>
        <v>46432</v>
      </c>
      <c r="C62" s="148" t="str">
        <f>VLOOKUP(WEEKDAY(B62),Auxiliar!$A$1:$B$7,2)</f>
        <v>Sunday</v>
      </c>
      <c r="F62" s="245" t="s">
        <v>467</v>
      </c>
      <c r="G62" s="100">
        <f>R115</f>
        <v>-1.2065280210842683E-2</v>
      </c>
      <c r="H62" s="100">
        <f>R133</f>
        <v>-2.5863037585954169E-2</v>
      </c>
      <c r="I62" s="100">
        <f>H62-G62</f>
        <v>-1.3797757375111486E-2</v>
      </c>
      <c r="J62" s="160">
        <f>-I62</f>
        <v>1.3797757375111486E-2</v>
      </c>
    </row>
    <row r="63" spans="1:18">
      <c r="A63" s="142" t="s">
        <v>26</v>
      </c>
      <c r="B63" s="90" t="s">
        <v>479</v>
      </c>
      <c r="C63" s="148"/>
    </row>
    <row r="64" spans="1:18">
      <c r="A64" s="142" t="s">
        <v>21</v>
      </c>
      <c r="B64" s="142" t="s">
        <v>20</v>
      </c>
      <c r="C64" s="142"/>
    </row>
    <row r="65" spans="1:18">
      <c r="A65" s="142" t="s">
        <v>23</v>
      </c>
      <c r="B65" s="142" t="s">
        <v>22</v>
      </c>
      <c r="C65" s="142"/>
    </row>
    <row r="66" spans="1:18">
      <c r="A66" s="142" t="s">
        <v>474</v>
      </c>
      <c r="B66" s="90" t="s">
        <v>475</v>
      </c>
      <c r="C66" s="142"/>
    </row>
    <row r="67" spans="1:18" ht="15" thickBot="1">
      <c r="A67" s="142" t="s">
        <v>476</v>
      </c>
      <c r="B67" s="90" t="s">
        <v>24</v>
      </c>
      <c r="C67" s="142"/>
    </row>
    <row r="68" spans="1:18" ht="15" thickBot="1">
      <c r="A68" s="118"/>
      <c r="B68" s="241" t="s">
        <v>468</v>
      </c>
      <c r="C68" s="246" t="s">
        <v>490</v>
      </c>
    </row>
    <row r="69" spans="1:18">
      <c r="A69" s="247" t="s">
        <v>477</v>
      </c>
      <c r="B69" s="222">
        <v>-4.1717394165915382E-4</v>
      </c>
      <c r="C69" s="200">
        <f>B69</f>
        <v>-4.1717394165915382E-4</v>
      </c>
    </row>
    <row r="70" spans="1:18" ht="15" thickBot="1">
      <c r="A70" s="248" t="s">
        <v>478</v>
      </c>
      <c r="B70" s="234">
        <f>1-O100</f>
        <v>-1.1279082709813926E-2</v>
      </c>
      <c r="C70" s="249">
        <f>1-O132</f>
        <v>-2.5863037585953874E-2</v>
      </c>
    </row>
    <row r="71" spans="1:18">
      <c r="E71" s="175"/>
      <c r="F71" s="176"/>
    </row>
    <row r="72" spans="1:18">
      <c r="A72" s="250" t="s">
        <v>491</v>
      </c>
      <c r="E72" s="175"/>
      <c r="F72" s="176"/>
    </row>
    <row r="73" spans="1:18" ht="15" thickBot="1">
      <c r="A73" s="177" t="s">
        <v>477</v>
      </c>
      <c r="B73" s="251" t="s">
        <v>457</v>
      </c>
    </row>
    <row r="74" spans="1:18" ht="15" thickBot="1">
      <c r="A74" s="323" t="s">
        <v>493</v>
      </c>
      <c r="B74" s="323"/>
      <c r="C74" s="323"/>
      <c r="D74" s="323"/>
      <c r="E74" s="323"/>
      <c r="F74" s="323"/>
      <c r="G74" s="323"/>
      <c r="H74" s="323"/>
      <c r="I74" s="323"/>
      <c r="J74" s="323"/>
      <c r="K74" s="323"/>
      <c r="L74" s="323"/>
      <c r="M74" s="323"/>
      <c r="N74" s="323"/>
    </row>
    <row r="75" spans="1:18" ht="15" thickBot="1">
      <c r="A75" s="99" t="s">
        <v>323</v>
      </c>
      <c r="B75" s="99" t="s">
        <v>298</v>
      </c>
      <c r="C75" s="99" t="s">
        <v>32</v>
      </c>
      <c r="D75" s="99" t="s">
        <v>300</v>
      </c>
      <c r="E75" s="99" t="s">
        <v>32</v>
      </c>
      <c r="F75" s="99" t="s">
        <v>299</v>
      </c>
      <c r="G75" s="99" t="s">
        <v>301</v>
      </c>
      <c r="H75" s="99" t="s">
        <v>33</v>
      </c>
      <c r="I75" s="99" t="s">
        <v>395</v>
      </c>
      <c r="J75" s="99" t="s">
        <v>303</v>
      </c>
      <c r="K75" s="99" t="s">
        <v>319</v>
      </c>
      <c r="L75" s="99" t="s">
        <v>337</v>
      </c>
      <c r="M75" s="99" t="s">
        <v>457</v>
      </c>
      <c r="N75" s="99" t="s">
        <v>469</v>
      </c>
      <c r="O75" s="99" t="s">
        <v>481</v>
      </c>
      <c r="P75" s="99" t="s">
        <v>302</v>
      </c>
      <c r="Q75" s="99" t="s">
        <v>489</v>
      </c>
      <c r="R75" s="99" t="s">
        <v>482</v>
      </c>
    </row>
    <row r="76" spans="1:18">
      <c r="A76" s="142">
        <v>1</v>
      </c>
      <c r="B76" s="178">
        <f>B59</f>
        <v>43873</v>
      </c>
      <c r="C76" s="142" t="str">
        <f>VLOOKUP(WEEKDAY(B76),Auxiliar!$A$1:$B$7,2)</f>
        <v>Wednesday</v>
      </c>
      <c r="D76" s="252">
        <f t="shared" ref="D76:D82" si="22">DATE(YEAR(B76)+1,MONTH(B76),DAY(B76))</f>
        <v>44239</v>
      </c>
      <c r="E76" s="142" t="str">
        <f>VLOOKUP(WEEKDAY(D76),Auxiliar!$A$1:$B$7,2)</f>
        <v>Friday</v>
      </c>
      <c r="F76" s="147">
        <f t="shared" ref="F76:F82" si="23">IF(C76="Saturday",B76+2,IF(C76="Sunday",B76+1,B76))</f>
        <v>43873</v>
      </c>
      <c r="G76" s="147">
        <f>IF(E76="Saturday",D76+2,IF(E76="Sunday",D76+1,D76))</f>
        <v>44239</v>
      </c>
      <c r="H76" s="142">
        <f>G76-F76</f>
        <v>366</v>
      </c>
      <c r="I76" s="142">
        <f t="shared" ref="I76:I82" si="24">G76-F76</f>
        <v>366</v>
      </c>
      <c r="J76" s="179">
        <f t="shared" ref="J76:J82" si="25">H76/360</f>
        <v>1.0166666666666666</v>
      </c>
      <c r="K76" s="255">
        <f>VLOOKUP(H76,'Bootstraping-Linear_Interpol'!$N$7:$U$69,5)</f>
        <v>1.0029493816043955</v>
      </c>
      <c r="L76" s="254">
        <f t="shared" ref="L76:L82" si="26">-LN(K76)/J76</f>
        <v>-2.8967613557471096E-3</v>
      </c>
      <c r="M76" s="181">
        <f>IF($B$73="Shift",'NOTE 2 (Q1, Q3 to Q5)'!$D$132,0)</f>
        <v>1E-4</v>
      </c>
      <c r="N76" s="255">
        <f>L76+M76</f>
        <v>-2.7967613557471098E-3</v>
      </c>
      <c r="O76" s="100">
        <f>EXP(-N76*J76)</f>
        <v>1.0028474202670548</v>
      </c>
      <c r="P76" s="103">
        <f t="shared" ref="P76:P82" si="27">H76/360</f>
        <v>1.0166666666666666</v>
      </c>
      <c r="Q76" s="160">
        <f t="shared" ref="Q76:Q82" si="28">$B$69</f>
        <v>-4.1717394165915382E-4</v>
      </c>
      <c r="R76" s="100">
        <f>O76*P76*Q76</f>
        <v>-4.2533450804877983E-4</v>
      </c>
    </row>
    <row r="77" spans="1:18">
      <c r="A77" s="142">
        <v>2</v>
      </c>
      <c r="B77" s="183">
        <f t="shared" ref="B77:B82" si="29">D76</f>
        <v>44239</v>
      </c>
      <c r="C77" s="142" t="str">
        <f>VLOOKUP(WEEKDAY(B77),Auxiliar!$A$1:$B$7,2)</f>
        <v>Friday</v>
      </c>
      <c r="D77" s="252">
        <f t="shared" si="22"/>
        <v>44604</v>
      </c>
      <c r="E77" s="142" t="str">
        <f>VLOOKUP(WEEKDAY(D77),Auxiliar!$A$1:$B$7,2)</f>
        <v>Saturday</v>
      </c>
      <c r="F77" s="147">
        <f t="shared" si="23"/>
        <v>44239</v>
      </c>
      <c r="G77" s="147">
        <f t="shared" ref="G77:G82" si="30">IF(E77="Saturday",D77+2,IF(E77="Sunday",D77+1,D77))</f>
        <v>44606</v>
      </c>
      <c r="H77" s="142">
        <f t="shared" ref="H77:H82" si="31">H76+(G77-F77)</f>
        <v>733</v>
      </c>
      <c r="I77" s="142">
        <f t="shared" si="24"/>
        <v>367</v>
      </c>
      <c r="J77" s="179">
        <f t="shared" si="25"/>
        <v>2.036111111111111</v>
      </c>
      <c r="K77" s="255">
        <f>VLOOKUP(H77,'Bootstraping-Linear_Interpol'!$N$7:$U$69,5)</f>
        <v>1.0073760986995521</v>
      </c>
      <c r="L77" s="254">
        <f t="shared" si="26"/>
        <v>-3.609345422164898E-3</v>
      </c>
      <c r="M77" s="181">
        <f>IF($B$73="Shift",'NOTE 2 (Q1, Q3 to Q5)'!$D$132,0)</f>
        <v>1E-4</v>
      </c>
      <c r="N77" s="255">
        <f t="shared" ref="N77:N82" si="32">L77+M77</f>
        <v>-3.5093454221648982E-3</v>
      </c>
      <c r="O77" s="100">
        <f t="shared" ref="O77:O82" si="33">EXP(-N77*J77)</f>
        <v>1.0071710066130115</v>
      </c>
      <c r="P77" s="103">
        <f t="shared" si="27"/>
        <v>2.036111111111111</v>
      </c>
      <c r="Q77" s="160">
        <f t="shared" si="28"/>
        <v>-4.1717394165915382E-4</v>
      </c>
      <c r="R77" s="100">
        <f t="shared" ref="R77:R82" si="34">O77*P77*Q77</f>
        <v>-8.5550364051768075E-4</v>
      </c>
    </row>
    <row r="78" spans="1:18">
      <c r="A78" s="142">
        <v>3</v>
      </c>
      <c r="B78" s="183">
        <f t="shared" si="29"/>
        <v>44604</v>
      </c>
      <c r="C78" s="142" t="str">
        <f>VLOOKUP(WEEKDAY(B78),Auxiliar!$A$1:$B$7,2)</f>
        <v>Saturday</v>
      </c>
      <c r="D78" s="252">
        <f t="shared" si="22"/>
        <v>44969</v>
      </c>
      <c r="E78" s="142" t="str">
        <f>VLOOKUP(WEEKDAY(D78),Auxiliar!$A$1:$B$7,2)</f>
        <v>Sunday</v>
      </c>
      <c r="F78" s="147">
        <f t="shared" si="23"/>
        <v>44606</v>
      </c>
      <c r="G78" s="147">
        <f t="shared" si="30"/>
        <v>44970</v>
      </c>
      <c r="H78" s="142">
        <f t="shared" si="31"/>
        <v>1097</v>
      </c>
      <c r="I78" s="142">
        <f t="shared" si="24"/>
        <v>364</v>
      </c>
      <c r="J78" s="179">
        <f t="shared" si="25"/>
        <v>3.0472222222222221</v>
      </c>
      <c r="K78" s="255">
        <f>VLOOKUP(H78,'Bootstraping-Linear_Interpol'!$N$7:$U$69,5)</f>
        <v>1.0103164388058028</v>
      </c>
      <c r="L78" s="254">
        <f t="shared" si="26"/>
        <v>-3.3681782236432648E-3</v>
      </c>
      <c r="M78" s="181">
        <f>IF($B$73="Shift",'NOTE 2 (Q1, Q3 to Q5)'!$D$132,0)</f>
        <v>1E-4</v>
      </c>
      <c r="N78" s="255">
        <f t="shared" si="32"/>
        <v>-3.268178223643265E-3</v>
      </c>
      <c r="O78" s="100">
        <f t="shared" si="33"/>
        <v>1.0100086198374443</v>
      </c>
      <c r="P78" s="103">
        <f t="shared" si="27"/>
        <v>3.0472222222222221</v>
      </c>
      <c r="Q78" s="160">
        <f t="shared" si="28"/>
        <v>-4.1717394165915382E-4</v>
      </c>
      <c r="R78" s="100">
        <f t="shared" si="34"/>
        <v>-1.2839448803358259E-3</v>
      </c>
    </row>
    <row r="79" spans="1:18">
      <c r="A79" s="142">
        <v>4</v>
      </c>
      <c r="B79" s="183">
        <f t="shared" si="29"/>
        <v>44969</v>
      </c>
      <c r="C79" s="142" t="str">
        <f>VLOOKUP(WEEKDAY(B79),Auxiliar!$A$1:$B$7,2)</f>
        <v>Sunday</v>
      </c>
      <c r="D79" s="252">
        <f t="shared" si="22"/>
        <v>45334</v>
      </c>
      <c r="E79" s="142" t="str">
        <f>VLOOKUP(WEEKDAY(D79),Auxiliar!$A$1:$B$7,2)</f>
        <v>Monday</v>
      </c>
      <c r="F79" s="147">
        <f t="shared" si="23"/>
        <v>44970</v>
      </c>
      <c r="G79" s="147">
        <f t="shared" si="30"/>
        <v>45334</v>
      </c>
      <c r="H79" s="142">
        <f t="shared" si="31"/>
        <v>1461</v>
      </c>
      <c r="I79" s="142">
        <f t="shared" si="24"/>
        <v>364</v>
      </c>
      <c r="J79" s="179">
        <f t="shared" si="25"/>
        <v>4.0583333333333336</v>
      </c>
      <c r="K79" s="255">
        <f>VLOOKUP(H79,'Bootstraping-Linear_Interpol'!$N$7:$U$69,5)</f>
        <v>1.0123536413378431</v>
      </c>
      <c r="L79" s="254">
        <f t="shared" si="26"/>
        <v>-3.0253694747065167E-3</v>
      </c>
      <c r="M79" s="181">
        <f>IF($B$73="Shift",'NOTE 2 (Q1, Q3 to Q5)'!$D$132,0)</f>
        <v>1E-4</v>
      </c>
      <c r="N79" s="255">
        <f t="shared" si="32"/>
        <v>-2.9253694747065169E-3</v>
      </c>
      <c r="O79" s="100">
        <f t="shared" si="33"/>
        <v>1.0119428778414641</v>
      </c>
      <c r="P79" s="103">
        <f t="shared" si="27"/>
        <v>4.0583333333333336</v>
      </c>
      <c r="Q79" s="160">
        <f t="shared" si="28"/>
        <v>-4.1717394165915382E-4</v>
      </c>
      <c r="R79" s="100">
        <f t="shared" si="34"/>
        <v>-1.7132505746119682E-3</v>
      </c>
    </row>
    <row r="80" spans="1:18">
      <c r="A80" s="142">
        <v>5</v>
      </c>
      <c r="B80" s="183">
        <f t="shared" si="29"/>
        <v>45334</v>
      </c>
      <c r="C80" s="142" t="str">
        <f>VLOOKUP(WEEKDAY(B80),Auxiliar!$A$1:$B$7,2)</f>
        <v>Monday</v>
      </c>
      <c r="D80" s="252">
        <f t="shared" si="22"/>
        <v>45700</v>
      </c>
      <c r="E80" s="142" t="str">
        <f>VLOOKUP(WEEKDAY(D80),Auxiliar!$A$1:$B$7,2)</f>
        <v>Wednesday</v>
      </c>
      <c r="F80" s="147">
        <f t="shared" si="23"/>
        <v>45334</v>
      </c>
      <c r="G80" s="147">
        <f t="shared" si="30"/>
        <v>45700</v>
      </c>
      <c r="H80" s="142">
        <f t="shared" si="31"/>
        <v>1827</v>
      </c>
      <c r="I80" s="142">
        <f t="shared" si="24"/>
        <v>366</v>
      </c>
      <c r="J80" s="179">
        <f t="shared" si="25"/>
        <v>5.0750000000000002</v>
      </c>
      <c r="K80" s="255">
        <f>VLOOKUP(H80,'Bootstraping-Linear_Interpol'!$N$7:$U$69,5)</f>
        <v>1.0134263697880397</v>
      </c>
      <c r="L80" s="254">
        <f t="shared" si="26"/>
        <v>-2.6279871579032231E-3</v>
      </c>
      <c r="M80" s="181">
        <f>IF($B$73="Shift",'NOTE 2 (Q1, Q3 to Q5)'!$D$132,0)</f>
        <v>1E-4</v>
      </c>
      <c r="N80" s="255">
        <f t="shared" si="32"/>
        <v>-2.5279871579032233E-3</v>
      </c>
      <c r="O80" s="100">
        <f t="shared" si="33"/>
        <v>1.0129121863904453</v>
      </c>
      <c r="P80" s="103">
        <f t="shared" si="27"/>
        <v>5.0750000000000002</v>
      </c>
      <c r="Q80" s="160">
        <f t="shared" si="28"/>
        <v>-4.1717394165915382E-4</v>
      </c>
      <c r="R80" s="100">
        <f t="shared" si="34"/>
        <v>-2.1444948894567997E-3</v>
      </c>
    </row>
    <row r="81" spans="1:18">
      <c r="A81" s="142">
        <v>6</v>
      </c>
      <c r="B81" s="183">
        <f t="shared" si="29"/>
        <v>45700</v>
      </c>
      <c r="C81" s="142" t="str">
        <f>VLOOKUP(WEEKDAY(B81),Auxiliar!$A$1:$B$7,2)</f>
        <v>Wednesday</v>
      </c>
      <c r="D81" s="252">
        <f t="shared" si="22"/>
        <v>46065</v>
      </c>
      <c r="E81" s="142" t="str">
        <f>VLOOKUP(WEEKDAY(D81),Auxiliar!$A$1:$B$7,2)</f>
        <v>Thursday</v>
      </c>
      <c r="F81" s="147">
        <f t="shared" si="23"/>
        <v>45700</v>
      </c>
      <c r="G81" s="147">
        <f t="shared" si="30"/>
        <v>46065</v>
      </c>
      <c r="H81" s="142">
        <f t="shared" si="31"/>
        <v>2192</v>
      </c>
      <c r="I81" s="142">
        <f t="shared" si="24"/>
        <v>365</v>
      </c>
      <c r="J81" s="179">
        <f t="shared" si="25"/>
        <v>6.0888888888888886</v>
      </c>
      <c r="K81" s="255">
        <f>VLOOKUP(H81,'Bootstraping-Linear_Interpol'!$N$7:$U$69,5)</f>
        <v>1.0133599501332615</v>
      </c>
      <c r="L81" s="254">
        <f t="shared" si="26"/>
        <v>-2.1796247601355728E-3</v>
      </c>
      <c r="M81" s="181">
        <f>IF($B$73="Shift",'NOTE 2 (Q1, Q3 to Q5)'!$D$132,0)</f>
        <v>1E-4</v>
      </c>
      <c r="N81" s="255">
        <f t="shared" si="32"/>
        <v>-2.0796247601355729E-3</v>
      </c>
      <c r="O81" s="100">
        <f t="shared" si="33"/>
        <v>1.012743114330471</v>
      </c>
      <c r="P81" s="103">
        <f t="shared" si="27"/>
        <v>6.0888888888888886</v>
      </c>
      <c r="Q81" s="160">
        <f t="shared" si="28"/>
        <v>-4.1717394165915382E-4</v>
      </c>
      <c r="R81" s="100">
        <f t="shared" si="34"/>
        <v>-2.5724948913065388E-3</v>
      </c>
    </row>
    <row r="82" spans="1:18">
      <c r="A82" s="142">
        <v>7</v>
      </c>
      <c r="B82" s="183">
        <f t="shared" si="29"/>
        <v>46065</v>
      </c>
      <c r="C82" s="142" t="str">
        <f>VLOOKUP(WEEKDAY(B82),Auxiliar!$A$1:$B$7,2)</f>
        <v>Thursday</v>
      </c>
      <c r="D82" s="252">
        <f t="shared" si="22"/>
        <v>46430</v>
      </c>
      <c r="E82" s="142" t="str">
        <f>VLOOKUP(WEEKDAY(D82),Auxiliar!$A$1:$B$7,2)</f>
        <v>Friday</v>
      </c>
      <c r="F82" s="147">
        <f t="shared" si="23"/>
        <v>46065</v>
      </c>
      <c r="G82" s="147">
        <f t="shared" si="30"/>
        <v>46430</v>
      </c>
      <c r="H82" s="142">
        <f t="shared" si="31"/>
        <v>2557</v>
      </c>
      <c r="I82" s="142">
        <f t="shared" si="24"/>
        <v>365</v>
      </c>
      <c r="J82" s="179">
        <f t="shared" si="25"/>
        <v>7.1027777777777779</v>
      </c>
      <c r="K82" s="255">
        <f>VLOOKUP(H82,'Bootstraping-Linear_Interpol'!$N$7:$U$69,5)</f>
        <v>1.0119976269221789</v>
      </c>
      <c r="L82" s="254">
        <f t="shared" si="26"/>
        <v>-1.6790932079107396E-3</v>
      </c>
      <c r="M82" s="181">
        <f>IF($B$73="Shift",'NOTE 2 (Q1, Q3 to Q5)'!$D$132,0)</f>
        <v>1E-4</v>
      </c>
      <c r="N82" s="255">
        <f t="shared" si="32"/>
        <v>-1.5790932079107396E-3</v>
      </c>
      <c r="O82" s="100">
        <f t="shared" si="33"/>
        <v>1.0112790827098139</v>
      </c>
      <c r="P82" s="103">
        <f t="shared" si="27"/>
        <v>7.1027777777777779</v>
      </c>
      <c r="Q82" s="160">
        <f t="shared" si="28"/>
        <v>-4.1717394165915382E-4</v>
      </c>
      <c r="R82" s="100">
        <f t="shared" si="34"/>
        <v>-2.9965147823575056E-3</v>
      </c>
    </row>
    <row r="83" spans="1:18">
      <c r="A83" s="142"/>
      <c r="B83" s="183"/>
      <c r="C83" s="142"/>
      <c r="D83" s="183"/>
      <c r="E83" s="142"/>
      <c r="F83" s="147"/>
      <c r="G83" s="147"/>
      <c r="H83" s="142"/>
      <c r="I83" s="142"/>
      <c r="J83" s="179"/>
      <c r="L83" s="180"/>
      <c r="M83" s="181"/>
      <c r="N83" s="182"/>
      <c r="R83" s="256">
        <f>SUM(R76:R82)</f>
        <v>-1.1991538166635099E-2</v>
      </c>
    </row>
    <row r="84" spans="1:18" ht="15" thickBot="1">
      <c r="A84" s="177" t="s">
        <v>476</v>
      </c>
      <c r="R84" s="100"/>
    </row>
    <row r="85" spans="1:18" ht="15" thickBot="1">
      <c r="A85" s="323" t="s">
        <v>494</v>
      </c>
      <c r="B85" s="323"/>
      <c r="C85" s="323"/>
      <c r="D85" s="323"/>
      <c r="E85" s="323"/>
      <c r="F85" s="323"/>
      <c r="G85" s="323"/>
      <c r="H85" s="323"/>
      <c r="I85" s="323"/>
      <c r="J85" s="323"/>
      <c r="K85" s="323"/>
      <c r="L85" s="323"/>
      <c r="M85" s="323"/>
      <c r="N85" s="323"/>
    </row>
    <row r="86" spans="1:18" ht="15" thickBot="1">
      <c r="A86" s="99" t="s">
        <v>323</v>
      </c>
      <c r="B86" s="99" t="s">
        <v>298</v>
      </c>
      <c r="C86" s="99" t="s">
        <v>32</v>
      </c>
      <c r="D86" s="99" t="s">
        <v>300</v>
      </c>
      <c r="E86" s="99" t="s">
        <v>32</v>
      </c>
      <c r="F86" s="99" t="s">
        <v>299</v>
      </c>
      <c r="G86" s="99" t="s">
        <v>301</v>
      </c>
      <c r="H86" s="99" t="s">
        <v>33</v>
      </c>
      <c r="I86" s="99" t="s">
        <v>395</v>
      </c>
      <c r="J86" s="99" t="s">
        <v>303</v>
      </c>
      <c r="K86" s="99" t="s">
        <v>319</v>
      </c>
      <c r="L86" s="99" t="s">
        <v>337</v>
      </c>
      <c r="M86" s="99" t="s">
        <v>457</v>
      </c>
      <c r="N86" s="99" t="s">
        <v>469</v>
      </c>
      <c r="O86" s="257" t="s">
        <v>481</v>
      </c>
      <c r="P86" s="257" t="s">
        <v>302</v>
      </c>
      <c r="Q86" s="257" t="s">
        <v>396</v>
      </c>
      <c r="R86" s="257" t="s">
        <v>482</v>
      </c>
    </row>
    <row r="87" spans="1:18">
      <c r="A87" s="142">
        <v>1</v>
      </c>
      <c r="B87" s="178">
        <f>B76</f>
        <v>43873</v>
      </c>
      <c r="C87" s="142" t="str">
        <f>VLOOKUP(WEEKDAY(B87),Auxiliar!$A$1:$B$7,2)</f>
        <v>Wednesday</v>
      </c>
      <c r="D87" s="252">
        <f>EDATE(B87,6)</f>
        <v>44055</v>
      </c>
      <c r="E87" s="142" t="str">
        <f>VLOOKUP(WEEKDAY(D87),Auxiliar!$A$1:$B$7,2)</f>
        <v>Wednesday</v>
      </c>
      <c r="F87" s="147">
        <f t="shared" ref="F87:F100" si="35">IF(C87="Saturday",B87+2,IF(C87="Sunday",B87+1,B87))</f>
        <v>43873</v>
      </c>
      <c r="G87" s="147">
        <f>IF(E87="Saturday",D87+2,IF(E87="Sunday",D87+1,D87))</f>
        <v>44055</v>
      </c>
      <c r="H87" s="142">
        <f>G87-F87</f>
        <v>182</v>
      </c>
      <c r="I87" s="142">
        <f>G87-F87</f>
        <v>182</v>
      </c>
      <c r="J87" s="179">
        <f>H87/360</f>
        <v>0.50555555555555554</v>
      </c>
      <c r="K87" s="255">
        <f>VLOOKUP(H87,'Bootstraping-Linear_Interpol'!$N$7:$U$69,5)</f>
        <v>1.002625653781553</v>
      </c>
      <c r="L87" s="254">
        <f>-LN(K87)/J87</f>
        <v>-5.1867944992257213E-3</v>
      </c>
      <c r="M87" s="181">
        <f>IF($B$73="Shift",'NOTE 2 (Q1, Q3 to Q5)'!$D$132,0)</f>
        <v>1E-4</v>
      </c>
      <c r="N87" s="255">
        <f>L87+M87</f>
        <v>-5.086794499225721E-3</v>
      </c>
      <c r="O87" s="100">
        <f>EXP(-N87*J87)</f>
        <v>1.0025749667658777</v>
      </c>
      <c r="P87" s="116">
        <f>I87/360</f>
        <v>0.50555555555555554</v>
      </c>
      <c r="Q87" s="100">
        <f>(1/O87-1)/P87</f>
        <v>-5.080259356577038E-3</v>
      </c>
      <c r="R87" s="100">
        <f>O87*P87*Q87</f>
        <v>-2.5749667658776991E-3</v>
      </c>
    </row>
    <row r="88" spans="1:18">
      <c r="A88" s="142">
        <v>2</v>
      </c>
      <c r="B88" s="183">
        <f>D87</f>
        <v>44055</v>
      </c>
      <c r="C88" s="142" t="str">
        <f>VLOOKUP(WEEKDAY(B88),Auxiliar!$A$1:$B$7,2)</f>
        <v>Wednesday</v>
      </c>
      <c r="D88" s="183">
        <f>EDATE(B88,6)</f>
        <v>44239</v>
      </c>
      <c r="E88" s="142" t="str">
        <f>VLOOKUP(WEEKDAY(D88),Auxiliar!$A$1:$B$7,2)</f>
        <v>Friday</v>
      </c>
      <c r="F88" s="147">
        <f t="shared" si="35"/>
        <v>44055</v>
      </c>
      <c r="G88" s="147">
        <f t="shared" ref="G88:G100" si="36">IF(E88="Saturday",D88+2,IF(E88="Sunday",D88+1,D88))</f>
        <v>44239</v>
      </c>
      <c r="H88" s="142">
        <f>H87+(G88-F88)</f>
        <v>366</v>
      </c>
      <c r="I88" s="142">
        <f>G88-F88</f>
        <v>184</v>
      </c>
      <c r="J88" s="179">
        <f>H88/360</f>
        <v>1.0166666666666666</v>
      </c>
      <c r="K88" s="255">
        <f>VLOOKUP(H88,'Bootstraping-Linear_Interpol'!$N$7:$U$69,5)</f>
        <v>1.0029493816043955</v>
      </c>
      <c r="L88" s="254">
        <f t="shared" ref="L88:L100" si="37">-LN(K88)/J88</f>
        <v>-2.8967613557471096E-3</v>
      </c>
      <c r="M88" s="181">
        <f>IF($B$73="Shift",'NOTE 2 (Q1, Q3 to Q5)'!$D$132,0)</f>
        <v>1E-4</v>
      </c>
      <c r="N88" s="255">
        <f>L88+M88</f>
        <v>-2.7967613557471098E-3</v>
      </c>
      <c r="O88" s="100">
        <f t="shared" ref="O88:O100" si="38">EXP(-N88*J88)</f>
        <v>1.0028474202670548</v>
      </c>
      <c r="P88" s="116">
        <f>I88/360</f>
        <v>0.51111111111111107</v>
      </c>
      <c r="Q88" s="100">
        <f>(O87/O88-1)/P88</f>
        <v>-5.3154765837979691E-4</v>
      </c>
      <c r="R88" s="100">
        <f t="shared" ref="R88:R100" si="39">O88*P88*Q88</f>
        <v>-2.7245350117708841E-4</v>
      </c>
    </row>
    <row r="89" spans="1:18">
      <c r="A89" s="142">
        <v>3</v>
      </c>
      <c r="B89" s="183">
        <f t="shared" ref="B89:B100" si="40">D88</f>
        <v>44239</v>
      </c>
      <c r="C89" s="142" t="str">
        <f>VLOOKUP(WEEKDAY(B89),Auxiliar!$A$1:$B$7,2)</f>
        <v>Friday</v>
      </c>
      <c r="D89" s="183">
        <f t="shared" ref="D89:D100" si="41">EDATE(B89,6)</f>
        <v>44420</v>
      </c>
      <c r="E89" s="142" t="str">
        <f>VLOOKUP(WEEKDAY(D89),Auxiliar!$A$1:$B$7,2)</f>
        <v>Thursday</v>
      </c>
      <c r="F89" s="147">
        <f t="shared" si="35"/>
        <v>44239</v>
      </c>
      <c r="G89" s="147">
        <f t="shared" si="36"/>
        <v>44420</v>
      </c>
      <c r="H89" s="142">
        <f>H88+(G89-F89)</f>
        <v>547</v>
      </c>
      <c r="I89" s="142">
        <f>G89-F89</f>
        <v>181</v>
      </c>
      <c r="J89" s="179">
        <f>H89/360</f>
        <v>1.5194444444444444</v>
      </c>
      <c r="K89" s="255">
        <f>VLOOKUP(H89,'Bootstraping-Linear_Interpol'!$N$7:$U$69,5)</f>
        <v>1.0049578930286021</v>
      </c>
      <c r="L89" s="254">
        <f t="shared" si="37"/>
        <v>-3.2549022555051041E-3</v>
      </c>
      <c r="M89" s="181">
        <f>IF($B$73="Shift",'NOTE 2 (Q1, Q3 to Q5)'!$D$132,0)</f>
        <v>1E-4</v>
      </c>
      <c r="N89" s="255">
        <f>L89+M89</f>
        <v>-3.1549022555051043E-3</v>
      </c>
      <c r="O89" s="100">
        <f t="shared" si="38"/>
        <v>1.004805206860057</v>
      </c>
      <c r="P89" s="116">
        <f t="shared" ref="P89:P100" si="42">I89/360</f>
        <v>0.50277777777777777</v>
      </c>
      <c r="Q89" s="100">
        <f t="shared" ref="Q89:Q100" si="43">(O88/O89-1)/P89</f>
        <v>-3.8753184780413344E-3</v>
      </c>
      <c r="R89" s="100">
        <f t="shared" si="39"/>
        <v>-1.957786593002287E-3</v>
      </c>
    </row>
    <row r="90" spans="1:18">
      <c r="A90" s="142">
        <v>4</v>
      </c>
      <c r="B90" s="183">
        <f t="shared" si="40"/>
        <v>44420</v>
      </c>
      <c r="C90" s="142" t="str">
        <f>VLOOKUP(WEEKDAY(B90),Auxiliar!$A$1:$B$7,2)</f>
        <v>Thursday</v>
      </c>
      <c r="D90" s="183">
        <f t="shared" si="41"/>
        <v>44604</v>
      </c>
      <c r="E90" s="142" t="str">
        <f>VLOOKUP(WEEKDAY(D90),Auxiliar!$A$1:$B$7,2)</f>
        <v>Saturday</v>
      </c>
      <c r="F90" s="147">
        <f t="shared" si="35"/>
        <v>44420</v>
      </c>
      <c r="G90" s="147">
        <f t="shared" si="36"/>
        <v>44606</v>
      </c>
      <c r="H90" s="142">
        <f t="shared" ref="H90:H100" si="44">H89+(G90-F90)</f>
        <v>733</v>
      </c>
      <c r="I90" s="142">
        <f t="shared" ref="I90:I100" si="45">G90-F90</f>
        <v>186</v>
      </c>
      <c r="J90" s="179">
        <f t="shared" ref="J90:J100" si="46">H90/360</f>
        <v>2.036111111111111</v>
      </c>
      <c r="K90" s="255">
        <f>VLOOKUP(H90,'Bootstraping-Linear_Interpol'!$N$7:$U$69,5)</f>
        <v>1.0073760986995521</v>
      </c>
      <c r="L90" s="254">
        <f t="shared" si="37"/>
        <v>-3.609345422164898E-3</v>
      </c>
      <c r="M90" s="181">
        <f>IF($B$73="Shift",'NOTE 2 (Q1, Q3 to Q5)'!$D$132,0)</f>
        <v>1E-4</v>
      </c>
      <c r="N90" s="255">
        <f>L90+M90</f>
        <v>-3.5093454221648982E-3</v>
      </c>
      <c r="O90" s="100">
        <f t="shared" si="38"/>
        <v>1.0071710066130115</v>
      </c>
      <c r="P90" s="116">
        <f t="shared" si="42"/>
        <v>0.51666666666666672</v>
      </c>
      <c r="Q90" s="100">
        <f t="shared" si="43"/>
        <v>-4.5463652485205714E-3</v>
      </c>
      <c r="R90" s="100">
        <f t="shared" si="39"/>
        <v>-2.365799752954487E-3</v>
      </c>
    </row>
    <row r="91" spans="1:18">
      <c r="A91" s="142">
        <v>5</v>
      </c>
      <c r="B91" s="183">
        <f t="shared" si="40"/>
        <v>44604</v>
      </c>
      <c r="C91" s="142" t="str">
        <f>VLOOKUP(WEEKDAY(B91),Auxiliar!$A$1:$B$7,2)</f>
        <v>Saturday</v>
      </c>
      <c r="D91" s="183">
        <f t="shared" si="41"/>
        <v>44785</v>
      </c>
      <c r="E91" s="142" t="str">
        <f>VLOOKUP(WEEKDAY(D91),Auxiliar!$A$1:$B$7,2)</f>
        <v>Friday</v>
      </c>
      <c r="F91" s="147">
        <f t="shared" si="35"/>
        <v>44606</v>
      </c>
      <c r="G91" s="147">
        <f t="shared" si="36"/>
        <v>44785</v>
      </c>
      <c r="H91" s="142">
        <f t="shared" si="44"/>
        <v>912</v>
      </c>
      <c r="I91" s="142">
        <f t="shared" si="45"/>
        <v>179</v>
      </c>
      <c r="J91" s="179">
        <f t="shared" si="46"/>
        <v>2.5333333333333332</v>
      </c>
      <c r="K91" s="255">
        <f>VLOOKUP(H91,'Bootstraping-Linear_Interpol'!$N$7:$U$69,5)</f>
        <v>1.0088897868252849</v>
      </c>
      <c r="L91" s="254">
        <f t="shared" si="37"/>
        <v>-3.4936205138086374E-3</v>
      </c>
      <c r="M91" s="181">
        <f>IF($B$73="Shift",'NOTE 2 (Q1, Q3 to Q5)'!$D$132,0)</f>
        <v>1E-4</v>
      </c>
      <c r="N91" s="255">
        <f t="shared" ref="N91:N100" si="47">L91+M91</f>
        <v>-3.3936205138086375E-3</v>
      </c>
      <c r="O91" s="100">
        <f t="shared" si="38"/>
        <v>1.008634233784041</v>
      </c>
      <c r="P91" s="116">
        <f t="shared" si="42"/>
        <v>0.49722222222222223</v>
      </c>
      <c r="Q91" s="100">
        <f t="shared" si="43"/>
        <v>-2.9176119057128247E-3</v>
      </c>
      <c r="R91" s="100">
        <f t="shared" si="39"/>
        <v>-1.4632271710294871E-3</v>
      </c>
    </row>
    <row r="92" spans="1:18">
      <c r="A92" s="142">
        <v>6</v>
      </c>
      <c r="B92" s="183">
        <f t="shared" si="40"/>
        <v>44785</v>
      </c>
      <c r="C92" s="142" t="str">
        <f>VLOOKUP(WEEKDAY(B92),Auxiliar!$A$1:$B$7,2)</f>
        <v>Friday</v>
      </c>
      <c r="D92" s="183">
        <f t="shared" si="41"/>
        <v>44969</v>
      </c>
      <c r="E92" s="142" t="str">
        <f>VLOOKUP(WEEKDAY(D92),Auxiliar!$A$1:$B$7,2)</f>
        <v>Sunday</v>
      </c>
      <c r="F92" s="147">
        <f t="shared" si="35"/>
        <v>44785</v>
      </c>
      <c r="G92" s="147">
        <f t="shared" si="36"/>
        <v>44970</v>
      </c>
      <c r="H92" s="142">
        <f t="shared" si="44"/>
        <v>1097</v>
      </c>
      <c r="I92" s="142">
        <f t="shared" si="45"/>
        <v>185</v>
      </c>
      <c r="J92" s="179">
        <f t="shared" si="46"/>
        <v>3.0472222222222221</v>
      </c>
      <c r="K92" s="255">
        <f>VLOOKUP(H92,'Bootstraping-Linear_Interpol'!$N$7:$U$69,5)</f>
        <v>1.0103164388058028</v>
      </c>
      <c r="L92" s="254">
        <f t="shared" si="37"/>
        <v>-3.3681782236432648E-3</v>
      </c>
      <c r="M92" s="181">
        <f>IF($B$73="Shift",'NOTE 2 (Q1, Q3 to Q5)'!$D$132,0)</f>
        <v>1E-4</v>
      </c>
      <c r="N92" s="255">
        <f t="shared" si="47"/>
        <v>-3.268178223643265E-3</v>
      </c>
      <c r="O92" s="100">
        <f>EXP(-N92*J92)</f>
        <v>1.0100086198374443</v>
      </c>
      <c r="P92" s="116">
        <f t="shared" si="42"/>
        <v>0.51388888888888884</v>
      </c>
      <c r="Q92" s="100">
        <f t="shared" si="43"/>
        <v>-2.6479783600411801E-3</v>
      </c>
      <c r="R92" s="100">
        <f t="shared" si="39"/>
        <v>-1.3743860534032031E-3</v>
      </c>
    </row>
    <row r="93" spans="1:18">
      <c r="A93" s="142">
        <v>7</v>
      </c>
      <c r="B93" s="183">
        <f t="shared" si="40"/>
        <v>44969</v>
      </c>
      <c r="C93" s="142" t="str">
        <f>VLOOKUP(WEEKDAY(B93),Auxiliar!$A$1:$B$7,2)</f>
        <v>Sunday</v>
      </c>
      <c r="D93" s="183">
        <f t="shared" si="41"/>
        <v>45150</v>
      </c>
      <c r="E93" s="142" t="str">
        <f>VLOOKUP(WEEKDAY(D93),Auxiliar!$A$1:$B$7,2)</f>
        <v>Saturday</v>
      </c>
      <c r="F93" s="147">
        <f t="shared" si="35"/>
        <v>44970</v>
      </c>
      <c r="G93" s="147">
        <f t="shared" si="36"/>
        <v>45152</v>
      </c>
      <c r="H93" s="142">
        <f t="shared" si="44"/>
        <v>1279</v>
      </c>
      <c r="I93" s="142">
        <f t="shared" si="45"/>
        <v>182</v>
      </c>
      <c r="J93" s="179">
        <f t="shared" si="46"/>
        <v>3.5527777777777776</v>
      </c>
      <c r="K93" s="255">
        <f>VLOOKUP(H93,'Bootstraping-Linear_Interpol'!$N$7:$U$69,5)</f>
        <v>1.0114281748724145</v>
      </c>
      <c r="L93" s="254">
        <f>-LN(K93)/J93</f>
        <v>-3.1984456348546314E-3</v>
      </c>
      <c r="M93" s="181">
        <f>IF($B$73="Shift",'NOTE 2 (Q1, Q3 to Q5)'!$D$132,0)</f>
        <v>1E-4</v>
      </c>
      <c r="N93" s="255">
        <f>L93+M93</f>
        <v>-3.0984456348546316E-3</v>
      </c>
      <c r="O93" s="100">
        <f>EXP(-N93*J93)</f>
        <v>1.0110689007429003</v>
      </c>
      <c r="P93" s="116">
        <f t="shared" si="42"/>
        <v>0.50555555555555554</v>
      </c>
      <c r="Q93" s="100">
        <f>(O92/O93-1)/P93</f>
        <v>-2.0742987271473333E-3</v>
      </c>
      <c r="R93" s="100">
        <f t="shared" si="39"/>
        <v>-1.0602809054561216E-3</v>
      </c>
    </row>
    <row r="94" spans="1:18">
      <c r="A94" s="142">
        <v>8</v>
      </c>
      <c r="B94" s="183">
        <f t="shared" si="40"/>
        <v>45150</v>
      </c>
      <c r="C94" s="142" t="str">
        <f>VLOOKUP(WEEKDAY(B94),Auxiliar!$A$1:$B$7,2)</f>
        <v>Saturday</v>
      </c>
      <c r="D94" s="183">
        <f t="shared" si="41"/>
        <v>45334</v>
      </c>
      <c r="E94" s="142" t="str">
        <f>VLOOKUP(WEEKDAY(D94),Auxiliar!$A$1:$B$7,2)</f>
        <v>Monday</v>
      </c>
      <c r="F94" s="147">
        <f t="shared" si="35"/>
        <v>45152</v>
      </c>
      <c r="G94" s="147">
        <f t="shared" si="36"/>
        <v>45334</v>
      </c>
      <c r="H94" s="142">
        <f t="shared" si="44"/>
        <v>1461</v>
      </c>
      <c r="I94" s="142">
        <f t="shared" si="45"/>
        <v>182</v>
      </c>
      <c r="J94" s="179">
        <f t="shared" si="46"/>
        <v>4.0583333333333336</v>
      </c>
      <c r="K94" s="255">
        <f>VLOOKUP(H94,'Bootstraping-Linear_Interpol'!$N$7:$U$69,5)</f>
        <v>1.0123536413378431</v>
      </c>
      <c r="L94" s="254">
        <f t="shared" si="37"/>
        <v>-3.0253694747065167E-3</v>
      </c>
      <c r="M94" s="181">
        <f>IF($B$73="Shift",'NOTE 2 (Q1, Q3 to Q5)'!$D$132,0)</f>
        <v>1E-4</v>
      </c>
      <c r="N94" s="255">
        <f t="shared" si="47"/>
        <v>-2.9253694747065169E-3</v>
      </c>
      <c r="O94" s="100">
        <f>EXP(-N94*J94)</f>
        <v>1.0119428778414641</v>
      </c>
      <c r="P94" s="116">
        <f t="shared" si="42"/>
        <v>0.50555555555555554</v>
      </c>
      <c r="Q94" s="100">
        <f t="shared" si="43"/>
        <v>-1.7083433730315188E-3</v>
      </c>
      <c r="R94" s="100">
        <f t="shared" si="39"/>
        <v>-8.7397709856371498E-4</v>
      </c>
    </row>
    <row r="95" spans="1:18">
      <c r="A95" s="142">
        <v>9</v>
      </c>
      <c r="B95" s="183">
        <f t="shared" si="40"/>
        <v>45334</v>
      </c>
      <c r="C95" s="142" t="str">
        <f>VLOOKUP(WEEKDAY(B95),Auxiliar!$A$1:$B$7,2)</f>
        <v>Monday</v>
      </c>
      <c r="D95" s="183">
        <f t="shared" si="41"/>
        <v>45516</v>
      </c>
      <c r="E95" s="142" t="str">
        <f>VLOOKUP(WEEKDAY(D95),Auxiliar!$A$1:$B$7,2)</f>
        <v>Monday</v>
      </c>
      <c r="F95" s="147">
        <f t="shared" si="35"/>
        <v>45334</v>
      </c>
      <c r="G95" s="147">
        <f t="shared" si="36"/>
        <v>45516</v>
      </c>
      <c r="H95" s="142">
        <f t="shared" si="44"/>
        <v>1643</v>
      </c>
      <c r="I95" s="142">
        <f t="shared" si="45"/>
        <v>182</v>
      </c>
      <c r="J95" s="179">
        <f t="shared" si="46"/>
        <v>4.5638888888888891</v>
      </c>
      <c r="K95" s="255">
        <f>VLOOKUP(H95,'Bootstraping-Linear_Interpol'!$N$7:$U$69,5)</f>
        <v>1.0129984030329278</v>
      </c>
      <c r="L95" s="254">
        <f t="shared" si="37"/>
        <v>-2.8297465400222823E-3</v>
      </c>
      <c r="M95" s="181">
        <f>IF($B$73="Shift",'NOTE 2 (Q1, Q3 to Q5)'!$D$132,0)</f>
        <v>1E-4</v>
      </c>
      <c r="N95" s="255">
        <f t="shared" si="47"/>
        <v>-2.7297465400222824E-3</v>
      </c>
      <c r="O95" s="100">
        <f t="shared" si="38"/>
        <v>1.0125361873004066</v>
      </c>
      <c r="P95" s="116">
        <f t="shared" si="42"/>
        <v>0.50555555555555554</v>
      </c>
      <c r="Q95" s="100">
        <f t="shared" si="43"/>
        <v>-1.1590490930360618E-3</v>
      </c>
      <c r="R95" s="100">
        <f t="shared" si="39"/>
        <v>-5.9330945894256817E-4</v>
      </c>
    </row>
    <row r="96" spans="1:18">
      <c r="A96" s="142">
        <v>10</v>
      </c>
      <c r="B96" s="183">
        <f t="shared" si="40"/>
        <v>45516</v>
      </c>
      <c r="C96" s="142" t="str">
        <f>VLOOKUP(WEEKDAY(B96),Auxiliar!$A$1:$B$7,2)</f>
        <v>Monday</v>
      </c>
      <c r="D96" s="183">
        <f t="shared" si="41"/>
        <v>45700</v>
      </c>
      <c r="E96" s="142" t="str">
        <f>VLOOKUP(WEEKDAY(D96),Auxiliar!$A$1:$B$7,2)</f>
        <v>Wednesday</v>
      </c>
      <c r="F96" s="147">
        <f t="shared" si="35"/>
        <v>45516</v>
      </c>
      <c r="G96" s="147">
        <f t="shared" si="36"/>
        <v>45700</v>
      </c>
      <c r="H96" s="142">
        <f t="shared" si="44"/>
        <v>1827</v>
      </c>
      <c r="I96" s="142">
        <f t="shared" si="45"/>
        <v>184</v>
      </c>
      <c r="J96" s="179">
        <f t="shared" si="46"/>
        <v>5.0750000000000002</v>
      </c>
      <c r="K96" s="255">
        <f>VLOOKUP(H96,'Bootstraping-Linear_Interpol'!$N$7:$U$69,5)</f>
        <v>1.0134263697880397</v>
      </c>
      <c r="L96" s="254">
        <f t="shared" si="37"/>
        <v>-2.6279871579032231E-3</v>
      </c>
      <c r="M96" s="181">
        <f>IF($B$73="Shift",'NOTE 2 (Q1, Q3 to Q5)'!$D$132,0)</f>
        <v>1E-4</v>
      </c>
      <c r="N96" s="255">
        <f t="shared" si="47"/>
        <v>-2.5279871579032233E-3</v>
      </c>
      <c r="O96" s="100">
        <f t="shared" si="38"/>
        <v>1.0129121863904453</v>
      </c>
      <c r="P96" s="116">
        <f t="shared" si="42"/>
        <v>0.51111111111111107</v>
      </c>
      <c r="Q96" s="100">
        <f t="shared" si="43"/>
        <v>-7.2627262603626279E-4</v>
      </c>
      <c r="R96" s="100">
        <f t="shared" si="39"/>
        <v>-3.7599909003867076E-4</v>
      </c>
    </row>
    <row r="97" spans="1:18">
      <c r="A97" s="142">
        <v>11</v>
      </c>
      <c r="B97" s="183">
        <f t="shared" si="40"/>
        <v>45700</v>
      </c>
      <c r="C97" s="142" t="str">
        <f>VLOOKUP(WEEKDAY(B97),Auxiliar!$A$1:$B$7,2)</f>
        <v>Wednesday</v>
      </c>
      <c r="D97" s="183">
        <f t="shared" si="41"/>
        <v>45881</v>
      </c>
      <c r="E97" s="142" t="str">
        <f>VLOOKUP(WEEKDAY(D97),Auxiliar!$A$1:$B$7,2)</f>
        <v>Tuesday</v>
      </c>
      <c r="F97" s="147">
        <f t="shared" si="35"/>
        <v>45700</v>
      </c>
      <c r="G97" s="147">
        <f t="shared" si="36"/>
        <v>45881</v>
      </c>
      <c r="H97" s="142">
        <f t="shared" si="44"/>
        <v>2008</v>
      </c>
      <c r="I97" s="142">
        <f t="shared" si="45"/>
        <v>181</v>
      </c>
      <c r="J97" s="179">
        <f t="shared" si="46"/>
        <v>5.5777777777777775</v>
      </c>
      <c r="K97" s="255">
        <f>VLOOKUP(H97,'Bootstraping-Linear_Interpol'!$N$7:$U$69,5)</f>
        <v>1.0135216491518062</v>
      </c>
      <c r="L97" s="254">
        <f t="shared" si="37"/>
        <v>-2.4079567164810309E-3</v>
      </c>
      <c r="M97" s="181">
        <f>IF($B$73="Shift",'NOTE 2 (Q1, Q3 to Q5)'!$D$132,0)</f>
        <v>1E-4</v>
      </c>
      <c r="N97" s="255">
        <f t="shared" si="47"/>
        <v>-2.3079567164810311E-3</v>
      </c>
      <c r="O97" s="100">
        <f t="shared" si="38"/>
        <v>1.012956486930729</v>
      </c>
      <c r="P97" s="116">
        <f t="shared" si="42"/>
        <v>0.50277777777777777</v>
      </c>
      <c r="Q97" s="100">
        <f t="shared" si="43"/>
        <v>-8.6984557551988213E-5</v>
      </c>
      <c r="R97" s="100">
        <f t="shared" si="39"/>
        <v>-4.4300540283751473E-5</v>
      </c>
    </row>
    <row r="98" spans="1:18">
      <c r="A98" s="142">
        <v>12</v>
      </c>
      <c r="B98" s="183">
        <f t="shared" si="40"/>
        <v>45881</v>
      </c>
      <c r="C98" s="142" t="str">
        <f>VLOOKUP(WEEKDAY(B98),Auxiliar!$A$1:$B$7,2)</f>
        <v>Tuesday</v>
      </c>
      <c r="D98" s="183">
        <f t="shared" si="41"/>
        <v>46065</v>
      </c>
      <c r="E98" s="142" t="str">
        <f>VLOOKUP(WEEKDAY(D98),Auxiliar!$A$1:$B$7,2)</f>
        <v>Thursday</v>
      </c>
      <c r="F98" s="147">
        <f t="shared" si="35"/>
        <v>45881</v>
      </c>
      <c r="G98" s="147">
        <f t="shared" si="36"/>
        <v>46065</v>
      </c>
      <c r="H98" s="142">
        <f t="shared" si="44"/>
        <v>2192</v>
      </c>
      <c r="I98" s="142">
        <f t="shared" si="45"/>
        <v>184</v>
      </c>
      <c r="J98" s="179">
        <f t="shared" si="46"/>
        <v>6.0888888888888886</v>
      </c>
      <c r="K98" s="255">
        <f>VLOOKUP(H98,'Bootstraping-Linear_Interpol'!$N$7:$U$69,5)</f>
        <v>1.0133599501332615</v>
      </c>
      <c r="L98" s="254">
        <f t="shared" si="37"/>
        <v>-2.1796247601355728E-3</v>
      </c>
      <c r="M98" s="181">
        <f>IF($B$73="Shift",'NOTE 2 (Q1, Q3 to Q5)'!$D$132,0)</f>
        <v>1E-4</v>
      </c>
      <c r="N98" s="255">
        <f t="shared" si="47"/>
        <v>-2.0796247601355729E-3</v>
      </c>
      <c r="O98" s="100">
        <f t="shared" si="38"/>
        <v>1.012743114330471</v>
      </c>
      <c r="P98" s="116">
        <f t="shared" si="42"/>
        <v>0.51111111111111107</v>
      </c>
      <c r="Q98" s="100">
        <f t="shared" si="43"/>
        <v>4.1221522519614034E-4</v>
      </c>
      <c r="R98" s="100">
        <f t="shared" si="39"/>
        <v>2.1337260025800528E-4</v>
      </c>
    </row>
    <row r="99" spans="1:18">
      <c r="A99" s="142">
        <v>13</v>
      </c>
      <c r="B99" s="183">
        <f t="shared" si="40"/>
        <v>46065</v>
      </c>
      <c r="C99" s="142" t="str">
        <f>VLOOKUP(WEEKDAY(B99),Auxiliar!$A$1:$B$7,2)</f>
        <v>Thursday</v>
      </c>
      <c r="D99" s="183">
        <f t="shared" si="41"/>
        <v>46246</v>
      </c>
      <c r="E99" s="142" t="str">
        <f>VLOOKUP(WEEKDAY(D99),Auxiliar!$A$1:$B$7,2)</f>
        <v>Wednesday</v>
      </c>
      <c r="F99" s="147">
        <f t="shared" si="35"/>
        <v>46065</v>
      </c>
      <c r="G99" s="147">
        <f t="shared" si="36"/>
        <v>46246</v>
      </c>
      <c r="H99" s="142">
        <f t="shared" si="44"/>
        <v>2373</v>
      </c>
      <c r="I99" s="142">
        <f t="shared" si="45"/>
        <v>181</v>
      </c>
      <c r="J99" s="179">
        <f t="shared" si="46"/>
        <v>6.5916666666666668</v>
      </c>
      <c r="K99" s="255">
        <f>VLOOKUP(H99,'Bootstraping-Linear_Interpol'!$N$7:$U$69,5)</f>
        <v>1.0128305336924632</v>
      </c>
      <c r="L99" s="254">
        <f>-LN(K99)/J99</f>
        <v>-1.9340965492724504E-3</v>
      </c>
      <c r="M99" s="181">
        <f>IF($B$73="Shift",'NOTE 2 (Q1, Q3 to Q5)'!$D$132,0)</f>
        <v>1E-4</v>
      </c>
      <c r="N99" s="255">
        <f>L99+M99</f>
        <v>-1.8340965492724503E-3</v>
      </c>
      <c r="O99" s="100">
        <f>EXP(-N99*J99)</f>
        <v>1.0121631295551168</v>
      </c>
      <c r="P99" s="116">
        <f t="shared" si="42"/>
        <v>0.50277777777777777</v>
      </c>
      <c r="Q99" s="100">
        <f>(O98/O99-1)/P99</f>
        <v>1.1396985777032912E-3</v>
      </c>
      <c r="R99" s="100">
        <f t="shared" si="39"/>
        <v>5.7998477535427728E-4</v>
      </c>
    </row>
    <row r="100" spans="1:18">
      <c r="A100" s="142">
        <v>14</v>
      </c>
      <c r="B100" s="183">
        <f t="shared" si="40"/>
        <v>46246</v>
      </c>
      <c r="C100" s="142" t="str">
        <f>VLOOKUP(WEEKDAY(B100),Auxiliar!$A$1:$B$7,2)</f>
        <v>Wednesday</v>
      </c>
      <c r="D100" s="183">
        <f t="shared" si="41"/>
        <v>46430</v>
      </c>
      <c r="E100" s="142" t="str">
        <f>VLOOKUP(WEEKDAY(D100),Auxiliar!$A$1:$B$7,2)</f>
        <v>Friday</v>
      </c>
      <c r="F100" s="147">
        <f t="shared" si="35"/>
        <v>46246</v>
      </c>
      <c r="G100" s="147">
        <f t="shared" si="36"/>
        <v>46430</v>
      </c>
      <c r="H100" s="142">
        <f t="shared" si="44"/>
        <v>2557</v>
      </c>
      <c r="I100" s="142">
        <f t="shared" si="45"/>
        <v>184</v>
      </c>
      <c r="J100" s="179">
        <f t="shared" si="46"/>
        <v>7.1027777777777779</v>
      </c>
      <c r="K100" s="255">
        <f>VLOOKUP(H100,'Bootstraping-Linear_Interpol'!$N$7:$U$69,5)</f>
        <v>1.0119976269221789</v>
      </c>
      <c r="L100" s="254">
        <f t="shared" si="37"/>
        <v>-1.6790932079107396E-3</v>
      </c>
      <c r="M100" s="181">
        <f>IF($B$73="Shift",'NOTE 2 (Q1, Q3 to Q5)'!$D$132,0)</f>
        <v>1E-4</v>
      </c>
      <c r="N100" s="255">
        <f t="shared" si="47"/>
        <v>-1.5790932079107396E-3</v>
      </c>
      <c r="O100" s="100">
        <f t="shared" si="38"/>
        <v>1.0112790827098139</v>
      </c>
      <c r="P100" s="116">
        <f t="shared" si="42"/>
        <v>0.51111111111111107</v>
      </c>
      <c r="Q100" s="100">
        <f t="shared" si="43"/>
        <v>1.7103655171131797E-3</v>
      </c>
      <c r="R100" s="100">
        <f t="shared" si="39"/>
        <v>8.840468453028532E-4</v>
      </c>
    </row>
    <row r="101" spans="1:18">
      <c r="B101" s="147"/>
      <c r="G101" s="190"/>
      <c r="H101" s="191"/>
      <c r="J101" s="161"/>
      <c r="R101" s="256">
        <f>SUM(R87:R100)</f>
        <v>-1.1279082709813943E-2</v>
      </c>
    </row>
    <row r="102" spans="1:18">
      <c r="B102" s="147"/>
      <c r="G102" s="190"/>
      <c r="H102" s="191"/>
      <c r="J102" s="161"/>
    </row>
    <row r="103" spans="1:18">
      <c r="H103" s="191"/>
    </row>
    <row r="104" spans="1:18" ht="15" thickBot="1">
      <c r="A104" s="250" t="s">
        <v>492</v>
      </c>
      <c r="B104" s="251" t="s">
        <v>457</v>
      </c>
      <c r="K104" s="180"/>
    </row>
    <row r="105" spans="1:18" ht="15" thickBot="1">
      <c r="A105" s="177" t="s">
        <v>477</v>
      </c>
      <c r="C105" s="239" t="s">
        <v>318</v>
      </c>
      <c r="D105" s="240">
        <f>'NOTE 2 (Q1, Q3 to Q5)'!F170</f>
        <v>2.1428571428571425E-3</v>
      </c>
      <c r="E105" s="241" t="s">
        <v>458</v>
      </c>
      <c r="F105" s="242">
        <f>'NOTE 2 (Q1, Q3 to Q5)'!H170</f>
        <v>-5.7142857142857147E-4</v>
      </c>
    </row>
    <row r="106" spans="1:18" ht="15" thickBot="1">
      <c r="A106" s="323" t="s">
        <v>495</v>
      </c>
      <c r="B106" s="323"/>
      <c r="C106" s="323"/>
      <c r="D106" s="323"/>
      <c r="E106" s="323"/>
      <c r="F106" s="323"/>
      <c r="G106" s="323"/>
      <c r="H106" s="323"/>
      <c r="I106" s="323"/>
      <c r="J106" s="323"/>
      <c r="K106" s="323"/>
      <c r="L106" s="323"/>
      <c r="M106" s="323"/>
      <c r="N106" s="323"/>
    </row>
    <row r="107" spans="1:18" ht="15" thickBot="1">
      <c r="A107" s="99" t="s">
        <v>323</v>
      </c>
      <c r="B107" s="99" t="s">
        <v>298</v>
      </c>
      <c r="C107" s="99" t="s">
        <v>32</v>
      </c>
      <c r="D107" s="99" t="s">
        <v>300</v>
      </c>
      <c r="E107" s="99" t="s">
        <v>32</v>
      </c>
      <c r="F107" s="99" t="s">
        <v>299</v>
      </c>
      <c r="G107" s="99" t="s">
        <v>301</v>
      </c>
      <c r="H107" s="99" t="s">
        <v>33</v>
      </c>
      <c r="I107" s="99" t="s">
        <v>395</v>
      </c>
      <c r="J107" s="99" t="s">
        <v>303</v>
      </c>
      <c r="K107" s="99" t="s">
        <v>319</v>
      </c>
      <c r="L107" s="99" t="s">
        <v>337</v>
      </c>
      <c r="M107" s="99" t="s">
        <v>457</v>
      </c>
      <c r="N107" s="99" t="s">
        <v>469</v>
      </c>
      <c r="O107" s="257" t="s">
        <v>481</v>
      </c>
      <c r="P107" s="257" t="s">
        <v>302</v>
      </c>
      <c r="Q107" s="257" t="s">
        <v>489</v>
      </c>
      <c r="R107" s="257" t="s">
        <v>482</v>
      </c>
    </row>
    <row r="108" spans="1:18">
      <c r="A108" s="142">
        <v>1</v>
      </c>
      <c r="B108" s="178">
        <f>B76</f>
        <v>43873</v>
      </c>
      <c r="C108" s="142" t="str">
        <f>VLOOKUP(WEEKDAY(B108),Auxiliar!$A$1:$B$7,2)</f>
        <v>Wednesday</v>
      </c>
      <c r="D108" s="252">
        <f t="shared" ref="D108:D114" si="48">DATE(YEAR(B108)+1,MONTH(B108),DAY(B108))</f>
        <v>44239</v>
      </c>
      <c r="E108" s="142" t="str">
        <f>VLOOKUP(WEEKDAY(D108),Auxiliar!$A$1:$B$7,2)</f>
        <v>Friday</v>
      </c>
      <c r="F108" s="147">
        <f t="shared" ref="F108:F114" si="49">IF(C108="Saturday",B108+2,IF(C108="Sunday",B108+1,B108))</f>
        <v>43873</v>
      </c>
      <c r="G108" s="147">
        <f>IF(E108="Saturday",D108+2,IF(E108="Sunday",D108+1,D108))</f>
        <v>44239</v>
      </c>
      <c r="H108" s="142">
        <f>G108-F108</f>
        <v>366</v>
      </c>
      <c r="I108" s="142">
        <f t="shared" ref="I108:I114" si="50">G108-F108</f>
        <v>366</v>
      </c>
      <c r="J108" s="179">
        <f t="shared" ref="J108:J114" si="51">H108/360</f>
        <v>1.0166666666666666</v>
      </c>
      <c r="K108" s="253">
        <f>VLOOKUP(H108,'Bootstraping-Linear_Interpol'!$N$7:$U$69,5)</f>
        <v>1.0029493816043955</v>
      </c>
      <c r="L108" s="254">
        <f t="shared" ref="L108:L114" si="52">-LN(K108)/J108</f>
        <v>-2.8967613557471096E-3</v>
      </c>
      <c r="M108" s="181">
        <f>IF($B$104="Shift",$D$105+$F$105*(H108/360),0)</f>
        <v>1.5619047619047615E-3</v>
      </c>
      <c r="N108" s="255">
        <f>L108+M108</f>
        <v>-1.3348565938423481E-3</v>
      </c>
      <c r="O108" s="100">
        <f>EXP(-N108*J108)</f>
        <v>1.0013580254863614</v>
      </c>
      <c r="P108" s="103">
        <f t="shared" ref="P108:P114" si="53">H108/360</f>
        <v>1.0166666666666666</v>
      </c>
      <c r="Q108" s="160">
        <f t="shared" ref="Q108:Q114" si="54">$C$69</f>
        <v>-4.1717394165915382E-4</v>
      </c>
      <c r="R108" s="100">
        <f>O108*P108*Q108</f>
        <v>-4.2470281574590897E-4</v>
      </c>
    </row>
    <row r="109" spans="1:18">
      <c r="A109" s="142">
        <v>2</v>
      </c>
      <c r="B109" s="183">
        <f t="shared" ref="B109:B114" si="55">D108</f>
        <v>44239</v>
      </c>
      <c r="C109" s="142" t="str">
        <f>VLOOKUP(WEEKDAY(B109),Auxiliar!$A$1:$B$7,2)</f>
        <v>Friday</v>
      </c>
      <c r="D109" s="252">
        <f t="shared" si="48"/>
        <v>44604</v>
      </c>
      <c r="E109" s="142" t="str">
        <f>VLOOKUP(WEEKDAY(D109),Auxiliar!$A$1:$B$7,2)</f>
        <v>Saturday</v>
      </c>
      <c r="F109" s="147">
        <f t="shared" si="49"/>
        <v>44239</v>
      </c>
      <c r="G109" s="147">
        <f t="shared" ref="G109:G114" si="56">IF(E109="Saturday",D109+2,IF(E109="Sunday",D109+1,D109))</f>
        <v>44606</v>
      </c>
      <c r="H109" s="142">
        <f t="shared" ref="H109:H114" si="57">H108+(G109-F109)</f>
        <v>733</v>
      </c>
      <c r="I109" s="142">
        <f t="shared" si="50"/>
        <v>367</v>
      </c>
      <c r="J109" s="179">
        <f t="shared" si="51"/>
        <v>2.036111111111111</v>
      </c>
      <c r="K109" s="253">
        <f>VLOOKUP(H109,'Bootstraping-Linear_Interpol'!$N$7:$U$69,5)</f>
        <v>1.0073760986995521</v>
      </c>
      <c r="L109" s="254">
        <f t="shared" si="52"/>
        <v>-3.609345422164898E-3</v>
      </c>
      <c r="M109" s="181">
        <f t="shared" ref="M109:M114" si="58">IF($B$104="Shift",$D$105+$F$105*(H109/360),0)</f>
        <v>9.7936507936507902E-4</v>
      </c>
      <c r="N109" s="255">
        <f t="shared" ref="N109:N114" si="59">L109+M109</f>
        <v>-2.629980342799819E-3</v>
      </c>
      <c r="O109" s="100">
        <f t="shared" ref="O109:O114" si="60">EXP(-N109*J109)</f>
        <v>1.0053692954740792</v>
      </c>
      <c r="P109" s="103">
        <f t="shared" si="53"/>
        <v>2.036111111111111</v>
      </c>
      <c r="Q109" s="160">
        <f t="shared" si="54"/>
        <v>-4.1717394165915382E-4</v>
      </c>
      <c r="R109" s="100">
        <f t="shared" ref="R109:R114" si="61">O109*P109*Q109</f>
        <v>-8.5397324455870527E-4</v>
      </c>
    </row>
    <row r="110" spans="1:18">
      <c r="A110" s="142">
        <v>3</v>
      </c>
      <c r="B110" s="183">
        <f t="shared" si="55"/>
        <v>44604</v>
      </c>
      <c r="C110" s="142" t="str">
        <f>VLOOKUP(WEEKDAY(B110),Auxiliar!$A$1:$B$7,2)</f>
        <v>Saturday</v>
      </c>
      <c r="D110" s="252">
        <f t="shared" si="48"/>
        <v>44969</v>
      </c>
      <c r="E110" s="142" t="str">
        <f>VLOOKUP(WEEKDAY(D110),Auxiliar!$A$1:$B$7,2)</f>
        <v>Sunday</v>
      </c>
      <c r="F110" s="147">
        <f t="shared" si="49"/>
        <v>44606</v>
      </c>
      <c r="G110" s="147">
        <f t="shared" si="56"/>
        <v>44970</v>
      </c>
      <c r="H110" s="142">
        <f t="shared" si="57"/>
        <v>1097</v>
      </c>
      <c r="I110" s="142">
        <f t="shared" si="50"/>
        <v>364</v>
      </c>
      <c r="J110" s="179">
        <f t="shared" si="51"/>
        <v>3.0472222222222221</v>
      </c>
      <c r="K110" s="253">
        <f>VLOOKUP(H110,'Bootstraping-Linear_Interpol'!$N$7:$U$69,5)</f>
        <v>1.0103164388058028</v>
      </c>
      <c r="L110" s="254">
        <f t="shared" si="52"/>
        <v>-3.3681782236432648E-3</v>
      </c>
      <c r="M110" s="181">
        <f t="shared" si="58"/>
        <v>4.0158730158730126E-4</v>
      </c>
      <c r="N110" s="255">
        <f t="shared" si="59"/>
        <v>-2.9665909220559636E-3</v>
      </c>
      <c r="O110" s="100">
        <f t="shared" si="60"/>
        <v>1.0090808447327673</v>
      </c>
      <c r="P110" s="103">
        <f t="shared" si="53"/>
        <v>3.0472222222222221</v>
      </c>
      <c r="Q110" s="160">
        <f t="shared" si="54"/>
        <v>-4.1717394165915382E-4</v>
      </c>
      <c r="R110" s="100">
        <f t="shared" si="61"/>
        <v>-1.2827654724848862E-3</v>
      </c>
    </row>
    <row r="111" spans="1:18">
      <c r="A111" s="142">
        <v>4</v>
      </c>
      <c r="B111" s="183">
        <f t="shared" si="55"/>
        <v>44969</v>
      </c>
      <c r="C111" s="142" t="str">
        <f>VLOOKUP(WEEKDAY(B111),Auxiliar!$A$1:$B$7,2)</f>
        <v>Sunday</v>
      </c>
      <c r="D111" s="252">
        <f t="shared" si="48"/>
        <v>45334</v>
      </c>
      <c r="E111" s="142" t="str">
        <f>VLOOKUP(WEEKDAY(D111),Auxiliar!$A$1:$B$7,2)</f>
        <v>Monday</v>
      </c>
      <c r="F111" s="147">
        <f t="shared" si="49"/>
        <v>44970</v>
      </c>
      <c r="G111" s="147">
        <f t="shared" si="56"/>
        <v>45334</v>
      </c>
      <c r="H111" s="142">
        <f t="shared" si="57"/>
        <v>1461</v>
      </c>
      <c r="I111" s="142">
        <f t="shared" si="50"/>
        <v>364</v>
      </c>
      <c r="J111" s="179">
        <f t="shared" si="51"/>
        <v>4.0583333333333336</v>
      </c>
      <c r="K111" s="253">
        <f>VLOOKUP(H111,'Bootstraping-Linear_Interpol'!$N$7:$U$69,5)</f>
        <v>1.0123536413378431</v>
      </c>
      <c r="L111" s="254">
        <f t="shared" si="52"/>
        <v>-3.0253694747065167E-3</v>
      </c>
      <c r="M111" s="181">
        <f t="shared" si="58"/>
        <v>-1.7619047619047692E-4</v>
      </c>
      <c r="N111" s="255">
        <f t="shared" si="59"/>
        <v>-3.2015599508969936E-3</v>
      </c>
      <c r="O111" s="100">
        <f t="shared" si="60"/>
        <v>1.0130777732248275</v>
      </c>
      <c r="P111" s="103">
        <f t="shared" si="53"/>
        <v>4.0583333333333336</v>
      </c>
      <c r="Q111" s="160">
        <f t="shared" si="54"/>
        <v>-4.1717394165915382E-4</v>
      </c>
      <c r="R111" s="100">
        <f t="shared" si="61"/>
        <v>-1.7151719875792885E-3</v>
      </c>
    </row>
    <row r="112" spans="1:18">
      <c r="A112" s="142">
        <v>5</v>
      </c>
      <c r="B112" s="183">
        <f t="shared" si="55"/>
        <v>45334</v>
      </c>
      <c r="C112" s="142" t="str">
        <f>VLOOKUP(WEEKDAY(B112),Auxiliar!$A$1:$B$7,2)</f>
        <v>Monday</v>
      </c>
      <c r="D112" s="252">
        <f t="shared" si="48"/>
        <v>45700</v>
      </c>
      <c r="E112" s="142" t="str">
        <f>VLOOKUP(WEEKDAY(D112),Auxiliar!$A$1:$B$7,2)</f>
        <v>Wednesday</v>
      </c>
      <c r="F112" s="147">
        <f t="shared" si="49"/>
        <v>45334</v>
      </c>
      <c r="G112" s="147">
        <f t="shared" si="56"/>
        <v>45700</v>
      </c>
      <c r="H112" s="142">
        <f t="shared" si="57"/>
        <v>1827</v>
      </c>
      <c r="I112" s="142">
        <f t="shared" si="50"/>
        <v>366</v>
      </c>
      <c r="J112" s="179">
        <f t="shared" si="51"/>
        <v>5.0750000000000002</v>
      </c>
      <c r="K112" s="253">
        <f>VLOOKUP(H112,'Bootstraping-Linear_Interpol'!$N$7:$U$69,5)</f>
        <v>1.0134263697880397</v>
      </c>
      <c r="L112" s="254">
        <f t="shared" si="52"/>
        <v>-2.6279871579032231E-3</v>
      </c>
      <c r="M112" s="181">
        <f t="shared" si="58"/>
        <v>-7.571428571428577E-4</v>
      </c>
      <c r="N112" s="255">
        <f t="shared" si="59"/>
        <v>-3.3851300150460808E-3</v>
      </c>
      <c r="O112" s="100">
        <f t="shared" si="60"/>
        <v>1.0173279517277447</v>
      </c>
      <c r="P112" s="103">
        <f t="shared" si="53"/>
        <v>5.0750000000000002</v>
      </c>
      <c r="Q112" s="160">
        <f t="shared" si="54"/>
        <v>-4.1717394165915382E-4</v>
      </c>
      <c r="R112" s="100">
        <f t="shared" si="61"/>
        <v>-2.1538437612801551E-3</v>
      </c>
    </row>
    <row r="113" spans="1:18">
      <c r="A113" s="142">
        <v>6</v>
      </c>
      <c r="B113" s="183">
        <f t="shared" si="55"/>
        <v>45700</v>
      </c>
      <c r="C113" s="142" t="str">
        <f>VLOOKUP(WEEKDAY(B113),Auxiliar!$A$1:$B$7,2)</f>
        <v>Wednesday</v>
      </c>
      <c r="D113" s="252">
        <f t="shared" si="48"/>
        <v>46065</v>
      </c>
      <c r="E113" s="142" t="str">
        <f>VLOOKUP(WEEKDAY(D113),Auxiliar!$A$1:$B$7,2)</f>
        <v>Thursday</v>
      </c>
      <c r="F113" s="147">
        <f t="shared" si="49"/>
        <v>45700</v>
      </c>
      <c r="G113" s="147">
        <f t="shared" si="56"/>
        <v>46065</v>
      </c>
      <c r="H113" s="142">
        <f t="shared" si="57"/>
        <v>2192</v>
      </c>
      <c r="I113" s="142">
        <f t="shared" si="50"/>
        <v>365</v>
      </c>
      <c r="J113" s="179">
        <f t="shared" si="51"/>
        <v>6.0888888888888886</v>
      </c>
      <c r="K113" s="253">
        <f>VLOOKUP(H113,'Bootstraping-Linear_Interpol'!$N$7:$U$69,5)</f>
        <v>1.0133599501332615</v>
      </c>
      <c r="L113" s="254">
        <f t="shared" si="52"/>
        <v>-2.1796247601355728E-3</v>
      </c>
      <c r="M113" s="181">
        <f t="shared" si="58"/>
        <v>-1.336507936507937E-3</v>
      </c>
      <c r="N113" s="255">
        <f t="shared" si="59"/>
        <v>-3.5161326966435097E-3</v>
      </c>
      <c r="O113" s="100">
        <f t="shared" si="60"/>
        <v>1.021640165578181</v>
      </c>
      <c r="P113" s="103">
        <f t="shared" si="53"/>
        <v>6.0888888888888886</v>
      </c>
      <c r="Q113" s="160">
        <f t="shared" si="54"/>
        <v>-4.1717394165915382E-4</v>
      </c>
      <c r="R113" s="100">
        <f t="shared" si="61"/>
        <v>-2.5950945205299451E-3</v>
      </c>
    </row>
    <row r="114" spans="1:18">
      <c r="A114" s="142">
        <v>7</v>
      </c>
      <c r="B114" s="183">
        <f t="shared" si="55"/>
        <v>46065</v>
      </c>
      <c r="C114" s="142" t="str">
        <f>VLOOKUP(WEEKDAY(B114),Auxiliar!$A$1:$B$7,2)</f>
        <v>Thursday</v>
      </c>
      <c r="D114" s="252">
        <f t="shared" si="48"/>
        <v>46430</v>
      </c>
      <c r="E114" s="142" t="str">
        <f>VLOOKUP(WEEKDAY(D114),Auxiliar!$A$1:$B$7,2)</f>
        <v>Friday</v>
      </c>
      <c r="F114" s="147">
        <f t="shared" si="49"/>
        <v>46065</v>
      </c>
      <c r="G114" s="147">
        <f t="shared" si="56"/>
        <v>46430</v>
      </c>
      <c r="H114" s="142">
        <f t="shared" si="57"/>
        <v>2557</v>
      </c>
      <c r="I114" s="142">
        <f t="shared" si="50"/>
        <v>365</v>
      </c>
      <c r="J114" s="179">
        <f t="shared" si="51"/>
        <v>7.1027777777777779</v>
      </c>
      <c r="K114" s="253">
        <f>VLOOKUP(H114,'Bootstraping-Linear_Interpol'!$N$7:$U$69,5)</f>
        <v>1.0119976269221789</v>
      </c>
      <c r="L114" s="254">
        <f t="shared" si="52"/>
        <v>-1.6790932079107396E-3</v>
      </c>
      <c r="M114" s="181">
        <f t="shared" si="58"/>
        <v>-1.9158730158730167E-3</v>
      </c>
      <c r="N114" s="255">
        <f t="shared" si="59"/>
        <v>-3.5949662237837561E-3</v>
      </c>
      <c r="O114" s="100">
        <f t="shared" si="60"/>
        <v>1.0258630375859539</v>
      </c>
      <c r="P114" s="103">
        <f t="shared" si="53"/>
        <v>7.1027777777777779</v>
      </c>
      <c r="Q114" s="160">
        <f t="shared" si="54"/>
        <v>-4.1717394165915382E-4</v>
      </c>
      <c r="R114" s="100">
        <f t="shared" si="61"/>
        <v>-3.0397284086637944E-3</v>
      </c>
    </row>
    <row r="115" spans="1:18">
      <c r="A115" s="142"/>
      <c r="B115" s="183"/>
      <c r="C115" s="142"/>
      <c r="D115" s="183"/>
      <c r="E115" s="142"/>
      <c r="F115" s="147"/>
      <c r="G115" s="147"/>
      <c r="H115" s="142"/>
      <c r="I115" s="142"/>
      <c r="J115" s="179"/>
      <c r="L115" s="180"/>
      <c r="M115" s="181"/>
      <c r="N115" s="182"/>
      <c r="R115" s="256">
        <f>SUM(R108:R114)</f>
        <v>-1.2065280210842683E-2</v>
      </c>
    </row>
    <row r="116" spans="1:18" ht="15" thickBot="1">
      <c r="A116" s="177" t="s">
        <v>476</v>
      </c>
      <c r="R116" s="100"/>
    </row>
    <row r="117" spans="1:18" ht="15" thickBot="1">
      <c r="A117" s="323" t="s">
        <v>496</v>
      </c>
      <c r="B117" s="323"/>
      <c r="C117" s="323"/>
      <c r="D117" s="323"/>
      <c r="E117" s="323"/>
      <c r="F117" s="323"/>
      <c r="G117" s="323"/>
      <c r="H117" s="323"/>
      <c r="I117" s="323"/>
      <c r="J117" s="323"/>
      <c r="K117" s="323"/>
      <c r="L117" s="323"/>
      <c r="M117" s="323"/>
      <c r="N117" s="323"/>
    </row>
    <row r="118" spans="1:18" ht="15" thickBot="1">
      <c r="A118" s="99" t="s">
        <v>323</v>
      </c>
      <c r="B118" s="99" t="s">
        <v>298</v>
      </c>
      <c r="C118" s="99" t="s">
        <v>32</v>
      </c>
      <c r="D118" s="99" t="s">
        <v>300</v>
      </c>
      <c r="E118" s="99" t="s">
        <v>32</v>
      </c>
      <c r="F118" s="99" t="s">
        <v>299</v>
      </c>
      <c r="G118" s="99" t="s">
        <v>301</v>
      </c>
      <c r="H118" s="99" t="s">
        <v>33</v>
      </c>
      <c r="I118" s="99" t="s">
        <v>395</v>
      </c>
      <c r="J118" s="99" t="s">
        <v>303</v>
      </c>
      <c r="K118" s="99" t="s">
        <v>319</v>
      </c>
      <c r="L118" s="99" t="s">
        <v>337</v>
      </c>
      <c r="M118" s="99" t="s">
        <v>457</v>
      </c>
      <c r="N118" s="99" t="s">
        <v>469</v>
      </c>
      <c r="O118" s="257" t="s">
        <v>481</v>
      </c>
      <c r="P118" s="257" t="s">
        <v>302</v>
      </c>
      <c r="Q118" s="257" t="s">
        <v>396</v>
      </c>
      <c r="R118" s="257" t="s">
        <v>482</v>
      </c>
    </row>
    <row r="119" spans="1:18">
      <c r="A119" s="142">
        <v>1</v>
      </c>
      <c r="B119" s="178">
        <f>B87</f>
        <v>43873</v>
      </c>
      <c r="C119" s="142" t="str">
        <f>VLOOKUP(WEEKDAY(B119),Auxiliar!$A$1:$B$7,2)</f>
        <v>Wednesday</v>
      </c>
      <c r="D119" s="252">
        <f>EDATE(B119,6)</f>
        <v>44055</v>
      </c>
      <c r="E119" s="142" t="str">
        <f>VLOOKUP(WEEKDAY(D119),Auxiliar!$A$1:$B$7,2)</f>
        <v>Wednesday</v>
      </c>
      <c r="F119" s="147">
        <f t="shared" ref="F119:F132" si="62">IF(C119="Saturday",B119+2,IF(C119="Sunday",B119+1,B119))</f>
        <v>43873</v>
      </c>
      <c r="G119" s="147">
        <f>IF(E119="Saturday",D119+2,IF(E119="Sunday",D119+1,D119))</f>
        <v>44055</v>
      </c>
      <c r="H119" s="142">
        <f>G119-F119</f>
        <v>182</v>
      </c>
      <c r="I119" s="142">
        <f>G119-F119</f>
        <v>182</v>
      </c>
      <c r="J119" s="179">
        <f>H119/360</f>
        <v>0.50555555555555554</v>
      </c>
      <c r="K119" s="253">
        <f>K87</f>
        <v>1.002625653781553</v>
      </c>
      <c r="L119" s="254">
        <f>-LN(K119)/J119</f>
        <v>-5.1867944992257213E-3</v>
      </c>
      <c r="M119" s="181">
        <f>IF($B$104="Shift",$D$105+$F$105*(H119/360),0)</f>
        <v>1.8539682539682537E-3</v>
      </c>
      <c r="N119" s="255">
        <f t="shared" ref="N119:N132" si="63">L119+M119</f>
        <v>-3.3328262452574677E-3</v>
      </c>
      <c r="O119" s="103">
        <f>EXP(-N119*J119)</f>
        <v>1.0016863491141461</v>
      </c>
      <c r="P119" s="103">
        <f>I119/360</f>
        <v>0.50555555555555554</v>
      </c>
      <c r="Q119" s="100">
        <f>(1/O119-1)/P119</f>
        <v>-3.3300200340644162E-3</v>
      </c>
      <c r="R119" s="100">
        <f>O119*P119*Q119</f>
        <v>-1.6863491141461357E-3</v>
      </c>
    </row>
    <row r="120" spans="1:18">
      <c r="A120" s="142">
        <v>2</v>
      </c>
      <c r="B120" s="183">
        <f>D119</f>
        <v>44055</v>
      </c>
      <c r="C120" s="142" t="str">
        <f>VLOOKUP(WEEKDAY(B120),Auxiliar!$A$1:$B$7,2)</f>
        <v>Wednesday</v>
      </c>
      <c r="D120" s="183">
        <f>EDATE(B120,6)</f>
        <v>44239</v>
      </c>
      <c r="E120" s="142" t="str">
        <f>VLOOKUP(WEEKDAY(D120),Auxiliar!$A$1:$B$7,2)</f>
        <v>Friday</v>
      </c>
      <c r="F120" s="147">
        <f t="shared" si="62"/>
        <v>44055</v>
      </c>
      <c r="G120" s="147">
        <f t="shared" ref="G120:G132" si="64">IF(E120="Saturday",D120+2,IF(E120="Sunday",D120+1,D120))</f>
        <v>44239</v>
      </c>
      <c r="H120" s="142">
        <f>H119+(G120-F120)</f>
        <v>366</v>
      </c>
      <c r="I120" s="142">
        <f>G120-F120</f>
        <v>184</v>
      </c>
      <c r="J120" s="179">
        <f>H120/360</f>
        <v>1.0166666666666666</v>
      </c>
      <c r="K120" s="253">
        <f t="shared" ref="K120:K131" si="65">K88</f>
        <v>1.0029493816043955</v>
      </c>
      <c r="L120" s="254">
        <f t="shared" ref="L120:L132" si="66">-LN(K120)/J120</f>
        <v>-2.8967613557471096E-3</v>
      </c>
      <c r="M120" s="181">
        <f t="shared" ref="M120:M132" si="67">IF($B$104="Shift",$D$105+$F$105*(H120/360),0)</f>
        <v>1.5619047619047615E-3</v>
      </c>
      <c r="N120" s="255">
        <f t="shared" si="63"/>
        <v>-1.3348565938423481E-3</v>
      </c>
      <c r="O120" s="103">
        <f>EXP(-N120*J120)</f>
        <v>1.0013580254863614</v>
      </c>
      <c r="P120" s="103">
        <f>I120/360</f>
        <v>0.51111111111111107</v>
      </c>
      <c r="Q120" s="100">
        <f>(O119/O120-1)/P120</f>
        <v>6.4150114033258219E-4</v>
      </c>
      <c r="R120" s="100">
        <f t="shared" ref="R120:R132" si="68">O120*P120*Q120</f>
        <v>3.2832362778457172E-4</v>
      </c>
    </row>
    <row r="121" spans="1:18">
      <c r="A121" s="142">
        <v>3</v>
      </c>
      <c r="B121" s="183">
        <f t="shared" ref="B121:B132" si="69">D120</f>
        <v>44239</v>
      </c>
      <c r="C121" s="142" t="str">
        <f>VLOOKUP(WEEKDAY(B121),Auxiliar!$A$1:$B$7,2)</f>
        <v>Friday</v>
      </c>
      <c r="D121" s="183">
        <f t="shared" ref="D121:D132" si="70">EDATE(B121,6)</f>
        <v>44420</v>
      </c>
      <c r="E121" s="142" t="str">
        <f>VLOOKUP(WEEKDAY(D121),Auxiliar!$A$1:$B$7,2)</f>
        <v>Thursday</v>
      </c>
      <c r="F121" s="147">
        <f t="shared" si="62"/>
        <v>44239</v>
      </c>
      <c r="G121" s="147">
        <f t="shared" si="64"/>
        <v>44420</v>
      </c>
      <c r="H121" s="142">
        <f>H120+(G121-F121)</f>
        <v>547</v>
      </c>
      <c r="I121" s="142">
        <f>G121-F121</f>
        <v>181</v>
      </c>
      <c r="J121" s="179">
        <f>H121/360</f>
        <v>1.5194444444444444</v>
      </c>
      <c r="K121" s="253">
        <f t="shared" si="65"/>
        <v>1.0049578930286021</v>
      </c>
      <c r="L121" s="254">
        <f t="shared" si="66"/>
        <v>-3.2549022555051041E-3</v>
      </c>
      <c r="M121" s="181">
        <f t="shared" si="67"/>
        <v>1.2746031746031744E-3</v>
      </c>
      <c r="N121" s="255">
        <f t="shared" si="63"/>
        <v>-1.9802990809019297E-3</v>
      </c>
      <c r="O121" s="103">
        <f t="shared" ref="O121:O132" si="71">EXP(-N121*J121)</f>
        <v>1.0030134858840491</v>
      </c>
      <c r="P121" s="103">
        <f t="shared" ref="P121:P132" si="72">I121/360</f>
        <v>0.50277777777777777</v>
      </c>
      <c r="Q121" s="100">
        <f>(O120/O121-1)/P121</f>
        <v>-3.2827359368836568E-3</v>
      </c>
      <c r="R121" s="100">
        <f t="shared" si="68"/>
        <v>-1.6554603976877318E-3</v>
      </c>
    </row>
    <row r="122" spans="1:18">
      <c r="A122" s="142">
        <v>4</v>
      </c>
      <c r="B122" s="183">
        <f t="shared" si="69"/>
        <v>44420</v>
      </c>
      <c r="C122" s="142" t="str">
        <f>VLOOKUP(WEEKDAY(B122),Auxiliar!$A$1:$B$7,2)</f>
        <v>Thursday</v>
      </c>
      <c r="D122" s="183">
        <f t="shared" si="70"/>
        <v>44604</v>
      </c>
      <c r="E122" s="142" t="str">
        <f>VLOOKUP(WEEKDAY(D122),Auxiliar!$A$1:$B$7,2)</f>
        <v>Saturday</v>
      </c>
      <c r="F122" s="147">
        <f t="shared" si="62"/>
        <v>44420</v>
      </c>
      <c r="G122" s="147">
        <f t="shared" si="64"/>
        <v>44606</v>
      </c>
      <c r="H122" s="142">
        <f t="shared" ref="H122:H132" si="73">H121+(G122-F122)</f>
        <v>733</v>
      </c>
      <c r="I122" s="142">
        <f t="shared" ref="I122:I132" si="74">G122-F122</f>
        <v>186</v>
      </c>
      <c r="J122" s="179">
        <f t="shared" ref="J122:J132" si="75">H122/360</f>
        <v>2.036111111111111</v>
      </c>
      <c r="K122" s="253">
        <f t="shared" si="65"/>
        <v>1.0073760986995521</v>
      </c>
      <c r="L122" s="254">
        <f t="shared" si="66"/>
        <v>-3.609345422164898E-3</v>
      </c>
      <c r="M122" s="181">
        <f t="shared" si="67"/>
        <v>9.7936507936507902E-4</v>
      </c>
      <c r="N122" s="255">
        <f t="shared" si="63"/>
        <v>-2.629980342799819E-3</v>
      </c>
      <c r="O122" s="103">
        <f t="shared" si="71"/>
        <v>1.0053692954740792</v>
      </c>
      <c r="P122" s="103">
        <f t="shared" si="72"/>
        <v>0.51666666666666672</v>
      </c>
      <c r="Q122" s="100">
        <f t="shared" ref="Q122:Q132" si="76">(O121/O122-1)/P122</f>
        <v>-4.5352802050952464E-3</v>
      </c>
      <c r="R122" s="100">
        <f t="shared" si="68"/>
        <v>-2.3558095900299753E-3</v>
      </c>
    </row>
    <row r="123" spans="1:18">
      <c r="A123" s="142">
        <v>5</v>
      </c>
      <c r="B123" s="183">
        <f t="shared" si="69"/>
        <v>44604</v>
      </c>
      <c r="C123" s="142" t="str">
        <f>VLOOKUP(WEEKDAY(B123),Auxiliar!$A$1:$B$7,2)</f>
        <v>Saturday</v>
      </c>
      <c r="D123" s="183">
        <f t="shared" si="70"/>
        <v>44785</v>
      </c>
      <c r="E123" s="142" t="str">
        <f>VLOOKUP(WEEKDAY(D123),Auxiliar!$A$1:$B$7,2)</f>
        <v>Friday</v>
      </c>
      <c r="F123" s="147">
        <f t="shared" si="62"/>
        <v>44606</v>
      </c>
      <c r="G123" s="147">
        <f t="shared" si="64"/>
        <v>44785</v>
      </c>
      <c r="H123" s="142">
        <f t="shared" si="73"/>
        <v>912</v>
      </c>
      <c r="I123" s="142">
        <f t="shared" si="74"/>
        <v>179</v>
      </c>
      <c r="J123" s="179">
        <f t="shared" si="75"/>
        <v>2.5333333333333332</v>
      </c>
      <c r="K123" s="253">
        <f t="shared" si="65"/>
        <v>1.0088897868252849</v>
      </c>
      <c r="L123" s="254">
        <f t="shared" si="66"/>
        <v>-3.4936205138086374E-3</v>
      </c>
      <c r="M123" s="181">
        <f t="shared" si="67"/>
        <v>6.952380952380949E-4</v>
      </c>
      <c r="N123" s="255">
        <f t="shared" si="63"/>
        <v>-2.7983824185705422E-3</v>
      </c>
      <c r="O123" s="103">
        <f t="shared" si="71"/>
        <v>1.0071144235764</v>
      </c>
      <c r="P123" s="103">
        <f t="shared" si="72"/>
        <v>0.49722222222222223</v>
      </c>
      <c r="Q123" s="100">
        <f t="shared" si="76"/>
        <v>-3.4849613514549207E-3</v>
      </c>
      <c r="R123" s="100">
        <f t="shared" si="68"/>
        <v>-1.7451281023208977E-3</v>
      </c>
    </row>
    <row r="124" spans="1:18">
      <c r="A124" s="142">
        <v>6</v>
      </c>
      <c r="B124" s="183">
        <f t="shared" si="69"/>
        <v>44785</v>
      </c>
      <c r="C124" s="142" t="str">
        <f>VLOOKUP(WEEKDAY(B124),Auxiliar!$A$1:$B$7,2)</f>
        <v>Friday</v>
      </c>
      <c r="D124" s="183">
        <f t="shared" si="70"/>
        <v>44969</v>
      </c>
      <c r="E124" s="142" t="str">
        <f>VLOOKUP(WEEKDAY(D124),Auxiliar!$A$1:$B$7,2)</f>
        <v>Sunday</v>
      </c>
      <c r="F124" s="147">
        <f t="shared" si="62"/>
        <v>44785</v>
      </c>
      <c r="G124" s="147">
        <f t="shared" si="64"/>
        <v>44970</v>
      </c>
      <c r="H124" s="142">
        <f t="shared" si="73"/>
        <v>1097</v>
      </c>
      <c r="I124" s="142">
        <f t="shared" si="74"/>
        <v>185</v>
      </c>
      <c r="J124" s="179">
        <f t="shared" si="75"/>
        <v>3.0472222222222221</v>
      </c>
      <c r="K124" s="253">
        <f t="shared" si="65"/>
        <v>1.0103164388058028</v>
      </c>
      <c r="L124" s="254">
        <f t="shared" si="66"/>
        <v>-3.3681782236432648E-3</v>
      </c>
      <c r="M124" s="181">
        <f t="shared" si="67"/>
        <v>4.0158730158730126E-4</v>
      </c>
      <c r="N124" s="255">
        <f t="shared" si="63"/>
        <v>-2.9665909220559636E-3</v>
      </c>
      <c r="O124" s="103">
        <f t="shared" si="71"/>
        <v>1.0090808447327673</v>
      </c>
      <c r="P124" s="103">
        <f t="shared" si="72"/>
        <v>0.51388888888888884</v>
      </c>
      <c r="Q124" s="100">
        <f t="shared" si="76"/>
        <v>-3.792113681702622E-3</v>
      </c>
      <c r="R124" s="100">
        <f t="shared" si="68"/>
        <v>-1.966421156367238E-3</v>
      </c>
    </row>
    <row r="125" spans="1:18">
      <c r="A125" s="142">
        <v>7</v>
      </c>
      <c r="B125" s="183">
        <f t="shared" si="69"/>
        <v>44969</v>
      </c>
      <c r="C125" s="142" t="str">
        <f>VLOOKUP(WEEKDAY(B125),Auxiliar!$A$1:$B$7,2)</f>
        <v>Sunday</v>
      </c>
      <c r="D125" s="183">
        <f t="shared" si="70"/>
        <v>45150</v>
      </c>
      <c r="E125" s="142" t="str">
        <f>VLOOKUP(WEEKDAY(D125),Auxiliar!$A$1:$B$7,2)</f>
        <v>Saturday</v>
      </c>
      <c r="F125" s="147">
        <f t="shared" si="62"/>
        <v>44970</v>
      </c>
      <c r="G125" s="147">
        <f t="shared" si="64"/>
        <v>45152</v>
      </c>
      <c r="H125" s="142">
        <f t="shared" si="73"/>
        <v>1279</v>
      </c>
      <c r="I125" s="142">
        <f t="shared" si="74"/>
        <v>182</v>
      </c>
      <c r="J125" s="179">
        <f t="shared" si="75"/>
        <v>3.5527777777777776</v>
      </c>
      <c r="K125" s="253">
        <f t="shared" si="65"/>
        <v>1.0114281748724145</v>
      </c>
      <c r="L125" s="254">
        <f t="shared" si="66"/>
        <v>-3.1984456348546314E-3</v>
      </c>
      <c r="M125" s="181">
        <f t="shared" si="67"/>
        <v>1.1269841269841239E-4</v>
      </c>
      <c r="N125" s="255">
        <f t="shared" si="63"/>
        <v>-3.085747222156219E-3</v>
      </c>
      <c r="O125" s="103">
        <f t="shared" si="71"/>
        <v>1.0110232877639116</v>
      </c>
      <c r="P125" s="103">
        <f t="shared" si="72"/>
        <v>0.50555555555555554</v>
      </c>
      <c r="Q125" s="100">
        <f t="shared" si="76"/>
        <v>-3.8003031712128292E-3</v>
      </c>
      <c r="R125" s="100">
        <f t="shared" si="68"/>
        <v>-1.9424430311443803E-3</v>
      </c>
    </row>
    <row r="126" spans="1:18">
      <c r="A126" s="142">
        <v>8</v>
      </c>
      <c r="B126" s="183">
        <f t="shared" si="69"/>
        <v>45150</v>
      </c>
      <c r="C126" s="142" t="str">
        <f>VLOOKUP(WEEKDAY(B126),Auxiliar!$A$1:$B$7,2)</f>
        <v>Saturday</v>
      </c>
      <c r="D126" s="183">
        <f t="shared" si="70"/>
        <v>45334</v>
      </c>
      <c r="E126" s="142" t="str">
        <f>VLOOKUP(WEEKDAY(D126),Auxiliar!$A$1:$B$7,2)</f>
        <v>Monday</v>
      </c>
      <c r="F126" s="147">
        <f t="shared" si="62"/>
        <v>45152</v>
      </c>
      <c r="G126" s="147">
        <f t="shared" si="64"/>
        <v>45334</v>
      </c>
      <c r="H126" s="142">
        <f t="shared" si="73"/>
        <v>1461</v>
      </c>
      <c r="I126" s="142">
        <f t="shared" si="74"/>
        <v>182</v>
      </c>
      <c r="J126" s="179">
        <f t="shared" si="75"/>
        <v>4.0583333333333336</v>
      </c>
      <c r="K126" s="253">
        <f t="shared" si="65"/>
        <v>1.0123536413378431</v>
      </c>
      <c r="L126" s="254">
        <f t="shared" si="66"/>
        <v>-3.0253694747065167E-3</v>
      </c>
      <c r="M126" s="181">
        <f t="shared" si="67"/>
        <v>-1.7619047619047692E-4</v>
      </c>
      <c r="N126" s="255">
        <f t="shared" si="63"/>
        <v>-3.2015599508969936E-3</v>
      </c>
      <c r="O126" s="103">
        <f t="shared" si="71"/>
        <v>1.0130777732248275</v>
      </c>
      <c r="P126" s="103">
        <f t="shared" si="72"/>
        <v>0.50555555555555554</v>
      </c>
      <c r="Q126" s="100">
        <f t="shared" si="76"/>
        <v>-4.0113577680046279E-3</v>
      </c>
      <c r="R126" s="100">
        <f t="shared" si="68"/>
        <v>-2.0544854609158892E-3</v>
      </c>
    </row>
    <row r="127" spans="1:18">
      <c r="A127" s="142">
        <v>9</v>
      </c>
      <c r="B127" s="183">
        <f t="shared" si="69"/>
        <v>45334</v>
      </c>
      <c r="C127" s="142" t="str">
        <f>VLOOKUP(WEEKDAY(B127),Auxiliar!$A$1:$B$7,2)</f>
        <v>Monday</v>
      </c>
      <c r="D127" s="183">
        <f t="shared" si="70"/>
        <v>45516</v>
      </c>
      <c r="E127" s="142" t="str">
        <f>VLOOKUP(WEEKDAY(D127),Auxiliar!$A$1:$B$7,2)</f>
        <v>Monday</v>
      </c>
      <c r="F127" s="147">
        <f t="shared" si="62"/>
        <v>45334</v>
      </c>
      <c r="G127" s="147">
        <f t="shared" si="64"/>
        <v>45516</v>
      </c>
      <c r="H127" s="142">
        <f t="shared" si="73"/>
        <v>1643</v>
      </c>
      <c r="I127" s="142">
        <f t="shared" si="74"/>
        <v>182</v>
      </c>
      <c r="J127" s="179">
        <f t="shared" si="75"/>
        <v>4.5638888888888891</v>
      </c>
      <c r="K127" s="253">
        <f t="shared" si="65"/>
        <v>1.0129984030329278</v>
      </c>
      <c r="L127" s="254">
        <f t="shared" si="66"/>
        <v>-2.8297465400222823E-3</v>
      </c>
      <c r="M127" s="181">
        <f t="shared" si="67"/>
        <v>-4.650793650793658E-4</v>
      </c>
      <c r="N127" s="255">
        <f t="shared" si="63"/>
        <v>-3.2948259051016481E-3</v>
      </c>
      <c r="O127" s="103">
        <f t="shared" si="71"/>
        <v>1.0151508471562289</v>
      </c>
      <c r="P127" s="103">
        <f t="shared" si="72"/>
        <v>0.50555555555555554</v>
      </c>
      <c r="Q127" s="100">
        <f t="shared" si="76"/>
        <v>-4.0393856832840686E-3</v>
      </c>
      <c r="R127" s="100">
        <f t="shared" si="68"/>
        <v>-2.0730739314014854E-3</v>
      </c>
    </row>
    <row r="128" spans="1:18">
      <c r="A128" s="142">
        <v>10</v>
      </c>
      <c r="B128" s="183">
        <f t="shared" si="69"/>
        <v>45516</v>
      </c>
      <c r="C128" s="142" t="str">
        <f>VLOOKUP(WEEKDAY(B128),Auxiliar!$A$1:$B$7,2)</f>
        <v>Monday</v>
      </c>
      <c r="D128" s="183">
        <f t="shared" si="70"/>
        <v>45700</v>
      </c>
      <c r="E128" s="142" t="str">
        <f>VLOOKUP(WEEKDAY(D128),Auxiliar!$A$1:$B$7,2)</f>
        <v>Wednesday</v>
      </c>
      <c r="F128" s="147">
        <f t="shared" si="62"/>
        <v>45516</v>
      </c>
      <c r="G128" s="147">
        <f t="shared" si="64"/>
        <v>45700</v>
      </c>
      <c r="H128" s="142">
        <f t="shared" si="73"/>
        <v>1827</v>
      </c>
      <c r="I128" s="142">
        <f t="shared" si="74"/>
        <v>184</v>
      </c>
      <c r="J128" s="179">
        <f t="shared" si="75"/>
        <v>5.0750000000000002</v>
      </c>
      <c r="K128" s="253">
        <f t="shared" si="65"/>
        <v>1.0134263697880397</v>
      </c>
      <c r="L128" s="254">
        <f t="shared" si="66"/>
        <v>-2.6279871579032231E-3</v>
      </c>
      <c r="M128" s="181">
        <f t="shared" si="67"/>
        <v>-7.571428571428577E-4</v>
      </c>
      <c r="N128" s="255">
        <f t="shared" si="63"/>
        <v>-3.3851300150460808E-3</v>
      </c>
      <c r="O128" s="103">
        <f t="shared" si="71"/>
        <v>1.0173279517277447</v>
      </c>
      <c r="P128" s="103">
        <f t="shared" si="72"/>
        <v>0.51111111111111107</v>
      </c>
      <c r="Q128" s="100">
        <f t="shared" si="76"/>
        <v>-4.1870002837303957E-3</v>
      </c>
      <c r="R128" s="100">
        <f t="shared" si="68"/>
        <v>-2.1771045715158082E-3</v>
      </c>
    </row>
    <row r="129" spans="1:18">
      <c r="A129" s="142">
        <v>11</v>
      </c>
      <c r="B129" s="183">
        <f t="shared" si="69"/>
        <v>45700</v>
      </c>
      <c r="C129" s="142" t="str">
        <f>VLOOKUP(WEEKDAY(B129),Auxiliar!$A$1:$B$7,2)</f>
        <v>Wednesday</v>
      </c>
      <c r="D129" s="183">
        <f t="shared" si="70"/>
        <v>45881</v>
      </c>
      <c r="E129" s="142" t="str">
        <f>VLOOKUP(WEEKDAY(D129),Auxiliar!$A$1:$B$7,2)</f>
        <v>Tuesday</v>
      </c>
      <c r="F129" s="147">
        <f t="shared" si="62"/>
        <v>45700</v>
      </c>
      <c r="G129" s="147">
        <f t="shared" si="64"/>
        <v>45881</v>
      </c>
      <c r="H129" s="142">
        <f t="shared" si="73"/>
        <v>2008</v>
      </c>
      <c r="I129" s="142">
        <f t="shared" si="74"/>
        <v>181</v>
      </c>
      <c r="J129" s="179">
        <f t="shared" si="75"/>
        <v>5.5777777777777775</v>
      </c>
      <c r="K129" s="253">
        <f t="shared" si="65"/>
        <v>1.0135216491518062</v>
      </c>
      <c r="L129" s="254">
        <f t="shared" si="66"/>
        <v>-2.4079567164810309E-3</v>
      </c>
      <c r="M129" s="181">
        <f t="shared" si="67"/>
        <v>-1.0444444444444451E-3</v>
      </c>
      <c r="N129" s="255">
        <f t="shared" si="63"/>
        <v>-3.452401160925476E-3</v>
      </c>
      <c r="O129" s="103">
        <f t="shared" si="71"/>
        <v>1.0194433331190667</v>
      </c>
      <c r="P129" s="103">
        <f t="shared" si="72"/>
        <v>0.50277777777777777</v>
      </c>
      <c r="Q129" s="100">
        <f t="shared" si="76"/>
        <v>-4.1271429867087784E-3</v>
      </c>
      <c r="R129" s="100">
        <f t="shared" si="68"/>
        <v>-2.1153813913219921E-3</v>
      </c>
    </row>
    <row r="130" spans="1:18">
      <c r="A130" s="142">
        <v>12</v>
      </c>
      <c r="B130" s="183">
        <f t="shared" si="69"/>
        <v>45881</v>
      </c>
      <c r="C130" s="142" t="str">
        <f>VLOOKUP(WEEKDAY(B130),Auxiliar!$A$1:$B$7,2)</f>
        <v>Tuesday</v>
      </c>
      <c r="D130" s="183">
        <f t="shared" si="70"/>
        <v>46065</v>
      </c>
      <c r="E130" s="142" t="str">
        <f>VLOOKUP(WEEKDAY(D130),Auxiliar!$A$1:$B$7,2)</f>
        <v>Thursday</v>
      </c>
      <c r="F130" s="147">
        <f t="shared" si="62"/>
        <v>45881</v>
      </c>
      <c r="G130" s="147">
        <f t="shared" si="64"/>
        <v>46065</v>
      </c>
      <c r="H130" s="142">
        <f t="shared" si="73"/>
        <v>2192</v>
      </c>
      <c r="I130" s="142">
        <f t="shared" si="74"/>
        <v>184</v>
      </c>
      <c r="J130" s="179">
        <f t="shared" si="75"/>
        <v>6.0888888888888886</v>
      </c>
      <c r="K130" s="253">
        <f t="shared" si="65"/>
        <v>1.0133599501332615</v>
      </c>
      <c r="L130" s="254">
        <f t="shared" si="66"/>
        <v>-2.1796247601355728E-3</v>
      </c>
      <c r="M130" s="181">
        <f t="shared" si="67"/>
        <v>-1.336507936507937E-3</v>
      </c>
      <c r="N130" s="255">
        <f t="shared" si="63"/>
        <v>-3.5161326966435097E-3</v>
      </c>
      <c r="O130" s="103">
        <f t="shared" si="71"/>
        <v>1.021640165578181</v>
      </c>
      <c r="P130" s="103">
        <f t="shared" si="72"/>
        <v>0.51111111111111107</v>
      </c>
      <c r="Q130" s="100">
        <f t="shared" si="76"/>
        <v>-4.2071079508235066E-3</v>
      </c>
      <c r="R130" s="100">
        <f t="shared" si="68"/>
        <v>-2.196832459114356E-3</v>
      </c>
    </row>
    <row r="131" spans="1:18">
      <c r="A131" s="142">
        <v>13</v>
      </c>
      <c r="B131" s="183">
        <f t="shared" si="69"/>
        <v>46065</v>
      </c>
      <c r="C131" s="142" t="str">
        <f>VLOOKUP(WEEKDAY(B131),Auxiliar!$A$1:$B$7,2)</f>
        <v>Thursday</v>
      </c>
      <c r="D131" s="183">
        <f t="shared" si="70"/>
        <v>46246</v>
      </c>
      <c r="E131" s="142" t="str">
        <f>VLOOKUP(WEEKDAY(D131),Auxiliar!$A$1:$B$7,2)</f>
        <v>Wednesday</v>
      </c>
      <c r="F131" s="147">
        <f t="shared" si="62"/>
        <v>46065</v>
      </c>
      <c r="G131" s="147">
        <f t="shared" si="64"/>
        <v>46246</v>
      </c>
      <c r="H131" s="142">
        <f t="shared" si="73"/>
        <v>2373</v>
      </c>
      <c r="I131" s="142">
        <f t="shared" si="74"/>
        <v>181</v>
      </c>
      <c r="J131" s="179">
        <f t="shared" si="75"/>
        <v>6.5916666666666668</v>
      </c>
      <c r="K131" s="253">
        <f t="shared" si="65"/>
        <v>1.0128305336924632</v>
      </c>
      <c r="L131" s="254">
        <f t="shared" si="66"/>
        <v>-1.9340965492724504E-3</v>
      </c>
      <c r="M131" s="181">
        <f t="shared" si="67"/>
        <v>-1.6238095238095243E-3</v>
      </c>
      <c r="N131" s="255">
        <f t="shared" si="63"/>
        <v>-3.5579060730819749E-3</v>
      </c>
      <c r="O131" s="103">
        <f t="shared" si="71"/>
        <v>1.023729704029759</v>
      </c>
      <c r="P131" s="103">
        <f t="shared" si="72"/>
        <v>0.50277777777777777</v>
      </c>
      <c r="Q131" s="100">
        <f>(O130/O131-1)/P131</f>
        <v>-4.0596536997288121E-3</v>
      </c>
      <c r="R131" s="100">
        <f>O131*P131*Q131</f>
        <v>-2.0895384515780316E-3</v>
      </c>
    </row>
    <row r="132" spans="1:18">
      <c r="A132" s="142">
        <v>14</v>
      </c>
      <c r="B132" s="183">
        <f t="shared" si="69"/>
        <v>46246</v>
      </c>
      <c r="C132" s="142" t="str">
        <f>VLOOKUP(WEEKDAY(B132),Auxiliar!$A$1:$B$7,2)</f>
        <v>Wednesday</v>
      </c>
      <c r="D132" s="183">
        <f t="shared" si="70"/>
        <v>46430</v>
      </c>
      <c r="E132" s="142" t="str">
        <f>VLOOKUP(WEEKDAY(D132),Auxiliar!$A$1:$B$7,2)</f>
        <v>Friday</v>
      </c>
      <c r="F132" s="147">
        <f t="shared" si="62"/>
        <v>46246</v>
      </c>
      <c r="G132" s="147">
        <f t="shared" si="64"/>
        <v>46430</v>
      </c>
      <c r="H132" s="142">
        <f t="shared" si="73"/>
        <v>2557</v>
      </c>
      <c r="I132" s="142">
        <f t="shared" si="74"/>
        <v>184</v>
      </c>
      <c r="J132" s="179">
        <f t="shared" si="75"/>
        <v>7.1027777777777779</v>
      </c>
      <c r="K132" s="253">
        <f>K100</f>
        <v>1.0119976269221789</v>
      </c>
      <c r="L132" s="254">
        <f t="shared" si="66"/>
        <v>-1.6790932079107396E-3</v>
      </c>
      <c r="M132" s="181">
        <f t="shared" si="67"/>
        <v>-1.9158730158730167E-3</v>
      </c>
      <c r="N132" s="255">
        <f t="shared" si="63"/>
        <v>-3.5949662237837561E-3</v>
      </c>
      <c r="O132" s="103">
        <f t="shared" si="71"/>
        <v>1.0258630375859539</v>
      </c>
      <c r="P132" s="103">
        <f t="shared" si="72"/>
        <v>0.51111111111111107</v>
      </c>
      <c r="Q132" s="100">
        <f t="shared" si="76"/>
        <v>-4.0686849282859424E-3</v>
      </c>
      <c r="R132" s="100">
        <f t="shared" si="68"/>
        <v>-2.1333335561948205E-3</v>
      </c>
    </row>
    <row r="133" spans="1:18">
      <c r="R133" s="256">
        <f>SUM(R119:R132)</f>
        <v>-2.5863037585954169E-2</v>
      </c>
    </row>
    <row r="134" spans="1:18" ht="15" thickBot="1"/>
    <row r="135" spans="1:18" ht="15" thickBot="1">
      <c r="A135" s="314" t="s">
        <v>358</v>
      </c>
      <c r="B135" s="314"/>
      <c r="C135" s="314"/>
      <c r="D135" s="314"/>
      <c r="E135" s="314"/>
    </row>
    <row r="136" spans="1:18" ht="17.5" thickBot="1">
      <c r="A136" s="99" t="s">
        <v>326</v>
      </c>
      <c r="B136" s="99" t="s">
        <v>319</v>
      </c>
      <c r="C136" s="99" t="s">
        <v>325</v>
      </c>
      <c r="D136" s="99" t="s">
        <v>545</v>
      </c>
      <c r="E136" s="99" t="s">
        <v>546</v>
      </c>
    </row>
    <row r="137" spans="1:18">
      <c r="A137" s="192">
        <f>'Bootstraping-Linear_Interpol'!N9</f>
        <v>90</v>
      </c>
      <c r="B137" s="104">
        <f>VLOOKUP(A137,'Bootstraping-Linear_Interpol'!$N$7:$R$40,5)</f>
        <v>1.0012966791995634</v>
      </c>
    </row>
    <row r="138" spans="1:18">
      <c r="A138" s="193">
        <f>'Bootstraping-Linear_Interpol'!N10</f>
        <v>182</v>
      </c>
      <c r="B138" s="108">
        <f>VLOOKUP(A138,'Bootstraping-Linear_Interpol'!$N$7:$R$40,5)</f>
        <v>1.002625653781553</v>
      </c>
      <c r="C138" s="194">
        <f>(B138/B137)^(1/(A138-A137))</f>
        <v>1.0000144172075953</v>
      </c>
      <c r="D138" s="195">
        <f>H28</f>
        <v>182</v>
      </c>
      <c r="E138" s="108">
        <f>B137*C138^(D138-A137)</f>
        <v>1.0026256537815617</v>
      </c>
    </row>
    <row r="139" spans="1:18">
      <c r="A139" s="192">
        <f>'Bootstraping-Linear_Interpol'!N10</f>
        <v>182</v>
      </c>
      <c r="B139" s="104">
        <f>VLOOKUP(A139,'Bootstraping-Linear_Interpol'!$N$7:$R$40,5)</f>
        <v>1.002625653781553</v>
      </c>
      <c r="C139" s="115"/>
      <c r="D139" s="196"/>
      <c r="E139" s="104"/>
    </row>
    <row r="140" spans="1:18">
      <c r="A140" s="193">
        <f>'Bootstraping-Linear_Interpol'!N11</f>
        <v>366</v>
      </c>
      <c r="B140" s="108">
        <f>VLOOKUP(A140,'Bootstraping-Linear_Interpol'!$N$7:$R$40,5)</f>
        <v>1.0029493816043955</v>
      </c>
      <c r="C140" s="194">
        <f>(B140/B139)^(1/(A140-A139))</f>
        <v>1.0000017545011972</v>
      </c>
      <c r="D140" s="195">
        <f>H29</f>
        <v>366</v>
      </c>
      <c r="E140" s="108">
        <f>B139*C140^(D140-A139)</f>
        <v>1.0029493816044028</v>
      </c>
    </row>
    <row r="141" spans="1:18">
      <c r="A141" s="192">
        <f>'Bootstraping-Linear_Interpol'!N11</f>
        <v>366</v>
      </c>
      <c r="B141" s="104">
        <f>VLOOKUP(A141,'Bootstraping-Linear_Interpol'!$N$7:$R$40,5)</f>
        <v>1.0029493816043955</v>
      </c>
      <c r="C141" s="115"/>
      <c r="D141" s="166"/>
      <c r="E141" s="104"/>
    </row>
    <row r="142" spans="1:18">
      <c r="A142" s="193">
        <f>'Bootstraping-Linear_Interpol'!N12</f>
        <v>547</v>
      </c>
      <c r="B142" s="108">
        <f>VLOOKUP(A142,'Bootstraping-Linear_Interpol'!$N$7:$R$40,5)</f>
        <v>1.0049578930286021</v>
      </c>
      <c r="C142" s="194">
        <f>(B142/B141)^(1/(A142-A141))</f>
        <v>1.0000110531132269</v>
      </c>
      <c r="D142" s="195">
        <f>H30</f>
        <v>547</v>
      </c>
      <c r="E142" s="108">
        <f>B141*C142^(D142-A141)</f>
        <v>1.0049578930285976</v>
      </c>
    </row>
    <row r="143" spans="1:18">
      <c r="A143" s="192">
        <f>'Bootstraping-Linear_Interpol'!N12</f>
        <v>547</v>
      </c>
      <c r="B143" s="104">
        <f>VLOOKUP(A143,'Bootstraping-Linear_Interpol'!$N$7:$R$40,5)</f>
        <v>1.0049578930286021</v>
      </c>
      <c r="D143" s="166"/>
      <c r="E143" s="104"/>
    </row>
    <row r="144" spans="1:18">
      <c r="A144" s="193">
        <f>'Bootstraping-Linear_Interpol'!N13</f>
        <v>733</v>
      </c>
      <c r="B144" s="108">
        <f>VLOOKUP(A144,'Bootstraping-Linear_Interpol'!$N$7:$R$40,5)</f>
        <v>1.0073760986995521</v>
      </c>
      <c r="C144" s="96">
        <f>(B144/B143)^(1/(A144-A143))</f>
        <v>1.0000129215091194</v>
      </c>
      <c r="D144" s="195">
        <f>H31</f>
        <v>733</v>
      </c>
      <c r="E144" s="108">
        <f>B143*C144^(D144-A143)</f>
        <v>1.0073760986995253</v>
      </c>
    </row>
    <row r="145" spans="1:5">
      <c r="A145" s="192">
        <f>'Bootstraping-Linear_Interpol'!N12</f>
        <v>547</v>
      </c>
      <c r="B145" s="104">
        <f>VLOOKUP(A145,'Bootstraping-Linear_Interpol'!$N$7:$R$40,5)</f>
        <v>1.0049578930286021</v>
      </c>
      <c r="E145" s="104"/>
    </row>
    <row r="146" spans="1:5">
      <c r="A146" s="193">
        <f>'Bootstraping-Linear_Interpol'!N13</f>
        <v>733</v>
      </c>
      <c r="B146" s="108">
        <f>VLOOKUP(A146,'Bootstraping-Linear_Interpol'!$N$7:$R$40,5)</f>
        <v>1.0073760986995521</v>
      </c>
      <c r="C146" s="96">
        <f>(B146/B145)^(1/(A146-A145))</f>
        <v>1.0000129215091194</v>
      </c>
      <c r="D146" s="195">
        <f>H32</f>
        <v>912</v>
      </c>
      <c r="E146" s="108">
        <f>B145*C146^(D146-A145)</f>
        <v>1.00970879096994</v>
      </c>
    </row>
    <row r="147" spans="1:5">
      <c r="A147" s="192">
        <f>'Bootstraping-Linear_Interpol'!N12</f>
        <v>547</v>
      </c>
      <c r="B147" s="104">
        <f>VLOOKUP(A147,'Bootstraping-Linear_Interpol'!$N$7:$R$40,5)</f>
        <v>1.0049578930286021</v>
      </c>
      <c r="E147" s="104"/>
    </row>
    <row r="148" spans="1:5">
      <c r="A148" s="193">
        <f>'Bootstraping-Linear_Interpol'!N13</f>
        <v>733</v>
      </c>
      <c r="B148" s="108">
        <f>VLOOKUP(A148,'Bootstraping-Linear_Interpol'!$N$7:$R$40,5)</f>
        <v>1.0073760986995521</v>
      </c>
      <c r="C148" s="96">
        <f>(B148/B147)^(1/(A148-A147))</f>
        <v>1.0000129215091194</v>
      </c>
      <c r="D148" s="195">
        <f>H33</f>
        <v>1097</v>
      </c>
      <c r="E148" s="108">
        <f>B147*C148^(D148-A147)</f>
        <v>1.0121253504237777</v>
      </c>
    </row>
    <row r="149" spans="1:5">
      <c r="A149" s="192">
        <f>'Bootstraping-Linear_Interpol'!N13</f>
        <v>733</v>
      </c>
      <c r="B149" s="104">
        <f>VLOOKUP(A149,'Bootstraping-Linear_Interpol'!$N$7:$R$40,5)</f>
        <v>1.0073760986995521</v>
      </c>
    </row>
    <row r="150" spans="1:5">
      <c r="A150" s="193">
        <f>'Bootstraping-Linear_Interpol'!N14</f>
        <v>912</v>
      </c>
      <c r="B150" s="108">
        <f>VLOOKUP(A150,'Bootstraping-Linear_Interpol'!$N$7:$R$40,5)</f>
        <v>1.0088897868252849</v>
      </c>
      <c r="C150" s="194">
        <f>(B150/B149)^(1/(A150-A149))</f>
        <v>1.0000083881747546</v>
      </c>
      <c r="D150" s="195">
        <f>H125</f>
        <v>1279</v>
      </c>
      <c r="E150" s="108">
        <f>B149*C150^(D150-A149)</f>
        <v>1.0120003862400371</v>
      </c>
    </row>
    <row r="151" spans="1:5">
      <c r="A151" s="192">
        <f>'Bootstraping-Linear_Interpol'!N13</f>
        <v>733</v>
      </c>
      <c r="B151" s="104">
        <f>VLOOKUP(A151,'Bootstraping-Linear_Interpol'!$N$7:$R$40,5)</f>
        <v>1.0073760986995521</v>
      </c>
      <c r="C151" s="115"/>
      <c r="D151" s="196"/>
      <c r="E151" s="104"/>
    </row>
    <row r="152" spans="1:5">
      <c r="A152" s="193">
        <f>'Bootstraping-Linear_Interpol'!N14</f>
        <v>912</v>
      </c>
      <c r="B152" s="108">
        <f>VLOOKUP(A152,'Bootstraping-Linear_Interpol'!$N$7:$R$40,5)</f>
        <v>1.0088897868252849</v>
      </c>
      <c r="C152" s="194">
        <f>(B152/B151)^(1/(A152-A151))</f>
        <v>1.0000083881747546</v>
      </c>
      <c r="D152" s="195">
        <f>H126</f>
        <v>1461</v>
      </c>
      <c r="E152" s="108">
        <f>B151*C152^(D152-A151)</f>
        <v>1.0135465278305784</v>
      </c>
    </row>
    <row r="153" spans="1:5">
      <c r="A153" s="192">
        <f>'Bootstraping-Linear_Interpol'!N14</f>
        <v>912</v>
      </c>
      <c r="B153" s="104">
        <f>VLOOKUP(A153,'Bootstraping-Linear_Interpol'!$N$7:$R$40,5)</f>
        <v>1.0088897868252849</v>
      </c>
      <c r="C153" s="115"/>
      <c r="D153" s="166"/>
      <c r="E153" s="104"/>
    </row>
    <row r="154" spans="1:5">
      <c r="A154" s="193">
        <f>'Bootstraping-Linear_Interpol'!N15</f>
        <v>1097</v>
      </c>
      <c r="B154" s="108">
        <f>VLOOKUP(A154,'Bootstraping-Linear_Interpol'!$N$7:$R$40,5)</f>
        <v>1.0103164388058028</v>
      </c>
      <c r="C154" s="194">
        <f>(B154/B153)^(1/(A154-A153))</f>
        <v>1.0000076383114953</v>
      </c>
      <c r="D154" s="195">
        <f>H127</f>
        <v>1643</v>
      </c>
      <c r="E154" s="108">
        <f>B153*C154^(D154-A153)</f>
        <v>1.0145387641732535</v>
      </c>
    </row>
    <row r="155" spans="1:5">
      <c r="A155" s="192">
        <f>'Bootstraping-Linear_Interpol'!N14</f>
        <v>912</v>
      </c>
      <c r="B155" s="104">
        <f>VLOOKUP(A155,'Bootstraping-Linear_Interpol'!$N$7:$R$40,5)</f>
        <v>1.0088897868252849</v>
      </c>
      <c r="D155" s="166"/>
      <c r="E155" s="104"/>
    </row>
    <row r="156" spans="1:5">
      <c r="A156" s="193">
        <f>'Bootstraping-Linear_Interpol'!N15</f>
        <v>1097</v>
      </c>
      <c r="B156" s="108">
        <f>VLOOKUP(A156,'Bootstraping-Linear_Interpol'!$N$7:$R$40,5)</f>
        <v>1.0103164388058028</v>
      </c>
      <c r="C156" s="96">
        <f>(B156/B155)^(1/(A156-A155))</f>
        <v>1.0000076383114953</v>
      </c>
      <c r="D156" s="195">
        <f>H128</f>
        <v>1827</v>
      </c>
      <c r="E156" s="108">
        <f>B155*C156^(D156-A155)</f>
        <v>1.0159656440038365</v>
      </c>
    </row>
    <row r="157" spans="1:5">
      <c r="A157" s="192">
        <f>'Bootstraping-Linear_Interpol'!N15</f>
        <v>1097</v>
      </c>
      <c r="B157" s="104">
        <f>VLOOKUP(A157,'Bootstraping-Linear_Interpol'!$N$7:$R$40,5)</f>
        <v>1.0103164388058028</v>
      </c>
      <c r="E157" s="104"/>
    </row>
    <row r="158" spans="1:5">
      <c r="A158" s="193">
        <f>'Bootstraping-Linear_Interpol'!N16</f>
        <v>1279</v>
      </c>
      <c r="B158" s="108">
        <f>VLOOKUP(A158,'Bootstraping-Linear_Interpol'!$N$7:$R$40,5)</f>
        <v>1.0114281748724145</v>
      </c>
      <c r="C158" s="96">
        <f>(B158/B157)^(1/(A158-A157))</f>
        <v>1.0000060427602544</v>
      </c>
      <c r="D158" s="195">
        <f>H129</f>
        <v>2008</v>
      </c>
      <c r="E158" s="108">
        <f>B157*C158^(D158-A157)</f>
        <v>1.0158935047375479</v>
      </c>
    </row>
    <row r="159" spans="1:5">
      <c r="A159" s="192">
        <f>'Bootstraping-Linear_Interpol'!N15</f>
        <v>1097</v>
      </c>
      <c r="B159" s="104">
        <f>VLOOKUP(A159,'Bootstraping-Linear_Interpol'!$N$7:$R$40,5)</f>
        <v>1.0103164388058028</v>
      </c>
      <c r="E159" s="104"/>
    </row>
    <row r="160" spans="1:5">
      <c r="A160" s="193">
        <f>'Bootstraping-Linear_Interpol'!N16</f>
        <v>1279</v>
      </c>
      <c r="B160" s="108">
        <f>VLOOKUP(A160,'Bootstraping-Linear_Interpol'!$N$7:$R$40,5)</f>
        <v>1.0114281748724145</v>
      </c>
      <c r="C160" s="96">
        <f>(B160/B159)^(1/(A160-A159))</f>
        <v>1.0000060427602544</v>
      </c>
      <c r="D160" s="195">
        <f>H130</f>
        <v>2192</v>
      </c>
      <c r="E160" s="108">
        <f>B159*C160^(D160-A159)</f>
        <v>1.0170236688674079</v>
      </c>
    </row>
    <row r="161" spans="1:5">
      <c r="A161" s="192">
        <f>'Bootstraping-Linear_Interpol'!N16</f>
        <v>1279</v>
      </c>
      <c r="B161" s="104">
        <f>VLOOKUP(A161,'Bootstraping-Linear_Interpol'!$N$7:$R$40,5)</f>
        <v>1.0114281748724145</v>
      </c>
      <c r="E161" s="104"/>
    </row>
    <row r="162" spans="1:5">
      <c r="A162" s="193">
        <f>'Bootstraping-Linear_Interpol'!N17</f>
        <v>1461</v>
      </c>
      <c r="B162" s="108">
        <f>VLOOKUP(A162,'Bootstraping-Linear_Interpol'!$N$7:$R$40,5)</f>
        <v>1.0123536413378431</v>
      </c>
      <c r="C162" s="96">
        <f>(B162/B161)^(1/(A162-A161))</f>
        <v>1.0000050252390544</v>
      </c>
      <c r="D162" s="195">
        <f>H131</f>
        <v>2373</v>
      </c>
      <c r="E162" s="108">
        <f>B161*C162^(D162-A161)</f>
        <v>1.0170039126310308</v>
      </c>
    </row>
    <row r="163" spans="1:5">
      <c r="A163" s="192">
        <f>'Bootstraping-Linear_Interpol'!N16</f>
        <v>1279</v>
      </c>
      <c r="B163" s="104">
        <f>VLOOKUP(A163,'Bootstraping-Linear_Interpol'!$N$7:$R$40,5)</f>
        <v>1.0114281748724145</v>
      </c>
      <c r="E163" s="104"/>
    </row>
    <row r="164" spans="1:5">
      <c r="A164" s="193">
        <f>'Bootstraping-Linear_Interpol'!N17</f>
        <v>1461</v>
      </c>
      <c r="B164" s="108">
        <f>VLOOKUP(A164,'Bootstraping-Linear_Interpol'!$N$7:$R$40,5)</f>
        <v>1.0123536413378431</v>
      </c>
      <c r="C164" s="96">
        <f>(B164/B163)^(1/(A164-A163))</f>
        <v>1.0000050252390544</v>
      </c>
      <c r="D164" s="195">
        <f>H132</f>
        <v>2557</v>
      </c>
      <c r="E164" s="108">
        <f>B163*C164^(D164-A163)</f>
        <v>1.0179447117038123</v>
      </c>
    </row>
  </sheetData>
  <mergeCells count="12">
    <mergeCell ref="A135:E135"/>
    <mergeCell ref="A1:C2"/>
    <mergeCell ref="F4:I4"/>
    <mergeCell ref="A19:N19"/>
    <mergeCell ref="A26:N26"/>
    <mergeCell ref="A39:N39"/>
    <mergeCell ref="A46:N46"/>
    <mergeCell ref="F59:I59"/>
    <mergeCell ref="A74:N74"/>
    <mergeCell ref="A85:N85"/>
    <mergeCell ref="A106:N106"/>
    <mergeCell ref="A117:N117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B6A463-0EA2-41C0-8F2C-4DC76AB7EDCA}">
          <x14:formula1>
            <xm:f>Auxiliar!$A$9:$A$10</xm:f>
          </x14:formula1>
          <xm:sqref>B18 B37 B73 B104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0B79E-6D35-474E-8DFE-9168EF56F5BD}">
  <sheetPr codeName="Sheet16"/>
  <dimension ref="A1:AL14"/>
  <sheetViews>
    <sheetView zoomScale="68" workbookViewId="0">
      <selection activeCell="I29" sqref="I29"/>
    </sheetView>
  </sheetViews>
  <sheetFormatPr defaultRowHeight="14.5"/>
  <cols>
    <col min="1" max="1" width="9.90625" style="90" bestFit="1" customWidth="1"/>
    <col min="2" max="2" width="13.54296875" style="90" bestFit="1" customWidth="1"/>
    <col min="3" max="3" width="10.6328125" style="90" bestFit="1" customWidth="1"/>
    <col min="4" max="4" width="13" style="90" bestFit="1" customWidth="1"/>
    <col min="5" max="5" width="8.7265625" style="90"/>
    <col min="6" max="6" width="10.90625" style="90" bestFit="1" customWidth="1"/>
    <col min="7" max="7" width="9.54296875" style="90" bestFit="1" customWidth="1"/>
    <col min="8" max="38" width="8.7265625" style="90"/>
  </cols>
  <sheetData>
    <row r="1" spans="1:7" ht="14.5" customHeight="1">
      <c r="A1" s="304" t="s">
        <v>503</v>
      </c>
      <c r="B1" s="304"/>
      <c r="C1" s="304"/>
      <c r="D1" s="304"/>
      <c r="E1" s="304"/>
      <c r="F1" s="304"/>
      <c r="G1" s="304"/>
    </row>
    <row r="2" spans="1:7" ht="15" customHeight="1">
      <c r="A2" s="304"/>
      <c r="B2" s="304"/>
      <c r="C2" s="304"/>
      <c r="D2" s="304"/>
      <c r="E2" s="304"/>
      <c r="F2" s="304"/>
      <c r="G2" s="304"/>
    </row>
    <row r="4" spans="1:7" ht="15" thickBot="1"/>
    <row r="5" spans="1:7" ht="15" thickBot="1">
      <c r="A5" s="314" t="s">
        <v>471</v>
      </c>
      <c r="B5" s="314"/>
      <c r="C5" s="314"/>
    </row>
    <row r="6" spans="1:7" ht="15" thickBot="1">
      <c r="A6" s="117"/>
      <c r="B6" s="117" t="s">
        <v>501</v>
      </c>
      <c r="C6" s="117" t="s">
        <v>502</v>
      </c>
      <c r="D6" s="117" t="s">
        <v>556</v>
      </c>
    </row>
    <row r="7" spans="1:7">
      <c r="A7" s="90" t="s">
        <v>555</v>
      </c>
      <c r="B7" s="103">
        <f>'NOTE 1 (Q1 to Q5)'!V7+'NOTE 2 (Q1, Q3 to Q5)'!S7</f>
        <v>0.95085178345902932</v>
      </c>
      <c r="C7" s="102">
        <f>'NOTE 1 (Q1 to Q5)'!Z7+'NOTE 2 (Q1, Q3 to Q5)'!W7</f>
        <v>-14.563136762637214</v>
      </c>
    </row>
    <row r="8" spans="1:7">
      <c r="A8" s="90" t="s">
        <v>500</v>
      </c>
      <c r="B8" s="100">
        <f>'IRS Hedge (6)'!J6</f>
        <v>-3.0649255951811782E-4</v>
      </c>
      <c r="C8" s="100">
        <f>'IRS Hedge (6)'!J7</f>
        <v>-1.2201338724985369E-3</v>
      </c>
      <c r="D8" s="266">
        <f>D13</f>
        <v>538.23612447414143</v>
      </c>
    </row>
    <row r="9" spans="1:7">
      <c r="A9" s="90" t="s">
        <v>504</v>
      </c>
      <c r="B9" s="100">
        <f>'IRS Hedge (6)'!J61</f>
        <v>-7.1245545682115628E-4</v>
      </c>
      <c r="C9" s="100">
        <f>'IRS Hedge (6)'!J62</f>
        <v>1.3797757375111486E-2</v>
      </c>
      <c r="D9" s="266">
        <f>D14</f>
        <v>1103.0674388407613</v>
      </c>
    </row>
    <row r="10" spans="1:7">
      <c r="D10" s="102">
        <f>SUM(D8:D9)</f>
        <v>1641.3035633149027</v>
      </c>
    </row>
    <row r="12" spans="1:7">
      <c r="A12" s="325" t="s">
        <v>506</v>
      </c>
      <c r="B12" s="325"/>
      <c r="D12" s="267" t="s">
        <v>507</v>
      </c>
      <c r="F12" s="267" t="s">
        <v>505</v>
      </c>
    </row>
    <row r="13" spans="1:7">
      <c r="A13" s="160">
        <f>-B8</f>
        <v>3.0649255951811782E-4</v>
      </c>
      <c r="B13" s="160">
        <f>-B9</f>
        <v>7.1245545682115628E-4</v>
      </c>
      <c r="C13" s="98" t="s">
        <v>351</v>
      </c>
      <c r="D13" s="90">
        <f t="array" ref="D13:D14">MMULT(MINVERSE(A13:B14),F13:F14)</f>
        <v>538.23612447414143</v>
      </c>
      <c r="E13" s="98" t="s">
        <v>483</v>
      </c>
      <c r="F13" s="103">
        <f>B7</f>
        <v>0.95085178345902932</v>
      </c>
    </row>
    <row r="14" spans="1:7">
      <c r="A14" s="160">
        <f>-C8</f>
        <v>1.2201338724985369E-3</v>
      </c>
      <c r="B14" s="160">
        <f>-C9</f>
        <v>-1.3797757375111486E-2</v>
      </c>
      <c r="D14" s="90">
        <v>1103.0674388407613</v>
      </c>
      <c r="F14" s="102">
        <f>C7</f>
        <v>-14.563136762637214</v>
      </c>
    </row>
  </sheetData>
  <mergeCells count="3">
    <mergeCell ref="A12:B12"/>
    <mergeCell ref="A1:G2"/>
    <mergeCell ref="A5:C5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94631-D969-47A5-8ED4-6B12CD9B45CC}">
  <sheetPr codeName="Sheet9"/>
  <dimension ref="A1:BZ586"/>
  <sheetViews>
    <sheetView topLeftCell="A72" zoomScale="72" workbookViewId="0">
      <selection activeCell="C83" sqref="C83"/>
    </sheetView>
  </sheetViews>
  <sheetFormatPr defaultRowHeight="14.5"/>
  <cols>
    <col min="1" max="1" width="8.81640625" style="90" bestFit="1" customWidth="1"/>
    <col min="2" max="2" width="14.36328125" style="90" bestFit="1" customWidth="1"/>
    <col min="3" max="4" width="12.26953125" style="90" customWidth="1"/>
    <col min="5" max="5" width="12.6328125" style="90" bestFit="1" customWidth="1"/>
    <col min="6" max="6" width="14.81640625" style="90" bestFit="1" customWidth="1"/>
    <col min="7" max="7" width="13" style="90" bestFit="1" customWidth="1"/>
    <col min="8" max="8" width="10.90625" style="90" bestFit="1" customWidth="1"/>
    <col min="9" max="9" width="14.6328125" style="90" bestFit="1" customWidth="1"/>
    <col min="10" max="11" width="8.81640625" style="90" bestFit="1" customWidth="1"/>
    <col min="12" max="12" width="12.7265625" style="90" bestFit="1" customWidth="1"/>
    <col min="13" max="18" width="8.81640625" style="90" bestFit="1" customWidth="1"/>
    <col min="19" max="78" width="8.7265625" style="90"/>
  </cols>
  <sheetData>
    <row r="1" spans="1:12" ht="14.5" customHeight="1">
      <c r="A1" s="327" t="s">
        <v>369</v>
      </c>
      <c r="B1" s="327"/>
      <c r="C1" s="327"/>
      <c r="D1" s="327"/>
      <c r="E1" s="327"/>
      <c r="F1" s="327"/>
      <c r="G1" s="327"/>
      <c r="H1" s="327"/>
      <c r="I1" s="327"/>
    </row>
    <row r="2" spans="1:12" ht="15" customHeight="1" thickBot="1">
      <c r="A2" s="305"/>
      <c r="B2" s="305"/>
      <c r="C2" s="305"/>
      <c r="D2" s="305"/>
      <c r="E2" s="305"/>
      <c r="F2" s="305"/>
      <c r="G2" s="305"/>
      <c r="H2" s="305"/>
      <c r="I2" s="305"/>
      <c r="K2" s="109"/>
    </row>
    <row r="3" spans="1:12">
      <c r="B3" s="110"/>
      <c r="C3" s="110"/>
      <c r="D3" s="110"/>
      <c r="E3" s="110"/>
      <c r="F3" s="110"/>
      <c r="G3" s="110"/>
      <c r="H3" s="120" t="s">
        <v>509</v>
      </c>
      <c r="I3" s="110">
        <v>-6.6741474013936276E-3</v>
      </c>
      <c r="K3" s="120" t="s">
        <v>509</v>
      </c>
      <c r="L3" s="110">
        <v>-4.8890772723802871E-3</v>
      </c>
    </row>
    <row r="4" spans="1:12">
      <c r="C4" s="110"/>
      <c r="D4" s="110"/>
      <c r="E4" s="100"/>
      <c r="G4" s="111"/>
      <c r="H4" s="300" t="s">
        <v>563</v>
      </c>
      <c r="I4" s="110">
        <v>0.29077416217696511</v>
      </c>
      <c r="K4" s="300" t="s">
        <v>563</v>
      </c>
      <c r="L4" s="110">
        <v>1.5564502428148847E-2</v>
      </c>
    </row>
    <row r="5" spans="1:12">
      <c r="C5" s="110"/>
      <c r="D5" s="110"/>
      <c r="E5" s="100"/>
      <c r="G5" s="111"/>
      <c r="H5" s="300" t="s">
        <v>318</v>
      </c>
      <c r="I5" s="299">
        <v>5.8235317172226986E-3</v>
      </c>
      <c r="K5" s="300" t="s">
        <v>318</v>
      </c>
      <c r="L5" s="268">
        <v>5.2381208225885892E-2</v>
      </c>
    </row>
    <row r="6" spans="1:12">
      <c r="C6" s="269"/>
      <c r="D6" s="270" t="s">
        <v>329</v>
      </c>
      <c r="E6" s="271" t="s">
        <v>328</v>
      </c>
      <c r="F6" s="98" t="s">
        <v>330</v>
      </c>
      <c r="G6" s="111"/>
      <c r="H6" s="300" t="s">
        <v>564</v>
      </c>
      <c r="I6" s="299">
        <v>1.0219461007607187E-2</v>
      </c>
      <c r="K6" s="300" t="s">
        <v>564</v>
      </c>
      <c r="L6" s="268">
        <v>-3.721624704618256E-5</v>
      </c>
    </row>
    <row r="7" spans="1:12" ht="15" thickBot="1">
      <c r="B7" s="90" t="s">
        <v>297</v>
      </c>
      <c r="C7" s="269">
        <f>'NOTE 1 (Q1 to Q5)'!B18</f>
        <v>43873</v>
      </c>
      <c r="D7" s="268">
        <f>DAY(C7)</f>
        <v>12</v>
      </c>
      <c r="E7" s="268">
        <f>MONTH(C7)</f>
        <v>2</v>
      </c>
      <c r="F7" s="90">
        <f>YEAR(C7)</f>
        <v>2020</v>
      </c>
      <c r="G7" s="111"/>
      <c r="H7" s="90" t="s">
        <v>373</v>
      </c>
      <c r="I7" s="110">
        <f>SUMPRODUCT(I9:I71,I9:I71)</f>
        <v>1.5598621371318096E-4</v>
      </c>
      <c r="K7" s="128" t="s">
        <v>373</v>
      </c>
      <c r="L7" s="110">
        <f>SUMPRODUCT(L9:L31,L9:L31)</f>
        <v>4.0712099485063683E-6</v>
      </c>
    </row>
    <row r="8" spans="1:12" ht="16.5" thickBot="1">
      <c r="A8" s="99"/>
      <c r="B8" s="99" t="s">
        <v>302</v>
      </c>
      <c r="C8" s="99" t="s">
        <v>374</v>
      </c>
      <c r="D8" s="99" t="s">
        <v>32</v>
      </c>
      <c r="E8" s="99" t="s">
        <v>378</v>
      </c>
      <c r="F8" s="99" t="s">
        <v>375</v>
      </c>
      <c r="G8" s="272" t="s">
        <v>550</v>
      </c>
      <c r="H8" s="99" t="s">
        <v>551</v>
      </c>
      <c r="I8" s="99" t="s">
        <v>377</v>
      </c>
      <c r="J8" s="272" t="s">
        <v>552</v>
      </c>
      <c r="K8" s="99" t="s">
        <v>553</v>
      </c>
      <c r="L8" s="99" t="s">
        <v>377</v>
      </c>
    </row>
    <row r="9" spans="1:12">
      <c r="A9" s="90" t="s">
        <v>363</v>
      </c>
      <c r="B9" s="90">
        <v>1</v>
      </c>
      <c r="C9" s="269">
        <f>$C$7+7</f>
        <v>43880</v>
      </c>
      <c r="D9" s="269" t="str">
        <f>VLOOKUP(WEEKDAY(C9),Auxiliar!$A$1:$B$7,2)</f>
        <v>Wednesday</v>
      </c>
      <c r="E9" s="269">
        <f>IF(D9="Saturday",C9+2,IF(D9="Sunday",C9+1,C9))</f>
        <v>43880</v>
      </c>
      <c r="F9" s="102">
        <f>(E9-$C$7)/360</f>
        <v>1.9444444444444445E-2</v>
      </c>
      <c r="G9" s="110">
        <f>'Bootstraping-Linear_Interpol'!R7</f>
        <v>1.0001007323682103</v>
      </c>
      <c r="H9" s="100" cm="1">
        <f t="array" ref="H9">VasicekBondPrice(F9,$I$3,$I$4,$I$5,$I$6)</f>
        <v>1.000129456146815</v>
      </c>
      <c r="I9" s="100">
        <f>G9-H9</f>
        <v>-2.872377860474451E-5</v>
      </c>
      <c r="J9" s="110">
        <f>-LN(G9)/F9</f>
        <v>-5.1802608880784718E-3</v>
      </c>
      <c r="K9" s="110" cm="1">
        <f t="array" ref="K9">-LN(VasicekBondPrice(F9,$L$3,$L$4,$L$5,$L$6))/F9</f>
        <v>-4.878664582229646E-3</v>
      </c>
      <c r="L9" s="110">
        <f>(J9-K9)</f>
        <v>-3.0159630584882576E-4</v>
      </c>
    </row>
    <row r="10" spans="1:12">
      <c r="A10" s="90" t="s">
        <v>12</v>
      </c>
      <c r="B10" s="90">
        <v>1</v>
      </c>
      <c r="C10" s="269">
        <f>EDATE($C$7,1)</f>
        <v>43902</v>
      </c>
      <c r="D10" s="269" t="str">
        <f>VLOOKUP(WEEKDAY(C10),Auxiliar!$A$1:$B$7,2)</f>
        <v>Thursday</v>
      </c>
      <c r="E10" s="269">
        <f t="shared" ref="E10:E17" si="0">IF(D10="Saturday",C10+2,IF(D10="Sunday",C10+1,C10))</f>
        <v>43902</v>
      </c>
      <c r="F10" s="102">
        <f t="shared" ref="F10:F71" si="1">(E10-$C$7)/360</f>
        <v>8.0555555555555561E-2</v>
      </c>
      <c r="G10" s="110">
        <f>'Bootstraping-Linear_Interpol'!R8</f>
        <v>1.0004174519712086</v>
      </c>
      <c r="H10" s="100" cm="1">
        <f t="array" ref="H10">VasicekBondPrice(F10,$I$3,$I$4,$I$5,$I$6)</f>
        <v>1.000532170886095</v>
      </c>
      <c r="I10" s="100">
        <f t="shared" ref="I10:I31" si="2">G10-H10</f>
        <v>-1.1471891488645802E-4</v>
      </c>
      <c r="J10" s="110">
        <f t="shared" ref="J10:J17" si="3">-LN(G10)/F10</f>
        <v>-5.1810810501860391E-3</v>
      </c>
      <c r="K10" s="110" cm="1">
        <f t="array" ref="K10">-LN(VasicekBondPrice(F10,$L$3,$L$4,$L$5,$L$6))/F10</f>
        <v>-4.8459849707617629E-3</v>
      </c>
      <c r="L10" s="110">
        <f t="shared" ref="L10:L31" si="4">(J10-K10)</f>
        <v>-3.3509607942427619E-4</v>
      </c>
    </row>
    <row r="11" spans="1:12">
      <c r="A11" s="90" t="s">
        <v>12</v>
      </c>
      <c r="B11" s="90">
        <v>3</v>
      </c>
      <c r="C11" s="269">
        <f>EDATE($C$7,3)</f>
        <v>43963</v>
      </c>
      <c r="D11" s="269" t="str">
        <f>VLOOKUP(WEEKDAY(C11),Auxiliar!$A$1:$B$7,2)</f>
        <v>Tuesday</v>
      </c>
      <c r="E11" s="269">
        <f t="shared" si="0"/>
        <v>43963</v>
      </c>
      <c r="F11" s="102">
        <f t="shared" si="1"/>
        <v>0.25</v>
      </c>
      <c r="G11" s="110">
        <f>'Bootstraping-Linear_Interpol'!R9</f>
        <v>1.0012966791995634</v>
      </c>
      <c r="H11" s="100" cm="1">
        <f t="array" ref="H11">VasicekBondPrice(F11,$I$3,$I$4,$I$5,$I$6)</f>
        <v>1.0016160078821366</v>
      </c>
      <c r="I11" s="100">
        <f t="shared" si="2"/>
        <v>-3.1932868257311675E-4</v>
      </c>
      <c r="J11" s="110">
        <f t="shared" si="3"/>
        <v>-5.1833569484785345E-3</v>
      </c>
      <c r="K11" s="110" cm="1">
        <f t="array" ref="K11">-LN(VasicekBondPrice(F11,$L$3,$L$4,$L$5,$L$6))/F11</f>
        <v>-4.7557370626279891E-3</v>
      </c>
      <c r="L11" s="110">
        <f t="shared" si="4"/>
        <v>-4.2761988585054544E-4</v>
      </c>
    </row>
    <row r="12" spans="1:12">
      <c r="A12" s="90" t="s">
        <v>12</v>
      </c>
      <c r="B12" s="90">
        <v>6</v>
      </c>
      <c r="C12" s="269">
        <f>EDATE($C$7,6)</f>
        <v>44055</v>
      </c>
      <c r="D12" s="269" t="str">
        <f>VLOOKUP(WEEKDAY(C12),Auxiliar!$A$1:$B$7,2)</f>
        <v>Wednesday</v>
      </c>
      <c r="E12" s="269">
        <f t="shared" si="0"/>
        <v>44055</v>
      </c>
      <c r="F12" s="102">
        <f t="shared" si="1"/>
        <v>0.50555555555555554</v>
      </c>
      <c r="G12" s="110">
        <f>'Bootstraping-Linear_Interpol'!R10</f>
        <v>1.002625653781553</v>
      </c>
      <c r="H12" s="100" cm="1">
        <f t="array" ref="H12">VasicekBondPrice(F12,$I$3,$I$4,$I$5,$I$6)</f>
        <v>1.0031602332177834</v>
      </c>
      <c r="I12" s="100">
        <f t="shared" si="2"/>
        <v>-5.3457943623036464E-4</v>
      </c>
      <c r="J12" s="110">
        <f t="shared" si="3"/>
        <v>-5.1867944992257213E-3</v>
      </c>
      <c r="K12" s="110" cm="1">
        <f t="array" ref="K12">-LN(VasicekBondPrice(F12,$L$3,$L$4,$L$5,$L$6))/F12</f>
        <v>-4.620630317915324E-3</v>
      </c>
      <c r="L12" s="110">
        <f t="shared" si="4"/>
        <v>-5.6616418131039733E-4</v>
      </c>
    </row>
    <row r="13" spans="1:12">
      <c r="A13" s="90" t="s">
        <v>362</v>
      </c>
      <c r="B13" s="90">
        <v>1</v>
      </c>
      <c r="C13" s="101">
        <f>EDATE(C12,6)</f>
        <v>44239</v>
      </c>
      <c r="D13" s="269" t="str">
        <f>VLOOKUP(WEEKDAY(C13),Auxiliar!$A$1:$B$7,2)</f>
        <v>Friday</v>
      </c>
      <c r="E13" s="269">
        <f t="shared" si="0"/>
        <v>44239</v>
      </c>
      <c r="F13" s="102">
        <f>(E13-$C$7)/360</f>
        <v>1.0166666666666666</v>
      </c>
      <c r="G13" s="110">
        <f>'Bootstraping-Linear_Interpol'!R11</f>
        <v>1.0029493816043955</v>
      </c>
      <c r="H13" s="100" cm="1">
        <f t="array" ref="H13">VasicekBondPrice(F13,$I$3,$I$4,$I$5,$I$6)</f>
        <v>1.0059276464016731</v>
      </c>
      <c r="I13" s="100">
        <f t="shared" si="2"/>
        <v>-2.9782647972775855E-3</v>
      </c>
      <c r="J13" s="110">
        <f>-LN(G13)/F13</f>
        <v>-2.8967613557471096E-3</v>
      </c>
      <c r="K13" s="110" cm="1">
        <f t="array" ref="K13">-LN(VasicekBondPrice(F13,$L$3,$L$4,$L$5,$L$6))/F13</f>
        <v>-4.353998115105286E-3</v>
      </c>
      <c r="L13" s="110">
        <f t="shared" si="4"/>
        <v>1.4572367593581764E-3</v>
      </c>
    </row>
    <row r="14" spans="1:12">
      <c r="A14" s="90" t="s">
        <v>362</v>
      </c>
      <c r="B14" s="90">
        <v>1.5</v>
      </c>
      <c r="C14" s="101">
        <f t="shared" ref="C14:C31" si="5">EDATE(C13,6)</f>
        <v>44420</v>
      </c>
      <c r="D14" s="269" t="str">
        <f>VLOOKUP(WEEKDAY(C14),Auxiliar!$A$1:$B$7,2)</f>
        <v>Thursday</v>
      </c>
      <c r="E14" s="269">
        <f t="shared" si="0"/>
        <v>44420</v>
      </c>
      <c r="F14" s="102">
        <f>(E14-$C$7)/360</f>
        <v>1.5194444444444444</v>
      </c>
      <c r="G14" s="110">
        <f>'Bootstraping-Linear_Interpol'!R12</f>
        <v>1.0049578930286021</v>
      </c>
      <c r="H14" s="100" cm="1">
        <f t="array" ref="H14">VasicekBondPrice(F14,$I$3,$I$4,$I$5,$I$6)</f>
        <v>1.0082417408273474</v>
      </c>
      <c r="I14" s="100">
        <f t="shared" si="2"/>
        <v>-3.283847798745354E-3</v>
      </c>
      <c r="J14" s="110">
        <f t="shared" si="3"/>
        <v>-3.2549022555051041E-3</v>
      </c>
      <c r="K14" s="110" cm="1">
        <f t="array" ref="K14">-LN(VasicekBondPrice(F14,$L$3,$L$4,$L$5,$L$6))/F14</f>
        <v>-4.0962954929983303E-3</v>
      </c>
      <c r="L14" s="110">
        <f t="shared" si="4"/>
        <v>8.4139323749322622E-4</v>
      </c>
    </row>
    <row r="15" spans="1:12">
      <c r="A15" s="90" t="s">
        <v>362</v>
      </c>
      <c r="B15" s="90">
        <v>2</v>
      </c>
      <c r="C15" s="101">
        <f t="shared" si="5"/>
        <v>44604</v>
      </c>
      <c r="D15" s="269" t="str">
        <f>VLOOKUP(WEEKDAY(C15),Auxiliar!$A$1:$B$7,2)</f>
        <v>Saturday</v>
      </c>
      <c r="E15" s="269">
        <f t="shared" si="0"/>
        <v>44606</v>
      </c>
      <c r="F15" s="102">
        <f t="shared" si="1"/>
        <v>2.036111111111111</v>
      </c>
      <c r="G15" s="110">
        <f>'Bootstraping-Linear_Interpol'!R13</f>
        <v>1.0073760986995521</v>
      </c>
      <c r="H15" s="100" cm="1">
        <f t="array" ref="H15">VasicekBondPrice(F15,$I$3,$I$4,$I$5,$I$6)</f>
        <v>1.0102102258238301</v>
      </c>
      <c r="I15" s="100">
        <f t="shared" si="2"/>
        <v>-2.8341271242779964E-3</v>
      </c>
      <c r="J15" s="110">
        <f t="shared" si="3"/>
        <v>-3.609345422164898E-3</v>
      </c>
      <c r="K15" s="110" cm="1">
        <f t="array" ref="K15">-LN(VasicekBondPrice(F15,$L$3,$L$4,$L$5,$L$6))/F15</f>
        <v>-3.8361150706046126E-3</v>
      </c>
      <c r="L15" s="110">
        <f t="shared" si="4"/>
        <v>2.2676964843971461E-4</v>
      </c>
    </row>
    <row r="16" spans="1:12">
      <c r="A16" s="90" t="s">
        <v>362</v>
      </c>
      <c r="B16" s="90">
        <v>2.5</v>
      </c>
      <c r="C16" s="101">
        <f t="shared" si="5"/>
        <v>44785</v>
      </c>
      <c r="D16" s="269" t="str">
        <f>VLOOKUP(WEEKDAY(C16),Auxiliar!$A$1:$B$7,2)</f>
        <v>Friday</v>
      </c>
      <c r="E16" s="269">
        <f t="shared" si="0"/>
        <v>44785</v>
      </c>
      <c r="F16" s="102">
        <f t="shared" si="1"/>
        <v>2.5333333333333332</v>
      </c>
      <c r="G16" s="110">
        <f>'Bootstraping-Linear_Interpol'!R14</f>
        <v>1.0088897868252849</v>
      </c>
      <c r="H16" s="100" cm="1">
        <f t="array" ref="H16">VasicekBondPrice(F16,$I$3,$I$4,$I$5,$I$6)</f>
        <v>1.0117247268807779</v>
      </c>
      <c r="I16" s="100">
        <f t="shared" si="2"/>
        <v>-2.8349400554930071E-3</v>
      </c>
      <c r="J16" s="110">
        <f t="shared" si="3"/>
        <v>-3.4936205138086374E-3</v>
      </c>
      <c r="K16" s="110" cm="1">
        <f t="array" ref="K16">-LN(VasicekBondPrice(F16,$L$3,$L$4,$L$5,$L$6))/F16</f>
        <v>-3.5900814833176751E-3</v>
      </c>
      <c r="L16" s="110">
        <f t="shared" si="4"/>
        <v>9.6460969509037757E-5</v>
      </c>
    </row>
    <row r="17" spans="1:12">
      <c r="A17" s="90" t="s">
        <v>362</v>
      </c>
      <c r="B17" s="90">
        <v>3</v>
      </c>
      <c r="C17" s="101">
        <f t="shared" si="5"/>
        <v>44969</v>
      </c>
      <c r="D17" s="269" t="str">
        <f>VLOOKUP(WEEKDAY(C17),Auxiliar!$A$1:$B$7,2)</f>
        <v>Sunday</v>
      </c>
      <c r="E17" s="269">
        <f t="shared" si="0"/>
        <v>44970</v>
      </c>
      <c r="F17" s="102">
        <f t="shared" si="1"/>
        <v>3.0472222222222221</v>
      </c>
      <c r="G17" s="110">
        <f>'Bootstraping-Linear_Interpol'!R15</f>
        <v>1.0103164388058028</v>
      </c>
      <c r="H17" s="100" cm="1">
        <f t="array" ref="H17">VasicekBondPrice(F17,$I$3,$I$4,$I$5,$I$6)</f>
        <v>1.012911399403011</v>
      </c>
      <c r="I17" s="100">
        <f t="shared" si="2"/>
        <v>-2.5949605972082068E-3</v>
      </c>
      <c r="J17" s="110">
        <f t="shared" si="3"/>
        <v>-3.3681782236432648E-3</v>
      </c>
      <c r="K17" s="110" cm="1">
        <f t="array" ref="K17">-LN(VasicekBondPrice(F17,$L$3,$L$4,$L$5,$L$6))/F17</f>
        <v>-3.3402013222896248E-3</v>
      </c>
      <c r="L17" s="110">
        <f t="shared" si="4"/>
        <v>-2.7976901353640032E-5</v>
      </c>
    </row>
    <row r="18" spans="1:12">
      <c r="A18" s="90" t="s">
        <v>362</v>
      </c>
      <c r="B18" s="90">
        <v>3.5</v>
      </c>
      <c r="C18" s="101">
        <f t="shared" si="5"/>
        <v>45150</v>
      </c>
      <c r="D18" s="269" t="str">
        <f>VLOOKUP(WEEKDAY(C18),Auxiliar!$A$1:$B$7,2)</f>
        <v>Saturday</v>
      </c>
      <c r="E18" s="269">
        <f t="shared" ref="E18:E28" si="6">IF(D18="Saturday",C18+2,IF(D18="Sunday",C18+1,C18))</f>
        <v>45152</v>
      </c>
      <c r="F18" s="102">
        <f t="shared" si="1"/>
        <v>3.5527777777777776</v>
      </c>
      <c r="G18" s="110">
        <f>'Bootstraping-Linear_Interpol'!R16</f>
        <v>1.0114281748724145</v>
      </c>
      <c r="H18" s="100" cm="1">
        <f t="array" ref="H18">VasicekBondPrice(F18,$I$3,$I$4,$I$5,$I$6)</f>
        <v>1.0137164444940043</v>
      </c>
      <c r="I18" s="100">
        <f t="shared" si="2"/>
        <v>-2.2882696215897891E-3</v>
      </c>
      <c r="J18" s="110">
        <f t="shared" ref="J18:J28" si="7">-LN(G18)/F18</f>
        <v>-3.1984456348546314E-3</v>
      </c>
      <c r="K18" s="110" cm="1">
        <f t="array" ref="K18">-LN(VasicekBondPrice(F18,$L$3,$L$4,$L$5,$L$6))/F18</f>
        <v>-3.0986527502559146E-3</v>
      </c>
      <c r="L18" s="110">
        <f t="shared" si="4"/>
        <v>-9.9792884598716783E-5</v>
      </c>
    </row>
    <row r="19" spans="1:12">
      <c r="A19" s="90" t="s">
        <v>362</v>
      </c>
      <c r="B19" s="90">
        <v>4</v>
      </c>
      <c r="C19" s="101">
        <f t="shared" si="5"/>
        <v>45334</v>
      </c>
      <c r="D19" s="269" t="str">
        <f>VLOOKUP(WEEKDAY(C19),Auxiliar!$A$1:$B$7,2)</f>
        <v>Monday</v>
      </c>
      <c r="E19" s="269">
        <f t="shared" si="6"/>
        <v>45334</v>
      </c>
      <c r="F19" s="102">
        <f t="shared" si="1"/>
        <v>4.0583333333333336</v>
      </c>
      <c r="G19" s="110">
        <f>'Bootstraping-Linear_Interpol'!R17</f>
        <v>1.0123536413378431</v>
      </c>
      <c r="H19" s="100" cm="1">
        <f t="array" ref="H19">VasicekBondPrice(F19,$I$3,$I$4,$I$5,$I$6)</f>
        <v>1.0141754924773203</v>
      </c>
      <c r="I19" s="100">
        <f t="shared" si="2"/>
        <v>-1.821851139477193E-3</v>
      </c>
      <c r="J19" s="110">
        <f t="shared" si="7"/>
        <v>-3.0253694747065167E-3</v>
      </c>
      <c r="K19" s="110" cm="1">
        <f t="array" ref="K19">-LN(VasicekBondPrice(F19,$L$3,$L$4,$L$5,$L$6))/F19</f>
        <v>-2.8612654731649248E-3</v>
      </c>
      <c r="L19" s="110">
        <f t="shared" si="4"/>
        <v>-1.6410400154159193E-4</v>
      </c>
    </row>
    <row r="20" spans="1:12">
      <c r="A20" s="90" t="s">
        <v>362</v>
      </c>
      <c r="B20" s="90">
        <v>4.5</v>
      </c>
      <c r="C20" s="101">
        <f t="shared" si="5"/>
        <v>45516</v>
      </c>
      <c r="D20" s="269" t="str">
        <f>VLOOKUP(WEEKDAY(C20),Auxiliar!$A$1:$B$7,2)</f>
        <v>Monday</v>
      </c>
      <c r="E20" s="269">
        <f t="shared" si="6"/>
        <v>45516</v>
      </c>
      <c r="F20" s="102">
        <f t="shared" si="1"/>
        <v>4.5638888888888891</v>
      </c>
      <c r="G20" s="110">
        <f>'Bootstraping-Linear_Interpol'!R18</f>
        <v>1.0129984030329278</v>
      </c>
      <c r="H20" s="100" cm="1">
        <f t="array" ref="H20">VasicekBondPrice(F20,$I$3,$I$4,$I$5,$I$6)</f>
        <v>1.0143021668340206</v>
      </c>
      <c r="I20" s="100">
        <f t="shared" si="2"/>
        <v>-1.303763801092872E-3</v>
      </c>
      <c r="J20" s="110">
        <f t="shared" si="7"/>
        <v>-2.8297465400222823E-3</v>
      </c>
      <c r="K20" s="110" cm="1">
        <f t="array" ref="K20">-LN(VasicekBondPrice(F20,$L$3,$L$4,$L$5,$L$6))/F20</f>
        <v>-2.627958475429936E-3</v>
      </c>
      <c r="L20" s="110">
        <f t="shared" si="4"/>
        <v>-2.0178806459234628E-4</v>
      </c>
    </row>
    <row r="21" spans="1:12">
      <c r="A21" s="90" t="s">
        <v>362</v>
      </c>
      <c r="B21" s="90">
        <v>5</v>
      </c>
      <c r="C21" s="101">
        <f t="shared" si="5"/>
        <v>45700</v>
      </c>
      <c r="D21" s="269" t="str">
        <f>VLOOKUP(WEEKDAY(C21),Auxiliar!$A$1:$B$7,2)</f>
        <v>Wednesday</v>
      </c>
      <c r="E21" s="269">
        <f t="shared" si="6"/>
        <v>45700</v>
      </c>
      <c r="F21" s="102">
        <f t="shared" si="1"/>
        <v>5.0750000000000002</v>
      </c>
      <c r="G21" s="110">
        <f>'Bootstraping-Linear_Interpol'!R19</f>
        <v>1.0134263697880397</v>
      </c>
      <c r="H21" s="100" cm="1">
        <f t="array" ref="H21">VasicekBondPrice(F21,$I$3,$I$4,$I$5,$I$6)</f>
        <v>1.0141064905628165</v>
      </c>
      <c r="I21" s="100">
        <f t="shared" si="2"/>
        <v>-6.8012077477686006E-4</v>
      </c>
      <c r="J21" s="110">
        <f t="shared" si="7"/>
        <v>-2.6279871579032231E-3</v>
      </c>
      <c r="K21" s="110" cm="1">
        <f t="array" ref="K21">-LN(VasicekBondPrice(F21,$L$3,$L$4,$L$5,$L$6))/F21</f>
        <v>-2.3961545151592292E-3</v>
      </c>
      <c r="L21" s="110">
        <f t="shared" si="4"/>
        <v>-2.3183264274399384E-4</v>
      </c>
    </row>
    <row r="22" spans="1:12">
      <c r="A22" s="90" t="s">
        <v>362</v>
      </c>
      <c r="B22" s="90">
        <v>5.5</v>
      </c>
      <c r="C22" s="101">
        <f t="shared" si="5"/>
        <v>45881</v>
      </c>
      <c r="D22" s="269" t="str">
        <f>VLOOKUP(WEEKDAY(C22),Auxiliar!$A$1:$B$7,2)</f>
        <v>Tuesday</v>
      </c>
      <c r="E22" s="269">
        <f t="shared" si="6"/>
        <v>45881</v>
      </c>
      <c r="F22" s="102">
        <f t="shared" si="1"/>
        <v>5.5777777777777775</v>
      </c>
      <c r="G22" s="110">
        <f>'Bootstraping-Linear_Interpol'!R20</f>
        <v>1.0135216491518062</v>
      </c>
      <c r="H22" s="100" cm="1">
        <f t="array" ref="H22">VasicekBondPrice(F22,$I$3,$I$4,$I$5,$I$6)</f>
        <v>1.013610427695425</v>
      </c>
      <c r="I22" s="100">
        <f t="shared" si="2"/>
        <v>-8.8778543618772687E-5</v>
      </c>
      <c r="J22" s="110">
        <f t="shared" si="7"/>
        <v>-2.4079567164810309E-3</v>
      </c>
      <c r="K22" s="110" cm="1">
        <f t="array" ref="K22">-LN(VasicekBondPrice(F22,$L$3,$L$4,$L$5,$L$6))/F22</f>
        <v>-2.1720419799178712E-3</v>
      </c>
      <c r="L22" s="110">
        <f t="shared" si="4"/>
        <v>-2.3591473656315969E-4</v>
      </c>
    </row>
    <row r="23" spans="1:12">
      <c r="A23" s="90" t="s">
        <v>362</v>
      </c>
      <c r="B23" s="90">
        <v>6</v>
      </c>
      <c r="C23" s="101">
        <f t="shared" si="5"/>
        <v>46065</v>
      </c>
      <c r="D23" s="269" t="str">
        <f>VLOOKUP(WEEKDAY(C23),Auxiliar!$A$1:$B$7,2)</f>
        <v>Thursday</v>
      </c>
      <c r="E23" s="269">
        <f t="shared" si="6"/>
        <v>46065</v>
      </c>
      <c r="F23" s="102">
        <f t="shared" si="1"/>
        <v>6.0888888888888886</v>
      </c>
      <c r="G23" s="110">
        <f>'Bootstraping-Linear_Interpol'!R21</f>
        <v>1.0133599501332615</v>
      </c>
      <c r="H23" s="100" cm="1">
        <f t="array" ref="H23">VasicekBondPrice(F23,$I$3,$I$4,$I$5,$I$6)</f>
        <v>1.0128119779525697</v>
      </c>
      <c r="I23" s="100">
        <f t="shared" si="2"/>
        <v>5.4797218069180254E-4</v>
      </c>
      <c r="J23" s="110">
        <f t="shared" si="7"/>
        <v>-2.1796247601355728E-3</v>
      </c>
      <c r="K23" s="110" cm="1">
        <f t="array" ref="K23">-LN(VasicekBondPrice(F23,$L$3,$L$4,$L$5,$L$6))/F23</f>
        <v>-1.9481142017138762E-3</v>
      </c>
      <c r="L23" s="110">
        <f t="shared" si="4"/>
        <v>-2.3151055842169656E-4</v>
      </c>
    </row>
    <row r="24" spans="1:12">
      <c r="A24" s="90" t="s">
        <v>362</v>
      </c>
      <c r="B24" s="90">
        <v>6.5</v>
      </c>
      <c r="C24" s="101">
        <f t="shared" si="5"/>
        <v>46246</v>
      </c>
      <c r="D24" s="269" t="str">
        <f>VLOOKUP(WEEKDAY(C24),Auxiliar!$A$1:$B$7,2)</f>
        <v>Wednesday</v>
      </c>
      <c r="E24" s="269">
        <f t="shared" si="6"/>
        <v>46246</v>
      </c>
      <c r="F24" s="102">
        <f t="shared" si="1"/>
        <v>6.5916666666666668</v>
      </c>
      <c r="G24" s="110">
        <f>'Bootstraping-Linear_Interpol'!R22</f>
        <v>1.0128305336924632</v>
      </c>
      <c r="H24" s="100" cm="1">
        <f t="array" ref="H24">VasicekBondPrice(F24,$I$3,$I$4,$I$5,$I$6)</f>
        <v>1.0117514074110132</v>
      </c>
      <c r="I24" s="100">
        <f t="shared" si="2"/>
        <v>1.0791262814500158E-3</v>
      </c>
      <c r="J24" s="110">
        <f t="shared" si="7"/>
        <v>-1.9340965492724504E-3</v>
      </c>
      <c r="K24" s="110" cm="1">
        <f t="array" ref="K24">-LN(VasicekBondPrice(F24,$L$3,$L$4,$L$5,$L$6))/F24</f>
        <v>-1.7315989093828108E-3</v>
      </c>
      <c r="L24" s="110">
        <f t="shared" si="4"/>
        <v>-2.0249763988963959E-4</v>
      </c>
    </row>
    <row r="25" spans="1:12">
      <c r="A25" s="90" t="s">
        <v>362</v>
      </c>
      <c r="B25" s="90">
        <v>7</v>
      </c>
      <c r="C25" s="101">
        <f t="shared" si="5"/>
        <v>46430</v>
      </c>
      <c r="D25" s="269" t="str">
        <f>VLOOKUP(WEEKDAY(C25),Auxiliar!$A$1:$B$7,2)</f>
        <v>Friday</v>
      </c>
      <c r="E25" s="269">
        <f t="shared" si="6"/>
        <v>46430</v>
      </c>
      <c r="F25" s="102">
        <f t="shared" si="1"/>
        <v>7.1027777777777779</v>
      </c>
      <c r="G25" s="110">
        <f>'Bootstraping-Linear_Interpol'!R23</f>
        <v>1.0119976269221789</v>
      </c>
      <c r="H25" s="100" cm="1">
        <f t="array" ref="H25">VasicekBondPrice(F25,$I$3,$I$4,$I$5,$I$6)</f>
        <v>1.0104081665380544</v>
      </c>
      <c r="I25" s="100">
        <f t="shared" si="2"/>
        <v>1.5894603841244415E-3</v>
      </c>
      <c r="J25" s="110">
        <f t="shared" si="7"/>
        <v>-1.6790932079107396E-3</v>
      </c>
      <c r="K25" s="110" cm="1">
        <f t="array" ref="K25">-LN(VasicekBondPrice(F25,$L$3,$L$4,$L$5,$L$6))/F25</f>
        <v>-1.5152444692135242E-3</v>
      </c>
      <c r="L25" s="110">
        <f t="shared" si="4"/>
        <v>-1.6384873869721545E-4</v>
      </c>
    </row>
    <row r="26" spans="1:12">
      <c r="A26" s="90" t="s">
        <v>362</v>
      </c>
      <c r="B26" s="90">
        <v>7.5</v>
      </c>
      <c r="C26" s="101">
        <f t="shared" si="5"/>
        <v>46611</v>
      </c>
      <c r="D26" s="269" t="str">
        <f>VLOOKUP(WEEKDAY(C26),Auxiliar!$A$1:$B$7,2)</f>
        <v>Thursday</v>
      </c>
      <c r="E26" s="269">
        <f t="shared" si="6"/>
        <v>46611</v>
      </c>
      <c r="F26" s="102">
        <f t="shared" si="1"/>
        <v>7.6055555555555552</v>
      </c>
      <c r="G26" s="110">
        <f>'Bootstraping-Linear_Interpol'!R24</f>
        <v>1.0107653473369573</v>
      </c>
      <c r="H26" s="100" cm="1">
        <f t="array" ref="H26">VasicekBondPrice(F26,$I$3,$I$4,$I$5,$I$6)</f>
        <v>1.0088403730495736</v>
      </c>
      <c r="I26" s="100">
        <f t="shared" si="2"/>
        <v>1.9249742873836961E-3</v>
      </c>
      <c r="J26" s="110">
        <f t="shared" si="7"/>
        <v>-1.4078936710208722E-3</v>
      </c>
      <c r="K26" s="110" cm="1">
        <f t="array" ref="K26">-LN(VasicekBondPrice(F26,$L$3,$L$4,$L$5,$L$6))/F26</f>
        <v>-1.3060347083114349E-3</v>
      </c>
      <c r="L26" s="110">
        <f t="shared" si="4"/>
        <v>-1.0185896270943737E-4</v>
      </c>
    </row>
    <row r="27" spans="1:12">
      <c r="A27" s="90" t="s">
        <v>362</v>
      </c>
      <c r="B27" s="90">
        <v>8</v>
      </c>
      <c r="C27" s="101">
        <f t="shared" si="5"/>
        <v>46795</v>
      </c>
      <c r="D27" s="269" t="str">
        <f>VLOOKUP(WEEKDAY(C27),Auxiliar!$A$1:$B$7,2)</f>
        <v>Saturday</v>
      </c>
      <c r="E27" s="269">
        <f t="shared" si="6"/>
        <v>46797</v>
      </c>
      <c r="F27" s="102">
        <f t="shared" si="1"/>
        <v>8.1222222222222218</v>
      </c>
      <c r="G27" s="110">
        <f>'Bootstraping-Linear_Interpol'!R25</f>
        <v>1.0092006157390916</v>
      </c>
      <c r="H27" s="100" cm="1">
        <f t="array" ref="H27">VasicekBondPrice(F27,$I$3,$I$4,$I$5,$I$6)</f>
        <v>1.0069895408214173</v>
      </c>
      <c r="I27" s="100">
        <f t="shared" si="2"/>
        <v>2.2110749176742495E-3</v>
      </c>
      <c r="J27" s="110">
        <f t="shared" si="7"/>
        <v>-1.1275913980111159E-3</v>
      </c>
      <c r="K27" s="110" cm="1">
        <f t="array" ref="K27">-LN(VasicekBondPrice(F27,$L$3,$L$4,$L$5,$L$6))/F27</f>
        <v>-1.0947104169728059E-3</v>
      </c>
      <c r="L27" s="110">
        <f t="shared" si="4"/>
        <v>-3.2880981038309939E-5</v>
      </c>
    </row>
    <row r="28" spans="1:12">
      <c r="A28" s="90" t="s">
        <v>362</v>
      </c>
      <c r="B28" s="90">
        <v>8.5</v>
      </c>
      <c r="C28" s="101">
        <f t="shared" si="5"/>
        <v>46977</v>
      </c>
      <c r="D28" s="269" t="str">
        <f>VLOOKUP(WEEKDAY(C28),Auxiliar!$A$1:$B$7,2)</f>
        <v>Saturday</v>
      </c>
      <c r="E28" s="269">
        <f t="shared" si="6"/>
        <v>46979</v>
      </c>
      <c r="F28" s="102">
        <f t="shared" si="1"/>
        <v>8.6277777777777782</v>
      </c>
      <c r="G28" s="110">
        <f>'Bootstraping-Linear_Interpol'!R26</f>
        <v>1.0073522800434731</v>
      </c>
      <c r="H28" s="100" cm="1">
        <f t="array" ref="H28">VasicekBondPrice(F28,$I$3,$I$4,$I$5,$I$6)</f>
        <v>1.0049578434416677</v>
      </c>
      <c r="I28" s="100">
        <f t="shared" si="2"/>
        <v>2.3944366018053831E-3</v>
      </c>
      <c r="J28" s="110">
        <f t="shared" si="7"/>
        <v>-8.4904641418976419E-4</v>
      </c>
      <c r="K28" s="110" cm="1">
        <f t="array" ref="K28">-LN(VasicekBondPrice(F28,$L$3,$L$4,$L$5,$L$6))/F28</f>
        <v>-8.9145684077189167E-4</v>
      </c>
      <c r="L28" s="110">
        <f t="shared" si="4"/>
        <v>4.2410426582127473E-5</v>
      </c>
    </row>
    <row r="29" spans="1:12">
      <c r="A29" s="90" t="s">
        <v>362</v>
      </c>
      <c r="B29" s="90">
        <v>9</v>
      </c>
      <c r="C29" s="101">
        <f t="shared" si="5"/>
        <v>47161</v>
      </c>
      <c r="D29" s="269" t="str">
        <f>VLOOKUP(WEEKDAY(C29),Auxiliar!$A$1:$B$7,2)</f>
        <v>Monday</v>
      </c>
      <c r="E29" s="269">
        <f>IF(D29="Saturday",C29+2,IF(D29="Sunday",C29+1,C29))</f>
        <v>47161</v>
      </c>
      <c r="F29" s="102">
        <f t="shared" si="1"/>
        <v>9.1333333333333329</v>
      </c>
      <c r="G29" s="110">
        <f>'Bootstraping-Linear_Interpol'!R27</f>
        <v>1.0052078352548612</v>
      </c>
      <c r="H29" s="100" cm="1">
        <f t="array" ref="H29">VasicekBondPrice(F29,$I$3,$I$4,$I$5,$I$6)</f>
        <v>1.0027222208896824</v>
      </c>
      <c r="I29" s="100">
        <f t="shared" si="2"/>
        <v>2.485614365178801E-3</v>
      </c>
      <c r="J29" s="110">
        <f>-LN(G29)/F29</f>
        <v>-5.6872131889342567E-4</v>
      </c>
      <c r="K29" s="110" cm="1">
        <f t="array" ref="K29">-LN(VasicekBondPrice(F29,$L$3,$L$4,$L$5,$L$6))/F29</f>
        <v>-6.916235085062209E-4</v>
      </c>
      <c r="L29" s="110">
        <f t="shared" si="4"/>
        <v>1.2290218961279523E-4</v>
      </c>
    </row>
    <row r="30" spans="1:12">
      <c r="A30" s="90" t="s">
        <v>362</v>
      </c>
      <c r="B30" s="90">
        <v>9.5</v>
      </c>
      <c r="C30" s="101">
        <f t="shared" si="5"/>
        <v>47342</v>
      </c>
      <c r="D30" s="269" t="str">
        <f>VLOOKUP(WEEKDAY(C30),Auxiliar!$A$1:$B$7,2)</f>
        <v>Sunday</v>
      </c>
      <c r="E30" s="269">
        <f>IF(D30="Saturday",C30+2,IF(D30="Sunday",C30+1,C30))</f>
        <v>47343</v>
      </c>
      <c r="F30" s="102">
        <f t="shared" si="1"/>
        <v>9.6388888888888893</v>
      </c>
      <c r="G30" s="110">
        <f>'Bootstraping-Linear_Interpol'!R28</f>
        <v>1.0027428937830463</v>
      </c>
      <c r="H30" s="100" cm="1">
        <f t="array" ref="H30">VasicekBondPrice(F30,$I$3,$I$4,$I$5,$I$6)</f>
        <v>1.0002968175181224</v>
      </c>
      <c r="I30" s="100">
        <f t="shared" si="2"/>
        <v>2.4460762649238799E-3</v>
      </c>
      <c r="J30" s="110">
        <f>-LN(G30)/F30</f>
        <v>-2.8417579516050136E-4</v>
      </c>
      <c r="K30" s="110" cm="1">
        <f t="array" ref="K30">-LN(VasicekBondPrice(F30,$L$3,$L$4,$L$5,$L$6))/F30</f>
        <v>-4.9514476711702766E-4</v>
      </c>
      <c r="L30" s="110">
        <f t="shared" si="4"/>
        <v>2.1096897195652629E-4</v>
      </c>
    </row>
    <row r="31" spans="1:12">
      <c r="A31" s="90" t="s">
        <v>362</v>
      </c>
      <c r="B31" s="90">
        <v>10</v>
      </c>
      <c r="C31" s="101">
        <f t="shared" si="5"/>
        <v>47526</v>
      </c>
      <c r="D31" s="269" t="str">
        <f>VLOOKUP(WEEKDAY(C31),Auxiliar!$A$1:$B$7,2)</f>
        <v>Tuesday</v>
      </c>
      <c r="E31" s="269">
        <f>IF(D31="Saturday",C31+2,IF(D31="Sunday",C31+1,C31))</f>
        <v>47526</v>
      </c>
      <c r="F31" s="102">
        <f t="shared" si="1"/>
        <v>10.147222222222222</v>
      </c>
      <c r="G31" s="110">
        <f>'Bootstraping-Linear_Interpol'!R29</f>
        <v>1.0000051136254562</v>
      </c>
      <c r="H31" s="100" cm="1">
        <f t="array" ref="H31">VasicekBondPrice(F31,$I$3,$I$4,$I$5,$I$6)</f>
        <v>0.99768090613691718</v>
      </c>
      <c r="I31" s="100">
        <f t="shared" si="2"/>
        <v>2.3242074885390096E-3</v>
      </c>
      <c r="J31" s="110">
        <f>-LN(G31)/F31</f>
        <v>-5.0394209071829353E-7</v>
      </c>
      <c r="K31" s="110" cm="1">
        <f t="array" ref="K31">-LN(VasicekBondPrice(F31,$L$3,$L$4,$L$5,$L$6))/F31</f>
        <v>-3.0090381430239384E-4</v>
      </c>
      <c r="L31" s="110">
        <f t="shared" si="4"/>
        <v>3.0039987221167557E-4</v>
      </c>
    </row>
    <row r="32" spans="1:12">
      <c r="A32" s="90" t="s">
        <v>362</v>
      </c>
      <c r="B32" s="90">
        <v>10.5</v>
      </c>
      <c r="C32" s="101">
        <f t="shared" ref="C32:C51" si="8">EDATE(C31,6)</f>
        <v>47707</v>
      </c>
      <c r="D32" s="269" t="str">
        <f>VLOOKUP(WEEKDAY(C32),Auxiliar!$A$1:$B$7,2)</f>
        <v>Monday</v>
      </c>
      <c r="E32" s="269">
        <f t="shared" ref="E32:E51" si="9">IF(D32="Saturday",C32+2,IF(D32="Sunday",C32+1,C32))</f>
        <v>47707</v>
      </c>
      <c r="F32" s="102">
        <f t="shared" si="1"/>
        <v>10.65</v>
      </c>
      <c r="G32" s="110">
        <f>'Bootstraping-Linear_Interpol'!R30</f>
        <v>0.9970925583720528</v>
      </c>
      <c r="H32" s="100" cm="1">
        <f t="array" ref="H32">VasicekBondPrice(F32,$I$3,$I$4,$I$5,$I$6)</f>
        <v>0.99493262506565683</v>
      </c>
      <c r="I32" s="100">
        <f t="shared" ref="I32:I51" si="10">G32-H32</f>
        <v>2.1599333063959669E-3</v>
      </c>
      <c r="J32" s="110">
        <f t="shared" ref="J32:J51" si="11">-LN(G32)/F32</f>
        <v>2.733968494530072E-4</v>
      </c>
      <c r="K32" s="110" cm="1">
        <f t="array" ref="K32">-LN(VasicekBondPrice(F32,$L$3,$L$4,$L$5,$L$6))/F32</f>
        <v>-1.1199518413050291E-4</v>
      </c>
      <c r="L32" s="110">
        <f t="shared" ref="L32:L51" si="12">(J32-K32)</f>
        <v>3.8539203358351013E-4</v>
      </c>
    </row>
    <row r="33" spans="1:12">
      <c r="A33" s="90" t="s">
        <v>362</v>
      </c>
      <c r="B33" s="90">
        <v>11</v>
      </c>
      <c r="C33" s="101">
        <f t="shared" si="8"/>
        <v>47891</v>
      </c>
      <c r="D33" s="269" t="str">
        <f>VLOOKUP(WEEKDAY(C33),Auxiliar!$A$1:$B$7,2)</f>
        <v>Wednesday</v>
      </c>
      <c r="E33" s="269">
        <f t="shared" si="9"/>
        <v>47891</v>
      </c>
      <c r="F33" s="102">
        <f t="shared" si="1"/>
        <v>11.161111111111111</v>
      </c>
      <c r="G33" s="110">
        <f>'Bootstraping-Linear_Interpol'!R31</f>
        <v>0.99385361452465637</v>
      </c>
      <c r="H33" s="100" cm="1">
        <f t="array" ref="H33">VasicekBondPrice(F33,$I$3,$I$4,$I$5,$I$6)</f>
        <v>0.9919886757038715</v>
      </c>
      <c r="I33" s="100">
        <f t="shared" si="10"/>
        <v>1.8649388207848672E-3</v>
      </c>
      <c r="J33" s="110">
        <f t="shared" si="11"/>
        <v>5.5239592180615529E-4</v>
      </c>
      <c r="K33" s="110" cm="1">
        <f t="array" ref="K33">-LN(VasicekBondPrice(F33,$L$3,$L$4,$L$5,$L$6))/F33</f>
        <v>7.683565021428349E-5</v>
      </c>
      <c r="L33" s="110">
        <f t="shared" si="12"/>
        <v>4.755602715918718E-4</v>
      </c>
    </row>
    <row r="34" spans="1:12">
      <c r="A34" s="90" t="s">
        <v>362</v>
      </c>
      <c r="B34" s="90">
        <v>11.5</v>
      </c>
      <c r="C34" s="101">
        <f t="shared" si="8"/>
        <v>48072</v>
      </c>
      <c r="D34" s="269" t="str">
        <f>VLOOKUP(WEEKDAY(C34),Auxiliar!$A$1:$B$7,2)</f>
        <v>Tuesday</v>
      </c>
      <c r="E34" s="269">
        <f t="shared" si="9"/>
        <v>48072</v>
      </c>
      <c r="F34" s="102">
        <f t="shared" si="1"/>
        <v>11.66388888888889</v>
      </c>
      <c r="G34" s="110">
        <f>'Bootstraping-Linear_Interpol'!R32</f>
        <v>0.99039532379994277</v>
      </c>
      <c r="H34" s="100" cm="1">
        <f t="array" ref="H34">VasicekBondPrice(F34,$I$3,$I$4,$I$5,$I$6)</f>
        <v>0.9889585580556397</v>
      </c>
      <c r="I34" s="100">
        <f t="shared" si="10"/>
        <v>1.4367657443030701E-3</v>
      </c>
      <c r="J34" s="110">
        <f t="shared" si="11"/>
        <v>8.2743403007372839E-4</v>
      </c>
      <c r="K34" s="110" cm="1">
        <f t="array" ref="K34">-LN(VasicekBondPrice(F34,$L$3,$L$4,$L$5,$L$6))/F34</f>
        <v>2.5949139855202177E-4</v>
      </c>
      <c r="L34" s="110">
        <f t="shared" si="12"/>
        <v>5.6794263152170656E-4</v>
      </c>
    </row>
    <row r="35" spans="1:12">
      <c r="A35" s="90" t="s">
        <v>362</v>
      </c>
      <c r="B35" s="90">
        <v>12</v>
      </c>
      <c r="C35" s="101">
        <f t="shared" si="8"/>
        <v>48256</v>
      </c>
      <c r="D35" s="269" t="str">
        <f>VLOOKUP(WEEKDAY(C35),Auxiliar!$A$1:$B$7,2)</f>
        <v>Thursday</v>
      </c>
      <c r="E35" s="269">
        <f t="shared" si="9"/>
        <v>48256</v>
      </c>
      <c r="F35" s="102">
        <f t="shared" si="1"/>
        <v>12.175000000000001</v>
      </c>
      <c r="G35" s="110">
        <f>'Bootstraping-Linear_Interpol'!R33</f>
        <v>0.98679020693532449</v>
      </c>
      <c r="H35" s="100" cm="1">
        <f t="array" ref="H35">VasicekBondPrice(F35,$I$3,$I$4,$I$5,$I$6)</f>
        <v>0.98575542612251821</v>
      </c>
      <c r="I35" s="100">
        <f t="shared" si="10"/>
        <v>1.0347808128062796E-3</v>
      </c>
      <c r="J35" s="110">
        <f t="shared" si="11"/>
        <v>1.0922232803677284E-3</v>
      </c>
      <c r="K35" s="110" cm="1">
        <f t="array" ref="K35">-LN(VasicekBondPrice(F35,$L$3,$L$4,$L$5,$L$6))/F35</f>
        <v>4.4208725142236738E-4</v>
      </c>
      <c r="L35" s="110">
        <f t="shared" si="12"/>
        <v>6.5013602894536103E-4</v>
      </c>
    </row>
    <row r="36" spans="1:12">
      <c r="A36" s="90" t="s">
        <v>362</v>
      </c>
      <c r="B36" s="90">
        <v>12.5</v>
      </c>
      <c r="C36" s="101">
        <f t="shared" si="8"/>
        <v>48438</v>
      </c>
      <c r="D36" s="269" t="str">
        <f>VLOOKUP(WEEKDAY(C36),Auxiliar!$A$1:$B$7,2)</f>
        <v>Thursday</v>
      </c>
      <c r="E36" s="269">
        <f t="shared" si="9"/>
        <v>48438</v>
      </c>
      <c r="F36" s="102">
        <f t="shared" si="1"/>
        <v>12.680555555555555</v>
      </c>
      <c r="G36" s="110">
        <f>'Bootstraping-Linear_Interpol'!R34</f>
        <v>0.98333474078483463</v>
      </c>
      <c r="H36" s="100" cm="1">
        <f t="array" ref="H36">VasicekBondPrice(F36,$I$3,$I$4,$I$5,$I$6)</f>
        <v>0.98247854800238621</v>
      </c>
      <c r="I36" s="100">
        <f t="shared" si="10"/>
        <v>8.5619278244841723E-4</v>
      </c>
      <c r="J36" s="110">
        <f t="shared" si="11"/>
        <v>1.3253115714974512E-3</v>
      </c>
      <c r="K36" s="110" cm="1">
        <f t="array" ref="K36">-LN(VasicekBondPrice(F36,$L$3,$L$4,$L$5,$L$6))/F36</f>
        <v>6.1969458558536552E-4</v>
      </c>
      <c r="L36" s="110">
        <f t="shared" si="12"/>
        <v>7.0561698591208564E-4</v>
      </c>
    </row>
    <row r="37" spans="1:12">
      <c r="A37" s="90" t="s">
        <v>362</v>
      </c>
      <c r="B37" s="90">
        <v>13</v>
      </c>
      <c r="C37" s="101">
        <f t="shared" si="8"/>
        <v>48622</v>
      </c>
      <c r="D37" s="269" t="str">
        <f>VLOOKUP(WEEKDAY(C37),Auxiliar!$A$1:$B$7,2)</f>
        <v>Saturday</v>
      </c>
      <c r="E37" s="269">
        <f t="shared" si="9"/>
        <v>48624</v>
      </c>
      <c r="F37" s="102">
        <f t="shared" si="1"/>
        <v>13.197222222222223</v>
      </c>
      <c r="G37" s="110">
        <f>'Bootstraping-Linear_Interpol'!R35</f>
        <v>0.97957089337625958</v>
      </c>
      <c r="H37" s="100" cm="1">
        <f t="array" ref="H37">VasicekBondPrice(F37,$I$3,$I$4,$I$5,$I$6)</f>
        <v>0.97903157617680814</v>
      </c>
      <c r="I37" s="100">
        <f t="shared" si="10"/>
        <v>5.3931719945143897E-4</v>
      </c>
      <c r="J37" s="110">
        <f t="shared" si="11"/>
        <v>1.5640160302014187E-3</v>
      </c>
      <c r="K37" s="110" cm="1">
        <f t="array" ref="K37">-LN(VasicekBondPrice(F37,$L$3,$L$4,$L$5,$L$6))/F37</f>
        <v>7.9817807851658232E-4</v>
      </c>
      <c r="L37" s="110">
        <f t="shared" si="12"/>
        <v>7.6583795168483641E-4</v>
      </c>
    </row>
    <row r="38" spans="1:12">
      <c r="A38" s="90" t="s">
        <v>362</v>
      </c>
      <c r="B38" s="90">
        <v>13.5</v>
      </c>
      <c r="C38" s="101">
        <f t="shared" si="8"/>
        <v>48803</v>
      </c>
      <c r="D38" s="269" t="str">
        <f>VLOOKUP(WEEKDAY(C38),Auxiliar!$A$1:$B$7,2)</f>
        <v>Friday</v>
      </c>
      <c r="E38" s="269">
        <f t="shared" si="9"/>
        <v>48803</v>
      </c>
      <c r="F38" s="102">
        <f t="shared" si="1"/>
        <v>13.694444444444445</v>
      </c>
      <c r="G38" s="110">
        <f>'Bootstraping-Linear_Interpol'!R36</f>
        <v>0.97572820524914383</v>
      </c>
      <c r="H38" s="100" cm="1">
        <f t="array" ref="H38">VasicekBondPrice(F38,$I$3,$I$4,$I$5,$I$6)</f>
        <v>0.97563323446835637</v>
      </c>
      <c r="I38" s="100">
        <f t="shared" si="10"/>
        <v>9.4970780787462239E-5</v>
      </c>
      <c r="J38" s="110">
        <f t="shared" si="11"/>
        <v>1.7942465413126594E-3</v>
      </c>
      <c r="K38" s="110" cm="1">
        <f t="array" ref="K38">-LN(VasicekBondPrice(F38,$L$3,$L$4,$L$5,$L$6))/F38</f>
        <v>9.6710974552900026E-4</v>
      </c>
      <c r="L38" s="110">
        <f t="shared" si="12"/>
        <v>8.2713679578365915E-4</v>
      </c>
    </row>
    <row r="39" spans="1:12">
      <c r="A39" s="90" t="s">
        <v>362</v>
      </c>
      <c r="B39" s="90">
        <v>14</v>
      </c>
      <c r="C39" s="101">
        <f t="shared" si="8"/>
        <v>48987</v>
      </c>
      <c r="D39" s="269" t="str">
        <f>VLOOKUP(WEEKDAY(C39),Auxiliar!$A$1:$B$7,2)</f>
        <v>Sunday</v>
      </c>
      <c r="E39" s="269">
        <f t="shared" si="9"/>
        <v>48988</v>
      </c>
      <c r="F39" s="102">
        <f t="shared" si="1"/>
        <v>14.208333333333334</v>
      </c>
      <c r="G39" s="110">
        <f>'Bootstraping-Linear_Interpol'!R37</f>
        <v>0.9715311937408968</v>
      </c>
      <c r="H39" s="100" cm="1">
        <f t="array" ref="H39">VasicekBondPrice(F39,$I$3,$I$4,$I$5,$I$6)</f>
        <v>0.97205012359484066</v>
      </c>
      <c r="I39" s="100">
        <f t="shared" si="10"/>
        <v>-5.1892985394386137E-4</v>
      </c>
      <c r="J39" s="110">
        <f t="shared" si="11"/>
        <v>2.0327438243190697E-3</v>
      </c>
      <c r="K39" s="110" cm="1">
        <f t="array" ref="K39">-LN(VasicekBondPrice(F39,$L$3,$L$4,$L$5,$L$6))/F39</f>
        <v>1.1388379679842131E-3</v>
      </c>
      <c r="L39" s="110">
        <f t="shared" si="12"/>
        <v>8.939058563348565E-4</v>
      </c>
    </row>
    <row r="40" spans="1:12">
      <c r="A40" s="90" t="s">
        <v>362</v>
      </c>
      <c r="B40" s="90">
        <v>14.5</v>
      </c>
      <c r="C40" s="101">
        <f t="shared" si="8"/>
        <v>49168</v>
      </c>
      <c r="D40" s="269" t="str">
        <f>VLOOKUP(WEEKDAY(C40),Auxiliar!$A$1:$B$7,2)</f>
        <v>Saturday</v>
      </c>
      <c r="E40" s="269">
        <f t="shared" si="9"/>
        <v>49170</v>
      </c>
      <c r="F40" s="102">
        <f t="shared" si="1"/>
        <v>14.713888888888889</v>
      </c>
      <c r="G40" s="110">
        <f>'Bootstraping-Linear_Interpol'!R38</f>
        <v>0.96718015777272259</v>
      </c>
      <c r="H40" s="100" cm="1">
        <f t="array" ref="H40">VasicekBondPrice(F40,$I$3,$I$4,$I$5,$I$6)</f>
        <v>0.96846711094548599</v>
      </c>
      <c r="I40" s="100">
        <f t="shared" si="10"/>
        <v>-1.2869531727633943E-3</v>
      </c>
      <c r="J40" s="110">
        <f t="shared" si="11"/>
        <v>2.2679588834270781E-3</v>
      </c>
      <c r="K40" s="110" cm="1">
        <f t="array" ref="K40">-LN(VasicekBondPrice(F40,$L$3,$L$4,$L$5,$L$6))/F40</f>
        <v>1.3049924437659086E-3</v>
      </c>
      <c r="L40" s="110">
        <f t="shared" si="12"/>
        <v>9.6296643966116945E-4</v>
      </c>
    </row>
    <row r="41" spans="1:12">
      <c r="A41" s="90" t="s">
        <v>362</v>
      </c>
      <c r="B41" s="90">
        <v>15</v>
      </c>
      <c r="C41" s="101">
        <f t="shared" si="8"/>
        <v>49352</v>
      </c>
      <c r="D41" s="269" t="str">
        <f>VLOOKUP(WEEKDAY(C41),Auxiliar!$A$1:$B$7,2)</f>
        <v>Monday</v>
      </c>
      <c r="E41" s="269">
        <f t="shared" si="9"/>
        <v>49352</v>
      </c>
      <c r="F41" s="102">
        <f t="shared" si="1"/>
        <v>15.219444444444445</v>
      </c>
      <c r="G41" s="110">
        <f>'Bootstraping-Linear_Interpol'!R39</f>
        <v>0.96323486181379736</v>
      </c>
      <c r="H41" s="100" cm="1">
        <f t="array" ref="H41">VasicekBondPrice(F41,$I$3,$I$4,$I$5,$I$6)</f>
        <v>0.96483855439098187</v>
      </c>
      <c r="I41" s="100">
        <f t="shared" si="10"/>
        <v>-1.6036925771845123E-3</v>
      </c>
      <c r="J41" s="110">
        <f t="shared" si="11"/>
        <v>2.4611943935096206E-3</v>
      </c>
      <c r="K41" s="110" cm="1">
        <f t="array" ref="K41">-LN(VasicekBondPrice(F41,$L$3,$L$4,$L$5,$L$6))/F41</f>
        <v>1.4684332683622572E-3</v>
      </c>
      <c r="L41" s="110">
        <f t="shared" si="12"/>
        <v>9.9276112514736338E-4</v>
      </c>
    </row>
    <row r="42" spans="1:12">
      <c r="A42" s="90" t="s">
        <v>362</v>
      </c>
      <c r="B42" s="90">
        <v>15.5</v>
      </c>
      <c r="C42" s="101">
        <f t="shared" si="8"/>
        <v>49533</v>
      </c>
      <c r="D42" s="269" t="str">
        <f>VLOOKUP(WEEKDAY(C42),Auxiliar!$A$1:$B$7,2)</f>
        <v>Sunday</v>
      </c>
      <c r="E42" s="269">
        <f t="shared" si="9"/>
        <v>49534</v>
      </c>
      <c r="F42" s="102">
        <f t="shared" si="1"/>
        <v>15.725</v>
      </c>
      <c r="G42" s="110">
        <f>'Bootstraping-Linear_Interpol'!R40</f>
        <v>0.95995155192871962</v>
      </c>
      <c r="H42" s="100" cm="1">
        <f t="array" ref="H42">VasicekBondPrice(F42,$I$3,$I$4,$I$5,$I$6)</f>
        <v>0.9611761174476311</v>
      </c>
      <c r="I42" s="100">
        <f t="shared" si="10"/>
        <v>-1.2245655189114801E-3</v>
      </c>
      <c r="J42" s="110">
        <f t="shared" si="11"/>
        <v>2.5992027049069008E-3</v>
      </c>
      <c r="K42" s="110" cm="1">
        <f t="array" ref="K42">-LN(VasicekBondPrice(F42,$L$3,$L$4,$L$5,$L$6))/F42</f>
        <v>1.6292116006838126E-3</v>
      </c>
      <c r="L42" s="110">
        <f t="shared" si="12"/>
        <v>9.6999110422308818E-4</v>
      </c>
    </row>
    <row r="43" spans="1:12">
      <c r="A43" s="90" t="s">
        <v>362</v>
      </c>
      <c r="B43" s="90">
        <v>16</v>
      </c>
      <c r="C43" s="101">
        <f t="shared" si="8"/>
        <v>49717</v>
      </c>
      <c r="D43" s="269" t="str">
        <f>VLOOKUP(WEEKDAY(C43),Auxiliar!$A$1:$B$7,2)</f>
        <v>Tuesday</v>
      </c>
      <c r="E43" s="269">
        <f t="shared" si="9"/>
        <v>49717</v>
      </c>
      <c r="F43" s="102">
        <f t="shared" si="1"/>
        <v>16.233333333333334</v>
      </c>
      <c r="G43" s="110">
        <f>'Bootstraping-Linear_Interpol'!R41</f>
        <v>0.95652328213654647</v>
      </c>
      <c r="H43" s="100" cm="1">
        <f t="array" ref="H43">VasicekBondPrice(F43,$I$3,$I$4,$I$5,$I$6)</f>
        <v>0.9574709151065427</v>
      </c>
      <c r="I43" s="100">
        <f t="shared" si="10"/>
        <v>-9.4763296999622604E-4</v>
      </c>
      <c r="J43" s="110">
        <f t="shared" si="11"/>
        <v>2.7382022235758821E-3</v>
      </c>
      <c r="K43" s="110" cm="1">
        <f t="array" ref="K43">-LN(VasicekBondPrice(F43,$L$3,$L$4,$L$5,$L$6))/F43</f>
        <v>1.788239475905714E-3</v>
      </c>
      <c r="L43" s="110">
        <f t="shared" si="12"/>
        <v>9.4996274767016812E-4</v>
      </c>
    </row>
    <row r="44" spans="1:12">
      <c r="A44" s="90" t="s">
        <v>362</v>
      </c>
      <c r="B44" s="90">
        <v>16.5</v>
      </c>
      <c r="C44" s="101">
        <f t="shared" si="8"/>
        <v>49899</v>
      </c>
      <c r="D44" s="269" t="str">
        <f>VLOOKUP(WEEKDAY(C44),Auxiliar!$A$1:$B$7,2)</f>
        <v>Tuesday</v>
      </c>
      <c r="E44" s="269">
        <f t="shared" si="9"/>
        <v>49899</v>
      </c>
      <c r="F44" s="102">
        <f t="shared" si="1"/>
        <v>16.738888888888887</v>
      </c>
      <c r="G44" s="110">
        <f>'Bootstraping-Linear_Interpol'!R42</f>
        <v>0.95298837254024249</v>
      </c>
      <c r="H44" s="100" cm="1">
        <f t="array" ref="H44">VasicekBondPrice(F44,$I$3,$I$4,$I$5,$I$6)</f>
        <v>0.9537746337388906</v>
      </c>
      <c r="I44" s="100">
        <f t="shared" si="10"/>
        <v>-7.8626119864810828E-4</v>
      </c>
      <c r="J44" s="110">
        <f t="shared" si="11"/>
        <v>2.8766889262577485E-3</v>
      </c>
      <c r="K44" s="110" cm="1">
        <f t="array" ref="K44">-LN(VasicekBondPrice(F44,$L$3,$L$4,$L$5,$L$6))/F44</f>
        <v>1.9438282033576114E-3</v>
      </c>
      <c r="L44" s="110">
        <f t="shared" si="12"/>
        <v>9.3286072290013709E-4</v>
      </c>
    </row>
    <row r="45" spans="1:12">
      <c r="A45" s="90" t="s">
        <v>362</v>
      </c>
      <c r="B45" s="90">
        <v>17</v>
      </c>
      <c r="C45" s="101">
        <f t="shared" si="8"/>
        <v>50083</v>
      </c>
      <c r="D45" s="269" t="str">
        <f>VLOOKUP(WEEKDAY(C45),Auxiliar!$A$1:$B$7,2)</f>
        <v>Thursday</v>
      </c>
      <c r="E45" s="269">
        <f t="shared" si="9"/>
        <v>50083</v>
      </c>
      <c r="F45" s="102">
        <f t="shared" si="1"/>
        <v>17.25</v>
      </c>
      <c r="G45" s="110">
        <f>'Bootstraping-Linear_Interpol'!R43</f>
        <v>0.94928848899498064</v>
      </c>
      <c r="H45" s="100" cm="1">
        <f t="array" ref="H45">VasicekBondPrice(F45,$I$3,$I$4,$I$5,$I$6)</f>
        <v>0.95003737236508567</v>
      </c>
      <c r="I45" s="100">
        <f t="shared" si="10"/>
        <v>-7.488833701050357E-4</v>
      </c>
      <c r="J45" s="110">
        <f t="shared" si="11"/>
        <v>3.0169584898595827E-3</v>
      </c>
      <c r="K45" s="110" cm="1">
        <f t="array" ref="K45">-LN(VasicekBondPrice(F45,$L$3,$L$4,$L$5,$L$6))/F45</f>
        <v>2.0985703477525083E-3</v>
      </c>
      <c r="L45" s="110">
        <f t="shared" si="12"/>
        <v>9.1838814210707439E-4</v>
      </c>
    </row>
    <row r="46" spans="1:12">
      <c r="A46" s="90" t="s">
        <v>362</v>
      </c>
      <c r="B46" s="90">
        <v>17.5</v>
      </c>
      <c r="C46" s="101">
        <f t="shared" si="8"/>
        <v>50264</v>
      </c>
      <c r="D46" s="269" t="str">
        <f>VLOOKUP(WEEKDAY(C46),Auxiliar!$A$1:$B$7,2)</f>
        <v>Wednesday</v>
      </c>
      <c r="E46" s="269">
        <f t="shared" si="9"/>
        <v>50264</v>
      </c>
      <c r="F46" s="102">
        <f t="shared" si="1"/>
        <v>17.752777777777776</v>
      </c>
      <c r="G46" s="110">
        <f>'Bootstraping-Linear_Interpol'!R44</f>
        <v>0.94552605904517817</v>
      </c>
      <c r="H46" s="100" cm="1">
        <f t="array" ref="H46">VasicekBondPrice(F46,$I$3,$I$4,$I$5,$I$6)</f>
        <v>0.94637130003059666</v>
      </c>
      <c r="I46" s="100">
        <f t="shared" si="10"/>
        <v>-8.4524098541849391E-4</v>
      </c>
      <c r="J46" s="110">
        <f t="shared" si="11"/>
        <v>3.1552149662440452E-3</v>
      </c>
      <c r="K46" s="110" cm="1">
        <f t="array" ref="K46">-LN(VasicekBondPrice(F46,$L$3,$L$4,$L$5,$L$6))/F46</f>
        <v>2.2483287915461567E-3</v>
      </c>
      <c r="L46" s="110">
        <f t="shared" si="12"/>
        <v>9.0688617469788851E-4</v>
      </c>
    </row>
    <row r="47" spans="1:12">
      <c r="A47" s="90" t="s">
        <v>362</v>
      </c>
      <c r="B47" s="90">
        <v>18</v>
      </c>
      <c r="C47" s="101">
        <f t="shared" si="8"/>
        <v>50448</v>
      </c>
      <c r="D47" s="269" t="str">
        <f>VLOOKUP(WEEKDAY(C47),Auxiliar!$A$1:$B$7,2)</f>
        <v>Friday</v>
      </c>
      <c r="E47" s="269">
        <f t="shared" si="9"/>
        <v>50448</v>
      </c>
      <c r="F47" s="102">
        <f t="shared" si="1"/>
        <v>18.263888888888889</v>
      </c>
      <c r="G47" s="110">
        <f>'Bootstraping-Linear_Interpol'!R45</f>
        <v>0.94157744852062486</v>
      </c>
      <c r="H47" s="100" cm="1">
        <f t="array" ref="H47">VasicekBondPrice(F47,$I$3,$I$4,$I$5,$I$6)</f>
        <v>0.94266545301008486</v>
      </c>
      <c r="I47" s="100">
        <f t="shared" si="10"/>
        <v>-1.0880044894600038E-3</v>
      </c>
      <c r="J47" s="110">
        <f t="shared" si="11"/>
        <v>3.2960490429156442E-3</v>
      </c>
      <c r="K47" s="110" cm="1">
        <f t="array" ref="K47">-LN(VasicekBondPrice(F47,$L$3,$L$4,$L$5,$L$6))/F47</f>
        <v>2.3981149479702095E-3</v>
      </c>
      <c r="L47" s="110">
        <f t="shared" si="12"/>
        <v>8.9793409494543473E-4</v>
      </c>
    </row>
    <row r="48" spans="1:12">
      <c r="A48" s="90" t="s">
        <v>362</v>
      </c>
      <c r="B48" s="90">
        <v>18.5</v>
      </c>
      <c r="C48" s="101">
        <f t="shared" si="8"/>
        <v>50629</v>
      </c>
      <c r="D48" s="269" t="str">
        <f>VLOOKUP(WEEKDAY(C48),Auxiliar!$A$1:$B$7,2)</f>
        <v>Thursday</v>
      </c>
      <c r="E48" s="269">
        <f t="shared" si="9"/>
        <v>50629</v>
      </c>
      <c r="F48" s="102">
        <f t="shared" si="1"/>
        <v>18.766666666666666</v>
      </c>
      <c r="G48" s="110">
        <f>'Bootstraping-Linear_Interpol'!R46</f>
        <v>0.93757231293034271</v>
      </c>
      <c r="H48" s="100" cm="1">
        <f t="array" ref="H48">VasicekBondPrice(F48,$I$3,$I$4,$I$5,$I$6)</f>
        <v>0.93905075696271001</v>
      </c>
      <c r="I48" s="100">
        <f t="shared" si="10"/>
        <v>-1.4784440323672987E-3</v>
      </c>
      <c r="J48" s="110">
        <f t="shared" si="11"/>
        <v>3.4348875836517027E-3</v>
      </c>
      <c r="K48" s="110" cm="1">
        <f t="array" ref="K48">-LN(VasicekBondPrice(F48,$L$3,$L$4,$L$5,$L$6))/F48</f>
        <v>2.5430895754835437E-3</v>
      </c>
      <c r="L48" s="110">
        <f t="shared" si="12"/>
        <v>8.9179800816815893E-4</v>
      </c>
    </row>
    <row r="49" spans="1:12">
      <c r="A49" s="90" t="s">
        <v>362</v>
      </c>
      <c r="B49" s="90">
        <v>19</v>
      </c>
      <c r="C49" s="101">
        <f t="shared" si="8"/>
        <v>50813</v>
      </c>
      <c r="D49" s="269" t="str">
        <f>VLOOKUP(WEEKDAY(C49),Auxiliar!$A$1:$B$7,2)</f>
        <v>Saturday</v>
      </c>
      <c r="E49" s="269">
        <f t="shared" si="9"/>
        <v>50815</v>
      </c>
      <c r="F49" s="102">
        <f t="shared" si="1"/>
        <v>19.283333333333335</v>
      </c>
      <c r="G49" s="110">
        <f>'Bootstraping-Linear_Interpol'!R47</f>
        <v>0.93333284404442118</v>
      </c>
      <c r="H49" s="100" cm="1">
        <f t="array" ref="H49">VasicekBondPrice(F49,$I$3,$I$4,$I$5,$I$6)</f>
        <v>0.93537821472028126</v>
      </c>
      <c r="I49" s="100">
        <f t="shared" si="10"/>
        <v>-2.0453706758600809E-3</v>
      </c>
      <c r="J49" s="110">
        <f t="shared" si="11"/>
        <v>3.5778770471154206E-3</v>
      </c>
      <c r="K49" s="110" cm="1">
        <f t="array" ref="K49">-LN(VasicekBondPrice(F49,$L$3,$L$4,$L$5,$L$6))/F49</f>
        <v>2.6896669288950822E-3</v>
      </c>
      <c r="L49" s="110">
        <f t="shared" si="12"/>
        <v>8.8821011822033842E-4</v>
      </c>
    </row>
    <row r="50" spans="1:12">
      <c r="A50" s="90" t="s">
        <v>362</v>
      </c>
      <c r="B50" s="90">
        <v>19.5</v>
      </c>
      <c r="C50" s="101">
        <f t="shared" si="8"/>
        <v>50994</v>
      </c>
      <c r="D50" s="269" t="str">
        <f>VLOOKUP(WEEKDAY(C50),Auxiliar!$A$1:$B$7,2)</f>
        <v>Friday</v>
      </c>
      <c r="E50" s="269">
        <f t="shared" si="9"/>
        <v>50994</v>
      </c>
      <c r="F50" s="102">
        <f t="shared" si="1"/>
        <v>19.780555555555555</v>
      </c>
      <c r="G50" s="110">
        <f>'Bootstraping-Linear_Interpol'!R48</f>
        <v>0.92913534645949947</v>
      </c>
      <c r="H50" s="100" cm="1">
        <f t="array" ref="H50">VasicekBondPrice(F50,$I$3,$I$4,$I$5,$I$6)</f>
        <v>0.93189358184039528</v>
      </c>
      <c r="I50" s="100">
        <f t="shared" si="10"/>
        <v>-2.7582353808958127E-3</v>
      </c>
      <c r="J50" s="110">
        <f t="shared" si="11"/>
        <v>3.7158137490041305E-3</v>
      </c>
      <c r="K50" s="110" cm="1">
        <f t="array" ref="K50">-LN(VasicekBondPrice(F50,$L$3,$L$4,$L$5,$L$6))/F50</f>
        <v>2.8284716294184218E-3</v>
      </c>
      <c r="L50" s="110">
        <f t="shared" si="12"/>
        <v>8.8734211958570869E-4</v>
      </c>
    </row>
    <row r="51" spans="1:12">
      <c r="A51" s="90" t="s">
        <v>362</v>
      </c>
      <c r="B51" s="90">
        <v>20</v>
      </c>
      <c r="C51" s="101">
        <f t="shared" si="8"/>
        <v>51178</v>
      </c>
      <c r="D51" s="269" t="str">
        <f>VLOOKUP(WEEKDAY(C51),Auxiliar!$A$1:$B$7,2)</f>
        <v>Sunday</v>
      </c>
      <c r="E51" s="269">
        <f t="shared" si="9"/>
        <v>51179</v>
      </c>
      <c r="F51" s="102">
        <f t="shared" si="1"/>
        <v>20.294444444444444</v>
      </c>
      <c r="G51" s="110">
        <f>'Bootstraping-Linear_Interpol'!R49</f>
        <v>0.92575822738044389</v>
      </c>
      <c r="H51" s="100" cm="1">
        <f t="array" ref="H51">VasicekBondPrice(F51,$I$3,$I$4,$I$5,$I$6)</f>
        <v>0.92835297858887522</v>
      </c>
      <c r="I51" s="100">
        <f t="shared" si="10"/>
        <v>-2.594751208431334E-3</v>
      </c>
      <c r="J51" s="110">
        <f t="shared" si="11"/>
        <v>3.8011472637067053E-3</v>
      </c>
      <c r="K51" s="110" cm="1">
        <f t="array" ref="K51">-LN(VasicekBondPrice(F51,$L$3,$L$4,$L$5,$L$6))/F51</f>
        <v>2.9696469922925219E-3</v>
      </c>
      <c r="L51" s="110">
        <f t="shared" si="12"/>
        <v>8.3150027141418344E-4</v>
      </c>
    </row>
    <row r="52" spans="1:12">
      <c r="A52" s="90" t="s">
        <v>362</v>
      </c>
      <c r="B52" s="90">
        <v>20.5</v>
      </c>
      <c r="C52" s="101">
        <f t="shared" ref="C52:C71" si="13">EDATE(C51,6)</f>
        <v>51360</v>
      </c>
      <c r="D52" s="269" t="str">
        <f>VLOOKUP(WEEKDAY(C52),Auxiliar!$A$1:$B$7,2)</f>
        <v>Sunday</v>
      </c>
      <c r="E52" s="269">
        <f t="shared" ref="E52:E71" si="14">IF(D52="Saturday",C52+2,IF(D52="Sunday",C52+1,C52))</f>
        <v>51361</v>
      </c>
      <c r="F52" s="102">
        <f t="shared" si="1"/>
        <v>20.8</v>
      </c>
      <c r="G52" s="110">
        <f>'Bootstraping-Linear_Interpol'!R50</f>
        <v>0.92317677227657946</v>
      </c>
      <c r="H52" s="100" cm="1">
        <f t="array" ref="H52">VasicekBondPrice(F52,$I$3,$I$4,$I$5,$I$6)</f>
        <v>0.92493936725738835</v>
      </c>
      <c r="I52" s="100">
        <f t="shared" ref="I52:I71" si="15">G52-H52</f>
        <v>-1.7625949808088848E-3</v>
      </c>
      <c r="J52" s="110">
        <f t="shared" ref="J52:J71" si="16">-LN(G52)/F52</f>
        <v>3.8430069017880266E-3</v>
      </c>
      <c r="K52" s="110" cm="1">
        <f t="array" ref="K52">-LN(VasicekBondPrice(F52,$L$3,$L$4,$L$5,$L$6))/F52</f>
        <v>3.1063115148095496E-3</v>
      </c>
      <c r="L52" s="110">
        <f t="shared" ref="L52:L71" si="17">(J52-K52)</f>
        <v>7.3669538697847693E-4</v>
      </c>
    </row>
    <row r="53" spans="1:12">
      <c r="A53" s="90" t="s">
        <v>362</v>
      </c>
      <c r="B53" s="90">
        <v>21</v>
      </c>
      <c r="C53" s="101">
        <f t="shared" si="13"/>
        <v>51544</v>
      </c>
      <c r="D53" s="269" t="str">
        <f>VLOOKUP(WEEKDAY(C53),Auxiliar!$A$1:$B$7,2)</f>
        <v>Tuesday</v>
      </c>
      <c r="E53" s="269">
        <f t="shared" si="14"/>
        <v>51544</v>
      </c>
      <c r="F53" s="102">
        <f t="shared" si="1"/>
        <v>21.308333333333334</v>
      </c>
      <c r="G53" s="110">
        <f>'Bootstraping-Linear_Interpol'!R51</f>
        <v>0.92054719364683446</v>
      </c>
      <c r="H53" s="100" cm="1">
        <f t="array" ref="H53">VasicekBondPrice(F53,$I$3,$I$4,$I$5,$I$6)</f>
        <v>0.92158566248375395</v>
      </c>
      <c r="I53" s="100">
        <f t="shared" si="15"/>
        <v>-1.0384688369194928E-3</v>
      </c>
      <c r="J53" s="110">
        <f t="shared" si="16"/>
        <v>3.8851940576425954E-3</v>
      </c>
      <c r="K53" s="110" cm="1">
        <f t="array" ref="K53">-LN(VasicekBondPrice(F53,$L$3,$L$4,$L$5,$L$6))/F53</f>
        <v>3.2415468484860185E-3</v>
      </c>
      <c r="L53" s="110">
        <f t="shared" si="17"/>
        <v>6.4364720915657684E-4</v>
      </c>
    </row>
    <row r="54" spans="1:12">
      <c r="A54" s="90" t="s">
        <v>362</v>
      </c>
      <c r="B54" s="90">
        <v>21.5</v>
      </c>
      <c r="C54" s="101">
        <f t="shared" si="13"/>
        <v>51725</v>
      </c>
      <c r="D54" s="269" t="str">
        <f>VLOOKUP(WEEKDAY(C54),Auxiliar!$A$1:$B$7,2)</f>
        <v>Monday</v>
      </c>
      <c r="E54" s="269">
        <f t="shared" si="14"/>
        <v>51725</v>
      </c>
      <c r="F54" s="102">
        <f t="shared" si="1"/>
        <v>21.81111111111111</v>
      </c>
      <c r="G54" s="110">
        <f>'Bootstraping-Linear_Interpol'!R52</f>
        <v>0.9179130634315914</v>
      </c>
      <c r="H54" s="100" cm="1">
        <f t="array" ref="H54">VasicekBondPrice(F54,$I$3,$I$4,$I$5,$I$6)</f>
        <v>0.91835488948024946</v>
      </c>
      <c r="I54" s="100">
        <f t="shared" si="15"/>
        <v>-4.4182604865805608E-4</v>
      </c>
      <c r="J54" s="110">
        <f t="shared" si="16"/>
        <v>3.9270165813230949E-3</v>
      </c>
      <c r="K54" s="110" cm="1">
        <f t="array" ref="K54">-LN(VasicekBondPrice(F54,$L$3,$L$4,$L$5,$L$6))/F54</f>
        <v>3.3731936085316591E-3</v>
      </c>
      <c r="L54" s="110">
        <f t="shared" si="17"/>
        <v>5.5382297279143577E-4</v>
      </c>
    </row>
    <row r="55" spans="1:12">
      <c r="A55" s="90" t="s">
        <v>362</v>
      </c>
      <c r="B55" s="90">
        <v>22</v>
      </c>
      <c r="C55" s="101">
        <f t="shared" si="13"/>
        <v>51909</v>
      </c>
      <c r="D55" s="269" t="str">
        <f>VLOOKUP(WEEKDAY(C55),Auxiliar!$A$1:$B$7,2)</f>
        <v>Wednesday</v>
      </c>
      <c r="E55" s="269">
        <f t="shared" si="14"/>
        <v>51909</v>
      </c>
      <c r="F55" s="102">
        <f t="shared" si="1"/>
        <v>22.322222222222223</v>
      </c>
      <c r="G55" s="110">
        <f>'Bootstraping-Linear_Interpol'!R53</f>
        <v>0.91520164615392929</v>
      </c>
      <c r="H55" s="100" cm="1">
        <f t="array" ref="H55">VasicekBondPrice(F55,$I$3,$I$4,$I$5,$I$6)</f>
        <v>0.91516720795709694</v>
      </c>
      <c r="I55" s="100">
        <f t="shared" si="15"/>
        <v>3.4438196832353718E-5</v>
      </c>
      <c r="J55" s="110">
        <f t="shared" si="16"/>
        <v>3.9696253712513145E-3</v>
      </c>
      <c r="K55" s="110" cm="1">
        <f t="array" ref="K55">-LN(VasicekBondPrice(F55,$L$3,$L$4,$L$5,$L$6))/F55</f>
        <v>3.5049107559172129E-3</v>
      </c>
      <c r="L55" s="110">
        <f t="shared" si="17"/>
        <v>4.6471461533410157E-4</v>
      </c>
    </row>
    <row r="56" spans="1:12">
      <c r="A56" s="90" t="s">
        <v>362</v>
      </c>
      <c r="B56" s="90">
        <v>22.5</v>
      </c>
      <c r="C56" s="101">
        <f t="shared" si="13"/>
        <v>52090</v>
      </c>
      <c r="D56" s="269" t="str">
        <f>VLOOKUP(WEEKDAY(C56),Auxiliar!$A$1:$B$7,2)</f>
        <v>Tuesday</v>
      </c>
      <c r="E56" s="269">
        <f t="shared" si="14"/>
        <v>52090</v>
      </c>
      <c r="F56" s="102">
        <f t="shared" si="1"/>
        <v>22.824999999999999</v>
      </c>
      <c r="G56" s="110">
        <f>'Bootstraping-Linear_Interpol'!R54</f>
        <v>0.91250150490314907</v>
      </c>
      <c r="H56" s="100" cm="1">
        <f t="array" ref="H56">VasicekBondPrice(F56,$I$3,$I$4,$I$5,$I$6)</f>
        <v>0.91213489610950971</v>
      </c>
      <c r="I56" s="100">
        <f t="shared" si="15"/>
        <v>3.6660879363936694E-4</v>
      </c>
      <c r="J56" s="110">
        <f t="shared" si="16"/>
        <v>4.0116339241147835E-3</v>
      </c>
      <c r="K56" s="110" cm="1">
        <f t="array" ref="K56">-LN(VasicekBondPrice(F56,$L$3,$L$4,$L$5,$L$6))/F56</f>
        <v>3.6324414523305976E-3</v>
      </c>
      <c r="L56" s="110">
        <f t="shared" si="17"/>
        <v>3.7919247178418592E-4</v>
      </c>
    </row>
    <row r="57" spans="1:12">
      <c r="A57" s="90" t="s">
        <v>362</v>
      </c>
      <c r="B57" s="90">
        <v>23</v>
      </c>
      <c r="C57" s="101">
        <f t="shared" si="13"/>
        <v>52274</v>
      </c>
      <c r="D57" s="269" t="str">
        <f>VLOOKUP(WEEKDAY(C57),Auxiliar!$A$1:$B$7,2)</f>
        <v>Thursday</v>
      </c>
      <c r="E57" s="269">
        <f t="shared" si="14"/>
        <v>52274</v>
      </c>
      <c r="F57" s="102">
        <f t="shared" si="1"/>
        <v>23.336111111111112</v>
      </c>
      <c r="G57" s="110">
        <f>'Bootstraping-Linear_Interpol'!R55</f>
        <v>0.90972346262596882</v>
      </c>
      <c r="H57" s="100" cm="1">
        <f t="array" ref="H57">VasicekBondPrice(F57,$I$3,$I$4,$I$5,$I$6)</f>
        <v>0.90916577458365044</v>
      </c>
      <c r="I57" s="100">
        <f t="shared" si="15"/>
        <v>5.5768804231837166E-4</v>
      </c>
      <c r="J57" s="110">
        <f t="shared" si="16"/>
        <v>4.0544293103524538E-3</v>
      </c>
      <c r="K57" s="110" cm="1">
        <f t="array" ref="K57">-LN(VasicekBondPrice(F57,$L$3,$L$4,$L$5,$L$6))/F57</f>
        <v>3.7600515815787495E-3</v>
      </c>
      <c r="L57" s="110">
        <f t="shared" si="17"/>
        <v>2.9437772877370432E-4</v>
      </c>
    </row>
    <row r="58" spans="1:12">
      <c r="A58" s="90" t="s">
        <v>362</v>
      </c>
      <c r="B58" s="90">
        <v>23.5</v>
      </c>
      <c r="C58" s="101">
        <f t="shared" si="13"/>
        <v>52455</v>
      </c>
      <c r="D58" s="269" t="str">
        <f>VLOOKUP(WEEKDAY(C58),Auxiliar!$A$1:$B$7,2)</f>
        <v>Wednesday</v>
      </c>
      <c r="E58" s="269">
        <f t="shared" si="14"/>
        <v>52455</v>
      </c>
      <c r="F58" s="102">
        <f t="shared" si="1"/>
        <v>23.838888888888889</v>
      </c>
      <c r="G58" s="110">
        <f>'Bootstraping-Linear_Interpol'!R56</f>
        <v>0.90695825552129161</v>
      </c>
      <c r="H58" s="100" cm="1">
        <f t="array" ref="H58">VasicekBondPrice(F58,$I$3,$I$4,$I$5,$I$6)</f>
        <v>0.90636465970718338</v>
      </c>
      <c r="I58" s="100">
        <f t="shared" si="15"/>
        <v>5.9359581410822759E-4</v>
      </c>
      <c r="J58" s="110">
        <f t="shared" si="16"/>
        <v>4.0966194005490229E-3</v>
      </c>
      <c r="K58" s="110" cm="1">
        <f t="array" ref="K58">-LN(VasicekBondPrice(F58,$L$3,$L$4,$L$5,$L$6))/F58</f>
        <v>3.8836167051716636E-3</v>
      </c>
      <c r="L58" s="110">
        <f t="shared" si="17"/>
        <v>2.1300269537735932E-4</v>
      </c>
    </row>
    <row r="59" spans="1:12">
      <c r="A59" s="90" t="s">
        <v>362</v>
      </c>
      <c r="B59" s="90">
        <v>24</v>
      </c>
      <c r="C59" s="101">
        <f t="shared" si="13"/>
        <v>52639</v>
      </c>
      <c r="D59" s="269" t="str">
        <f>VLOOKUP(WEEKDAY(C59),Auxiliar!$A$1:$B$7,2)</f>
        <v>Friday</v>
      </c>
      <c r="E59" s="269">
        <f t="shared" si="14"/>
        <v>52639</v>
      </c>
      <c r="F59" s="102">
        <f t="shared" si="1"/>
        <v>24.35</v>
      </c>
      <c r="G59" s="110">
        <f>'Bootstraping-Linear_Interpol'!R57</f>
        <v>0.90411455834394505</v>
      </c>
      <c r="H59" s="100" cm="1">
        <f t="array" ref="H59">VasicekBondPrice(F59,$I$3,$I$4,$I$5,$I$6)</f>
        <v>0.90364671944970432</v>
      </c>
      <c r="I59" s="100">
        <f t="shared" si="15"/>
        <v>4.6783889424073521E-4</v>
      </c>
      <c r="J59" s="110">
        <f t="shared" si="16"/>
        <v>4.1395976503880664E-3</v>
      </c>
      <c r="K59" s="110" cm="1">
        <f t="array" ref="K59">-LN(VasicekBondPrice(F59,$L$3,$L$4,$L$5,$L$6))/F59</f>
        <v>4.0072697260424188E-3</v>
      </c>
      <c r="L59" s="110">
        <f t="shared" si="17"/>
        <v>1.3232792434564756E-4</v>
      </c>
    </row>
    <row r="60" spans="1:12">
      <c r="A60" s="90" t="s">
        <v>362</v>
      </c>
      <c r="B60" s="90">
        <v>24.5</v>
      </c>
      <c r="C60" s="101">
        <f t="shared" si="13"/>
        <v>52821</v>
      </c>
      <c r="D60" s="269" t="str">
        <f>VLOOKUP(WEEKDAY(C60),Auxiliar!$A$1:$B$7,2)</f>
        <v>Friday</v>
      </c>
      <c r="E60" s="269">
        <f t="shared" si="14"/>
        <v>52821</v>
      </c>
      <c r="F60" s="102">
        <f t="shared" si="1"/>
        <v>24.855555555555554</v>
      </c>
      <c r="G60" s="110">
        <f>'Bootstraping-Linear_Interpol'!R58</f>
        <v>0.90126954571398665</v>
      </c>
      <c r="H60" s="100" cm="1">
        <f t="array" ref="H60">VasicekBondPrice(F60,$I$3,$I$4,$I$5,$I$6)</f>
        <v>0.90109465796251531</v>
      </c>
      <c r="I60" s="100">
        <f t="shared" si="15"/>
        <v>1.7488775147134206E-4</v>
      </c>
      <c r="J60" s="110">
        <f t="shared" si="16"/>
        <v>4.1821999531299657E-3</v>
      </c>
      <c r="K60" s="110" cm="1">
        <f t="array" ref="K60">-LN(VasicekBondPrice(F60,$L$3,$L$4,$L$5,$L$6))/F60</f>
        <v>4.1276702000512177E-3</v>
      </c>
      <c r="L60" s="110">
        <f t="shared" si="17"/>
        <v>5.4529753078748008E-5</v>
      </c>
    </row>
    <row r="61" spans="1:12">
      <c r="A61" s="90" t="s">
        <v>362</v>
      </c>
      <c r="B61" s="90">
        <v>25</v>
      </c>
      <c r="C61" s="101">
        <f t="shared" si="13"/>
        <v>53005</v>
      </c>
      <c r="D61" s="269" t="str">
        <f>VLOOKUP(WEEKDAY(C61),Auxiliar!$A$1:$B$7,2)</f>
        <v>Sunday</v>
      </c>
      <c r="E61" s="269">
        <f t="shared" si="14"/>
        <v>53006</v>
      </c>
      <c r="F61" s="102">
        <f t="shared" si="1"/>
        <v>25.369444444444444</v>
      </c>
      <c r="G61" s="110">
        <f>'Bootstraping-Linear_Interpol'!R59</f>
        <v>0.89916175759252448</v>
      </c>
      <c r="H61" s="100" cm="1">
        <f t="array" ref="H61">VasicekBondPrice(F61,$I$3,$I$4,$I$5,$I$6)</f>
        <v>0.89864736507137566</v>
      </c>
      <c r="I61" s="100">
        <f t="shared" si="15"/>
        <v>5.1439252114882095E-4</v>
      </c>
      <c r="J61" s="110">
        <f t="shared" si="16"/>
        <v>4.1897776022497921E-3</v>
      </c>
      <c r="K61" s="110" cm="1">
        <f t="array" ref="K61">-LN(VasicekBondPrice(F61,$L$3,$L$4,$L$5,$L$6))/F61</f>
        <v>4.2481459201352146E-3</v>
      </c>
      <c r="L61" s="110">
        <f t="shared" si="17"/>
        <v>-5.836831788542246E-5</v>
      </c>
    </row>
    <row r="62" spans="1:12">
      <c r="A62" s="90" t="s">
        <v>362</v>
      </c>
      <c r="B62" s="90">
        <v>25.5</v>
      </c>
      <c r="C62" s="101">
        <f t="shared" si="13"/>
        <v>53186</v>
      </c>
      <c r="D62" s="269" t="str">
        <f>VLOOKUP(WEEKDAY(C62),Auxiliar!$A$1:$B$7,2)</f>
        <v>Saturday</v>
      </c>
      <c r="E62" s="269">
        <f t="shared" si="14"/>
        <v>53188</v>
      </c>
      <c r="F62" s="102">
        <f t="shared" si="1"/>
        <v>25.875</v>
      </c>
      <c r="G62" s="110">
        <f>'Bootstraping-Linear_Interpol'!R60</f>
        <v>0.89740435722579104</v>
      </c>
      <c r="H62" s="100" cm="1">
        <f t="array" ref="H62">VasicekBondPrice(F62,$I$3,$I$4,$I$5,$I$6)</f>
        <v>0.89639182135445872</v>
      </c>
      <c r="I62" s="100">
        <f t="shared" si="15"/>
        <v>1.0125358713323207E-3</v>
      </c>
      <c r="J62" s="110">
        <f t="shared" si="16"/>
        <v>4.1835257995506483E-3</v>
      </c>
      <c r="K62" s="110" cm="1">
        <f t="array" ref="K62">-LN(VasicekBondPrice(F62,$L$3,$L$4,$L$5,$L$6))/F62</f>
        <v>4.364824023447191E-3</v>
      </c>
      <c r="L62" s="110">
        <f t="shared" si="17"/>
        <v>-1.8129822389654267E-4</v>
      </c>
    </row>
    <row r="63" spans="1:12">
      <c r="A63" s="90" t="s">
        <v>362</v>
      </c>
      <c r="B63" s="90">
        <v>26</v>
      </c>
      <c r="C63" s="101">
        <f t="shared" si="13"/>
        <v>53370</v>
      </c>
      <c r="D63" s="269" t="str">
        <f>VLOOKUP(WEEKDAY(C63),Auxiliar!$A$1:$B$7,2)</f>
        <v>Monday</v>
      </c>
      <c r="E63" s="269">
        <f t="shared" si="14"/>
        <v>53370</v>
      </c>
      <c r="F63" s="102">
        <f t="shared" si="1"/>
        <v>26.380555555555556</v>
      </c>
      <c r="G63" s="110">
        <f>'Bootstraping-Linear_Interpol'!R61</f>
        <v>0.89565424451177311</v>
      </c>
      <c r="H63" s="100" cm="1">
        <f t="array" ref="H63">VasicekBondPrice(F63,$I$3,$I$4,$I$5,$I$6)</f>
        <v>0.89429455196098828</v>
      </c>
      <c r="I63" s="100">
        <f t="shared" si="15"/>
        <v>1.3596925507848301E-3</v>
      </c>
      <c r="J63" s="110">
        <f t="shared" si="16"/>
        <v>4.1773505516469684E-3</v>
      </c>
      <c r="K63" s="110" cm="1">
        <f t="array" ref="K63">-LN(VasicekBondPrice(F63,$L$3,$L$4,$L$5,$L$6))/F63</f>
        <v>4.4797067355662381E-3</v>
      </c>
      <c r="L63" s="110">
        <f t="shared" si="17"/>
        <v>-3.0235618391926972E-4</v>
      </c>
    </row>
    <row r="64" spans="1:12">
      <c r="A64" s="90" t="s">
        <v>362</v>
      </c>
      <c r="B64" s="90">
        <v>26.5</v>
      </c>
      <c r="C64" s="101">
        <f t="shared" si="13"/>
        <v>53551</v>
      </c>
      <c r="D64" s="269" t="str">
        <f>VLOOKUP(WEEKDAY(C64),Auxiliar!$A$1:$B$7,2)</f>
        <v>Sunday</v>
      </c>
      <c r="E64" s="269">
        <f t="shared" si="14"/>
        <v>53552</v>
      </c>
      <c r="F64" s="102">
        <f t="shared" si="1"/>
        <v>26.886111111111113</v>
      </c>
      <c r="G64" s="110">
        <f>'Bootstraping-Linear_Interpol'!R62</f>
        <v>0.89391139371819761</v>
      </c>
      <c r="H64" s="100" cm="1">
        <f t="array" ref="H64">VasicekBondPrice(F64,$I$3,$I$4,$I$5,$I$6)</f>
        <v>0.89236289335539642</v>
      </c>
      <c r="I64" s="100">
        <f t="shared" si="15"/>
        <v>1.5485003628011862E-3</v>
      </c>
      <c r="J64" s="110">
        <f t="shared" si="16"/>
        <v>4.1712473934636856E-3</v>
      </c>
      <c r="K64" s="110" cm="1">
        <f t="array" ref="K64">-LN(VasicekBondPrice(F64,$L$3,$L$4,$L$5,$L$6))/F64</f>
        <v>4.5928266995334029E-3</v>
      </c>
      <c r="L64" s="110">
        <f t="shared" si="17"/>
        <v>-4.2157930606971736E-4</v>
      </c>
    </row>
    <row r="65" spans="1:12">
      <c r="A65" s="90" t="s">
        <v>362</v>
      </c>
      <c r="B65" s="90">
        <v>27</v>
      </c>
      <c r="C65" s="101">
        <f t="shared" si="13"/>
        <v>53735</v>
      </c>
      <c r="D65" s="269" t="str">
        <f>VLOOKUP(WEEKDAY(C65),Auxiliar!$A$1:$B$7,2)</f>
        <v>Tuesday</v>
      </c>
      <c r="E65" s="269">
        <f t="shared" si="14"/>
        <v>53735</v>
      </c>
      <c r="F65" s="102">
        <f t="shared" si="1"/>
        <v>27.394444444444446</v>
      </c>
      <c r="G65" s="110">
        <f>'Bootstraping-Linear_Interpol'!R63</f>
        <v>0.89216627268060977</v>
      </c>
      <c r="H65" s="100" cm="1">
        <f t="array" ref="H65">VasicekBondPrice(F65,$I$3,$I$4,$I$5,$I$6)</f>
        <v>0.89059494865811895</v>
      </c>
      <c r="I65" s="100">
        <f t="shared" si="15"/>
        <v>1.5713240224908276E-3</v>
      </c>
      <c r="J65" s="110">
        <f t="shared" si="16"/>
        <v>4.165178806754025E-3</v>
      </c>
      <c r="K65" s="110" cm="1">
        <f t="array" ref="K65">-LN(VasicekBondPrice(F65,$L$3,$L$4,$L$5,$L$6))/F65</f>
        <v>4.7048232150144536E-3</v>
      </c>
      <c r="L65" s="110">
        <f t="shared" si="17"/>
        <v>-5.3964440826042865E-4</v>
      </c>
    </row>
    <row r="66" spans="1:12">
      <c r="A66" s="90" t="s">
        <v>362</v>
      </c>
      <c r="B66" s="90">
        <v>27.5</v>
      </c>
      <c r="C66" s="101">
        <f t="shared" si="13"/>
        <v>53916</v>
      </c>
      <c r="D66" s="269" t="str">
        <f>VLOOKUP(WEEKDAY(C66),Auxiliar!$A$1:$B$7,2)</f>
        <v>Monday</v>
      </c>
      <c r="E66" s="269">
        <f t="shared" si="14"/>
        <v>53916</v>
      </c>
      <c r="F66" s="102">
        <f t="shared" si="1"/>
        <v>27.897222222222222</v>
      </c>
      <c r="G66" s="110">
        <f>'Bootstraping-Linear_Interpol'!R64</f>
        <v>0.89044737565168119</v>
      </c>
      <c r="H66" s="100" cm="1">
        <f t="array" ref="H66">VasicekBondPrice(F66,$I$3,$I$4,$I$5,$I$6)</f>
        <v>0.88902546703183916</v>
      </c>
      <c r="I66" s="100">
        <f t="shared" si="15"/>
        <v>1.4219086198420383E-3</v>
      </c>
      <c r="J66" s="110">
        <f t="shared" si="16"/>
        <v>4.159241101354124E-3</v>
      </c>
      <c r="K66" s="110" cm="1">
        <f t="array" ref="K66">-LN(VasicekBondPrice(F66,$L$3,$L$4,$L$5,$L$6))/F66</f>
        <v>4.8139057225778442E-3</v>
      </c>
      <c r="L66" s="110">
        <f t="shared" si="17"/>
        <v>-6.5466462122372015E-4</v>
      </c>
    </row>
    <row r="67" spans="1:12">
      <c r="A67" s="90" t="s">
        <v>362</v>
      </c>
      <c r="B67" s="90">
        <v>28</v>
      </c>
      <c r="C67" s="101">
        <f t="shared" si="13"/>
        <v>54100</v>
      </c>
      <c r="D67" s="269" t="str">
        <f>VLOOKUP(WEEKDAY(C67),Auxiliar!$A$1:$B$7,2)</f>
        <v>Wednesday</v>
      </c>
      <c r="E67" s="269">
        <f t="shared" si="14"/>
        <v>54100</v>
      </c>
      <c r="F67" s="102">
        <f t="shared" si="1"/>
        <v>28.408333333333335</v>
      </c>
      <c r="G67" s="110">
        <f>'Bootstraping-Linear_Interpol'!R65</f>
        <v>0.88870730229595507</v>
      </c>
      <c r="H67" s="100" cm="1">
        <f t="array" ref="H67">VasicekBondPrice(F67,$I$3,$I$4,$I$5,$I$6)</f>
        <v>0.88761991185471756</v>
      </c>
      <c r="I67" s="100">
        <f t="shared" si="15"/>
        <v>1.0873904412375124E-3</v>
      </c>
      <c r="J67" s="110">
        <f t="shared" si="16"/>
        <v>4.1532651725118162E-3</v>
      </c>
      <c r="K67" s="110" cm="1">
        <f t="array" ref="K67">-LN(VasicekBondPrice(F67,$L$3,$L$4,$L$5,$L$6))/F67</f>
        <v>4.9231047649440978E-3</v>
      </c>
      <c r="L67" s="110">
        <f t="shared" si="17"/>
        <v>-7.6983959243228164E-4</v>
      </c>
    </row>
    <row r="68" spans="1:12">
      <c r="A68" s="90" t="s">
        <v>362</v>
      </c>
      <c r="B68" s="90">
        <v>28.5</v>
      </c>
      <c r="C68" s="101">
        <f t="shared" si="13"/>
        <v>54282</v>
      </c>
      <c r="D68" s="269" t="str">
        <f>VLOOKUP(WEEKDAY(C68),Auxiliar!$A$1:$B$7,2)</f>
        <v>Wednesday</v>
      </c>
      <c r="E68" s="269">
        <f t="shared" si="14"/>
        <v>54282</v>
      </c>
      <c r="F68" s="102">
        <f t="shared" si="1"/>
        <v>28.913888888888888</v>
      </c>
      <c r="G68" s="110">
        <f>'Bootstraping-Linear_Interpol'!R66</f>
        <v>0.88699332258143004</v>
      </c>
      <c r="H68" s="100" cm="1">
        <f t="array" ref="H68">VasicekBondPrice(F68,$I$3,$I$4,$I$5,$I$6)</f>
        <v>0.88642526985533177</v>
      </c>
      <c r="I68" s="100">
        <f t="shared" si="15"/>
        <v>5.6805272609827817E-4</v>
      </c>
      <c r="J68" s="110">
        <f t="shared" si="16"/>
        <v>4.147412520495131E-3</v>
      </c>
      <c r="K68" s="110" cm="1">
        <f t="array" ref="K68">-LN(VasicekBondPrice(F68,$L$3,$L$4,$L$5,$L$6))/F68</f>
        <v>5.0294695439270128E-3</v>
      </c>
      <c r="L68" s="110">
        <f t="shared" si="17"/>
        <v>-8.8205702343188176E-4</v>
      </c>
    </row>
    <row r="69" spans="1:12">
      <c r="A69" s="90" t="s">
        <v>362</v>
      </c>
      <c r="B69" s="90">
        <v>29</v>
      </c>
      <c r="C69" s="101">
        <f t="shared" si="13"/>
        <v>54466</v>
      </c>
      <c r="D69" s="269" t="str">
        <f>VLOOKUP(WEEKDAY(C69),Auxiliar!$A$1:$B$7,2)</f>
        <v>Friday</v>
      </c>
      <c r="E69" s="269">
        <f t="shared" si="14"/>
        <v>54466</v>
      </c>
      <c r="F69" s="102">
        <f t="shared" si="1"/>
        <v>29.425000000000001</v>
      </c>
      <c r="G69" s="110">
        <f>'Bootstraping-Linear_Interpol'!R67</f>
        <v>0.88526777993873373</v>
      </c>
      <c r="H69" s="100" cm="1">
        <f t="array" ref="H69">VasicekBondPrice(F69,$I$3,$I$4,$I$5,$I$6)</f>
        <v>0.88542265731310665</v>
      </c>
      <c r="I69" s="100">
        <f t="shared" si="15"/>
        <v>-1.5487737437291926E-4</v>
      </c>
      <c r="J69" s="110">
        <f t="shared" si="16"/>
        <v>4.1415498229123446E-3</v>
      </c>
      <c r="K69" s="110" cm="1">
        <f t="array" ref="K69">-LN(VasicekBondPrice(F69,$L$3,$L$4,$L$5,$L$6))/F69</f>
        <v>5.1353679791556958E-3</v>
      </c>
      <c r="L69" s="110">
        <f t="shared" si="17"/>
        <v>-9.938181562433512E-4</v>
      </c>
    </row>
    <row r="70" spans="1:12">
      <c r="A70" s="90" t="s">
        <v>362</v>
      </c>
      <c r="B70" s="90">
        <v>29.5</v>
      </c>
      <c r="C70" s="101">
        <f t="shared" si="13"/>
        <v>54647</v>
      </c>
      <c r="D70" s="269" t="str">
        <f>VLOOKUP(WEEKDAY(C70),Auxiliar!$A$1:$B$7,2)</f>
        <v>Thursday</v>
      </c>
      <c r="E70" s="269">
        <f t="shared" si="14"/>
        <v>54647</v>
      </c>
      <c r="F70" s="102">
        <f t="shared" si="1"/>
        <v>29.927777777777777</v>
      </c>
      <c r="G70" s="110">
        <f>'Bootstraping-Linear_Interpol'!R68</f>
        <v>0.88357743230208696</v>
      </c>
      <c r="H70" s="100" cm="1">
        <f t="array" ref="H70">VasicekBondPrice(F70,$I$3,$I$4,$I$5,$I$6)</f>
        <v>0.88464487042422513</v>
      </c>
      <c r="I70" s="100">
        <f t="shared" si="15"/>
        <v>-1.0674381221381646E-3</v>
      </c>
      <c r="J70" s="110">
        <f t="shared" si="16"/>
        <v>4.135834919261258E-3</v>
      </c>
      <c r="K70" s="110" cm="1">
        <f t="array" ref="K70">-LN(VasicekBondPrice(F70,$L$3,$L$4,$L$5,$L$6))/F70</f>
        <v>5.2379645881393058E-3</v>
      </c>
      <c r="L70" s="110">
        <f t="shared" si="17"/>
        <v>-1.1021296688780479E-3</v>
      </c>
    </row>
    <row r="71" spans="1:12">
      <c r="A71" s="90" t="s">
        <v>362</v>
      </c>
      <c r="B71" s="90">
        <v>30</v>
      </c>
      <c r="C71" s="101">
        <f t="shared" si="13"/>
        <v>54831</v>
      </c>
      <c r="D71" s="269" t="str">
        <f>VLOOKUP(WEEKDAY(C71),Auxiliar!$A$1:$B$7,2)</f>
        <v>Saturday</v>
      </c>
      <c r="E71" s="269">
        <f t="shared" si="14"/>
        <v>54833</v>
      </c>
      <c r="F71" s="102">
        <f t="shared" si="1"/>
        <v>30.444444444444443</v>
      </c>
      <c r="G71" s="110">
        <f>'Bootstraping-Linear_Interpol'!R69</f>
        <v>0.88174439219662359</v>
      </c>
      <c r="H71" s="100" cm="1">
        <f t="array" ref="H71">VasicekBondPrice(F71,$I$3,$I$4,$I$5,$I$6)</f>
        <v>0.88406856721231553</v>
      </c>
      <c r="I71" s="100">
        <f t="shared" si="15"/>
        <v>-2.3241750156919316E-3</v>
      </c>
      <c r="J71" s="110">
        <f t="shared" si="16"/>
        <v>4.1338599550487338E-3</v>
      </c>
      <c r="K71" s="110" cm="1">
        <f t="array" ref="K71">-LN(VasicekBondPrice(F71,$L$3,$L$4,$L$5,$L$6))/F71</f>
        <v>5.3417972442576589E-3</v>
      </c>
      <c r="L71" s="110">
        <f t="shared" si="17"/>
        <v>-1.2079372892089251E-3</v>
      </c>
    </row>
    <row r="74" spans="1:12">
      <c r="A74" s="90" t="s">
        <v>508</v>
      </c>
    </row>
    <row r="75" spans="1:12" ht="15" thickBot="1"/>
    <row r="76" spans="1:12">
      <c r="A76" s="120" t="s">
        <v>509</v>
      </c>
      <c r="B76" s="273">
        <f>I3</f>
        <v>-6.6741474013936276E-3</v>
      </c>
    </row>
    <row r="77" spans="1:12">
      <c r="A77" s="300" t="s">
        <v>563</v>
      </c>
      <c r="B77" s="274">
        <f>I4</f>
        <v>0.29077416217696511</v>
      </c>
      <c r="D77" s="90" t="s">
        <v>512</v>
      </c>
    </row>
    <row r="78" spans="1:12">
      <c r="A78" s="300" t="s">
        <v>318</v>
      </c>
      <c r="B78" s="275">
        <f>I5</f>
        <v>5.8235317172226986E-3</v>
      </c>
    </row>
    <row r="79" spans="1:12" ht="15" thickBot="1">
      <c r="A79" s="300" t="s">
        <v>564</v>
      </c>
      <c r="B79" s="277">
        <f>I6</f>
        <v>1.0219461007607187E-2</v>
      </c>
      <c r="D79" s="278" t="s">
        <v>515</v>
      </c>
    </row>
    <row r="80" spans="1:12" ht="15" thickBot="1">
      <c r="A80" s="118" t="s">
        <v>510</v>
      </c>
      <c r="B80" s="279">
        <v>250</v>
      </c>
    </row>
    <row r="81" spans="1:30" ht="15" thickBot="1">
      <c r="A81" s="276" t="s">
        <v>511</v>
      </c>
      <c r="B81" s="280">
        <f>1/B80</f>
        <v>4.0000000000000001E-3</v>
      </c>
      <c r="S81" s="118" t="s">
        <v>368</v>
      </c>
      <c r="T81" s="281">
        <v>0</v>
      </c>
      <c r="U81" s="281">
        <f>T81+0.5</f>
        <v>0.5</v>
      </c>
      <c r="V81" s="281">
        <f t="shared" ref="V81:AD81" si="18">U81+0.5</f>
        <v>1</v>
      </c>
      <c r="W81" s="281">
        <f t="shared" si="18"/>
        <v>1.5</v>
      </c>
      <c r="X81" s="281">
        <f t="shared" si="18"/>
        <v>2</v>
      </c>
      <c r="Y81" s="281">
        <f t="shared" si="18"/>
        <v>2.5</v>
      </c>
      <c r="Z81" s="281">
        <f t="shared" si="18"/>
        <v>3</v>
      </c>
      <c r="AA81" s="281">
        <f t="shared" si="18"/>
        <v>3.5</v>
      </c>
      <c r="AB81" s="281">
        <f t="shared" si="18"/>
        <v>4</v>
      </c>
      <c r="AC81" s="281">
        <f t="shared" si="18"/>
        <v>4.5</v>
      </c>
      <c r="AD81" s="282">
        <f t="shared" si="18"/>
        <v>5</v>
      </c>
    </row>
    <row r="82" spans="1:30" ht="15" thickBot="1">
      <c r="A82" s="283" t="s">
        <v>512</v>
      </c>
      <c r="B82" s="284">
        <f>$B$79^2*(1-EXP(-2*$B$78*$B$81))/(2*$B$78)</f>
        <v>4.1773980218418615E-7</v>
      </c>
      <c r="S82" s="216" t="s">
        <v>520</v>
      </c>
      <c r="T82" s="98">
        <f t="shared" ref="T82:AD82" si="19">Vasicek_A(T$81,$E86,$B$77,$B$78,$B$79)</f>
        <v>0</v>
      </c>
      <c r="U82" s="98">
        <f t="shared" si="19"/>
        <v>-2.0929024403766583E-4</v>
      </c>
      <c r="V82" s="98">
        <f t="shared" si="19"/>
        <v>-8.2769472627028861E-4</v>
      </c>
      <c r="W82" s="98">
        <f t="shared" si="19"/>
        <v>-1.8411015873163708E-3</v>
      </c>
      <c r="X82" s="98">
        <f t="shared" si="19"/>
        <v>-3.2355150334916704E-3</v>
      </c>
      <c r="Y82" s="98">
        <f t="shared" si="19"/>
        <v>-4.9970545636802907E-3</v>
      </c>
      <c r="Z82" s="98">
        <f t="shared" si="19"/>
        <v>-7.1119542007997668E-3</v>
      </c>
      <c r="AA82" s="98">
        <f t="shared" si="19"/>
        <v>-9.5665617282702231E-3</v>
      </c>
      <c r="AB82" s="98">
        <f t="shared" si="19"/>
        <v>-1.2347337931113643E-2</v>
      </c>
      <c r="AC82" s="98">
        <f t="shared" si="19"/>
        <v>-1.5440855841637194E-2</v>
      </c>
      <c r="AD82" s="285">
        <f t="shared" si="19"/>
        <v>-1.8833799990034095E-2</v>
      </c>
    </row>
    <row r="83" spans="1:30" ht="15" thickBot="1">
      <c r="S83" s="276" t="s">
        <v>521</v>
      </c>
      <c r="T83" s="286">
        <f t="shared" ref="T83:AD83" si="20">Vasicek_B(T$81,$E86,$B$77,$B$78,$B$79)</f>
        <v>0</v>
      </c>
      <c r="U83" s="286">
        <f t="shared" si="20"/>
        <v>0.49927276455302622</v>
      </c>
      <c r="V83" s="286">
        <f t="shared" si="20"/>
        <v>0.99709387817556017</v>
      </c>
      <c r="W83" s="286">
        <f t="shared" si="20"/>
        <v>1.4934675615873316</v>
      </c>
      <c r="X83" s="286">
        <f t="shared" si="20"/>
        <v>1.9883980232362219</v>
      </c>
      <c r="Y83" s="286">
        <f t="shared" si="20"/>
        <v>2.4818894593339715</v>
      </c>
      <c r="Z83" s="286">
        <f t="shared" si="20"/>
        <v>2.9739460538916389</v>
      </c>
      <c r="AA83" s="286">
        <f t="shared" si="20"/>
        <v>3.4645719787551577</v>
      </c>
      <c r="AB83" s="286">
        <f t="shared" si="20"/>
        <v>3.9537713936407179</v>
      </c>
      <c r="AC83" s="286">
        <f t="shared" si="20"/>
        <v>4.4415484461699606</v>
      </c>
      <c r="AD83" s="280">
        <f t="shared" si="20"/>
        <v>4.9279072719052657</v>
      </c>
    </row>
    <row r="84" spans="1:30" ht="15" thickBot="1">
      <c r="A84" s="328" t="s">
        <v>560</v>
      </c>
      <c r="B84" s="328"/>
      <c r="C84" s="328"/>
      <c r="D84" s="328"/>
      <c r="E84" s="328"/>
      <c r="F84" s="328"/>
    </row>
    <row r="85" spans="1:30" ht="15" thickBot="1">
      <c r="A85" s="128" t="s">
        <v>513</v>
      </c>
      <c r="B85" s="128" t="s">
        <v>514</v>
      </c>
      <c r="C85" s="278" t="s">
        <v>515</v>
      </c>
      <c r="D85" s="90" t="s">
        <v>516</v>
      </c>
      <c r="E85" s="90" t="s">
        <v>517</v>
      </c>
      <c r="F85" s="90" t="s">
        <v>518</v>
      </c>
      <c r="T85" s="326" t="s">
        <v>519</v>
      </c>
      <c r="U85" s="326"/>
      <c r="V85" s="326"/>
      <c r="W85" s="326"/>
      <c r="X85" s="326"/>
      <c r="Y85" s="326"/>
      <c r="Z85" s="326"/>
      <c r="AA85" s="326"/>
      <c r="AB85" s="326"/>
      <c r="AC85" s="326"/>
      <c r="AD85" s="326"/>
    </row>
    <row r="86" spans="1:30">
      <c r="A86" s="90">
        <v>0</v>
      </c>
      <c r="B86" s="90">
        <f t="shared" ref="B86:B117" si="21">A86*$B$81</f>
        <v>0</v>
      </c>
      <c r="C86" s="120"/>
      <c r="D86" s="120"/>
      <c r="E86" s="287">
        <f>B76</f>
        <v>-6.6741474013936276E-3</v>
      </c>
      <c r="F86" s="288">
        <v>1</v>
      </c>
      <c r="T86" s="289">
        <f t="shared" ref="T86:AD95" si="22">EXP(T$82-$E86*T$83)</f>
        <v>1</v>
      </c>
      <c r="U86" s="290">
        <f t="shared" si="22"/>
        <v>1.0031278112054229</v>
      </c>
      <c r="V86" s="290">
        <f t="shared" si="22"/>
        <v>1.005844067109098</v>
      </c>
      <c r="W86" s="290">
        <f t="shared" si="22"/>
        <v>1.0081596308585625</v>
      </c>
      <c r="X86" s="290">
        <f t="shared" si="22"/>
        <v>1.010085869419258</v>
      </c>
      <c r="Y86" s="290">
        <f t="shared" si="22"/>
        <v>1.01163460308623</v>
      </c>
      <c r="Z86" s="290">
        <f t="shared" si="22"/>
        <v>1.0128180560746418</v>
      </c>
      <c r="AA86" s="290">
        <f t="shared" si="22"/>
        <v>1.0136488083624919</v>
      </c>
      <c r="AB86" s="290">
        <f t="shared" si="22"/>
        <v>1.0141397489412589</v>
      </c>
      <c r="AC86" s="290">
        <f t="shared" si="22"/>
        <v>1.014304030611763</v>
      </c>
      <c r="AD86" s="290">
        <f t="shared" si="22"/>
        <v>1.0141550264445087</v>
      </c>
    </row>
    <row r="87" spans="1:30">
      <c r="A87" s="90">
        <v>1</v>
      </c>
      <c r="B87" s="90">
        <f t="shared" si="21"/>
        <v>4.0000000000000001E-3</v>
      </c>
      <c r="C87" s="291">
        <f>E86*EXP(-$B$78*$B$81)+$B$77*(1-EXP(-$B$78*$B$81))</f>
        <v>-6.6672186834328875E-3</v>
      </c>
      <c r="D87" s="292">
        <f ca="1">NORMSINV(RAND())</f>
        <v>1.5601478344806936</v>
      </c>
      <c r="E87" s="291">
        <f ca="1">C87+($B$82^0.5)*D87</f>
        <v>-5.658851552112691E-3</v>
      </c>
      <c r="F87" s="293">
        <f ca="1">F86*EXP($B$81*(E86+E87)/2)</f>
        <v>0.99997533430629626</v>
      </c>
      <c r="T87" s="289">
        <f t="shared" ca="1" si="22"/>
        <v>1</v>
      </c>
      <c r="U87" s="290">
        <f t="shared" ca="1" si="22"/>
        <v>1.0026194449812309</v>
      </c>
      <c r="V87" s="290">
        <f t="shared" ca="1" si="22"/>
        <v>1.0048263208617354</v>
      </c>
      <c r="W87" s="290">
        <f t="shared" ca="1" si="22"/>
        <v>1.0066321052957221</v>
      </c>
      <c r="X87" s="290">
        <f t="shared" ca="1" si="22"/>
        <v>1.0080487526527391</v>
      </c>
      <c r="Y87" s="290">
        <f t="shared" ca="1" si="22"/>
        <v>1.0090886426102124</v>
      </c>
      <c r="Z87" s="290">
        <f t="shared" ca="1" si="22"/>
        <v>1.0097645299837317</v>
      </c>
      <c r="AA87" s="290">
        <f t="shared" ca="1" si="22"/>
        <v>1.0100894959622042</v>
      </c>
      <c r="AB87" s="290">
        <f t="shared" ca="1" si="22"/>
        <v>1.0100769008968034</v>
      </c>
      <c r="AC87" s="290">
        <f t="shared" ca="1" si="22"/>
        <v>1.0097403387737394</v>
      </c>
      <c r="AD87" s="290">
        <f t="shared" ca="1" si="22"/>
        <v>1.0090935934824918</v>
      </c>
    </row>
    <row r="88" spans="1:30">
      <c r="A88" s="90">
        <v>2</v>
      </c>
      <c r="B88" s="90">
        <f t="shared" si="21"/>
        <v>8.0000000000000002E-3</v>
      </c>
      <c r="C88" s="291">
        <f t="shared" ref="C88:C151" ca="1" si="23">E87*EXP(-$B$78*$B$81)+$B$77*(1-EXP(-$B$78*$B$81))</f>
        <v>-5.6519464843068174E-3</v>
      </c>
      <c r="D88" s="292">
        <f t="shared" ref="D88:D151" ca="1" si="24">NORMSINV(RAND())</f>
        <v>-1.0362356556994088</v>
      </c>
      <c r="E88" s="291">
        <f ca="1">C88+($B$82^0.5)*D88</f>
        <v>-6.3216945379309282E-3</v>
      </c>
      <c r="F88" s="293">
        <f ca="1">F87*EXP($B$81*(E87+E88)/2)</f>
        <v>0.9999513740921907</v>
      </c>
      <c r="T88" s="289">
        <f t="shared" ca="1" si="22"/>
        <v>1</v>
      </c>
      <c r="U88" s="290">
        <f t="shared" ca="1" si="22"/>
        <v>1.0029513062188651</v>
      </c>
      <c r="V88" s="290">
        <f t="shared" ca="1" si="22"/>
        <v>1.0054906468489451</v>
      </c>
      <c r="W88" s="290">
        <f t="shared" ca="1" si="22"/>
        <v>1.0076290985408773</v>
      </c>
      <c r="X88" s="290">
        <f t="shared" ca="1" si="22"/>
        <v>1.0093782324885909</v>
      </c>
      <c r="Y88" s="290">
        <f t="shared" ca="1" si="22"/>
        <v>1.0107500636129647</v>
      </c>
      <c r="Z88" s="290">
        <f t="shared" ca="1" si="22"/>
        <v>1.0117570008792884</v>
      </c>
      <c r="AA88" s="290">
        <f t="shared" ca="1" si="22"/>
        <v>1.0124117989197992</v>
      </c>
      <c r="AB88" s="290">
        <f t="shared" ca="1" si="22"/>
        <v>1.012727511114718</v>
      </c>
      <c r="AC88" s="290">
        <f t="shared" ca="1" si="22"/>
        <v>1.0127174442666107</v>
      </c>
      <c r="AD88" s="290">
        <f t="shared" ca="1" si="22"/>
        <v>1.0123951149847397</v>
      </c>
    </row>
    <row r="89" spans="1:30">
      <c r="A89" s="90">
        <v>3</v>
      </c>
      <c r="B89" s="90">
        <f t="shared" si="21"/>
        <v>1.2E-2</v>
      </c>
      <c r="C89" s="291">
        <f t="shared" ca="1" si="23"/>
        <v>-6.3147740299562818E-3</v>
      </c>
      <c r="D89" s="292">
        <f t="shared" ca="1" si="24"/>
        <v>0.34282668089962193</v>
      </c>
      <c r="E89" s="291">
        <f t="shared" ref="E89:E151" ca="1" si="25">C89+($B$82^0.5)*D89</f>
        <v>-6.0931955685319238E-3</v>
      </c>
      <c r="F89" s="293">
        <f ca="1">F88*EXP($B$81*(E88+E89)/2)</f>
        <v>0.99992654582758989</v>
      </c>
      <c r="T89" s="289">
        <f t="shared" ca="1" si="22"/>
        <v>1</v>
      </c>
      <c r="U89" s="290">
        <f t="shared" ca="1" si="22"/>
        <v>1.0028368927383857</v>
      </c>
      <c r="V89" s="290">
        <f t="shared" ca="1" si="22"/>
        <v>1.0052615870591834</v>
      </c>
      <c r="W89" s="290">
        <f t="shared" ca="1" si="22"/>
        <v>1.0072852979334201</v>
      </c>
      <c r="X89" s="290">
        <f t="shared" ca="1" si="22"/>
        <v>1.0089197287864315</v>
      </c>
      <c r="Y89" s="290">
        <f t="shared" ca="1" si="22"/>
        <v>1.0101770204739167</v>
      </c>
      <c r="Z89" s="290">
        <f t="shared" ca="1" si="22"/>
        <v>1.011069701427548</v>
      </c>
      <c r="AA89" s="290">
        <f t="shared" ca="1" si="22"/>
        <v>1.0116106391400099</v>
      </c>
      <c r="AB89" s="290">
        <f t="shared" ca="1" si="22"/>
        <v>1.0118129931413626</v>
      </c>
      <c r="AC89" s="290">
        <f t="shared" ca="1" si="22"/>
        <v>1.0116901695999256</v>
      </c>
      <c r="AD89" s="290">
        <f t="shared" ca="1" si="22"/>
        <v>1.0112557776626363</v>
      </c>
    </row>
    <row r="90" spans="1:30">
      <c r="A90" s="90">
        <v>4</v>
      </c>
      <c r="B90" s="90">
        <f t="shared" si="21"/>
        <v>1.6E-2</v>
      </c>
      <c r="C90" s="291">
        <f t="shared" ca="1" si="23"/>
        <v>-6.0862803831792673E-3</v>
      </c>
      <c r="D90" s="292">
        <f t="shared" ca="1" si="24"/>
        <v>-1.0919801414994674</v>
      </c>
      <c r="E90" s="291">
        <f t="shared" ca="1" si="25"/>
        <v>-6.7920576553112729E-3</v>
      </c>
      <c r="F90" s="293">
        <f t="shared" ref="F90:F151" ca="1" si="26">F89*EXP($B$81*(E89+E90)/2)</f>
        <v>0.99990077754612572</v>
      </c>
      <c r="T90" s="289">
        <f t="shared" ca="1" si="22"/>
        <v>1</v>
      </c>
      <c r="U90" s="290">
        <f t="shared" ca="1" si="22"/>
        <v>1.003186866454423</v>
      </c>
      <c r="V90" s="290">
        <f t="shared" ca="1" si="22"/>
        <v>1.0059623287260837</v>
      </c>
      <c r="W90" s="290">
        <f t="shared" ca="1" si="22"/>
        <v>1.0083371785014803</v>
      </c>
      <c r="X90" s="290">
        <f t="shared" ca="1" si="22"/>
        <v>1.0103227143558873</v>
      </c>
      <c r="Y90" s="290">
        <f t="shared" ca="1" si="22"/>
        <v>1.0119306913768977</v>
      </c>
      <c r="Z90" s="290">
        <f t="shared" ca="1" si="22"/>
        <v>1.0131732718484305</v>
      </c>
      <c r="AA90" s="290">
        <f t="shared" ca="1" si="22"/>
        <v>1.0140629771692886</v>
      </c>
      <c r="AB90" s="290">
        <f t="shared" ca="1" si="22"/>
        <v>1.0146126411627385</v>
      </c>
      <c r="AC90" s="290">
        <f t="shared" ca="1" si="22"/>
        <v>1.0148353649152231</v>
      </c>
      <c r="AD90" s="290">
        <f t="shared" ca="1" si="22"/>
        <v>1.0147444732643172</v>
      </c>
    </row>
    <row r="91" spans="1:30">
      <c r="A91" s="90">
        <v>5</v>
      </c>
      <c r="B91" s="90">
        <f t="shared" si="21"/>
        <v>0.02</v>
      </c>
      <c r="C91" s="291">
        <f t="shared" ca="1" si="23"/>
        <v>-6.7851261907661085E-3</v>
      </c>
      <c r="D91" s="292">
        <f t="shared" ca="1" si="24"/>
        <v>0.72218061712872716</v>
      </c>
      <c r="E91" s="291">
        <f t="shared" ca="1" si="25"/>
        <v>-6.3183606823349553E-3</v>
      </c>
      <c r="F91" s="293">
        <f t="shared" ca="1" si="26"/>
        <v>0.99987455965487526</v>
      </c>
      <c r="T91" s="289">
        <f t="shared" ca="1" si="22"/>
        <v>1</v>
      </c>
      <c r="U91" s="290">
        <f t="shared" ca="1" si="22"/>
        <v>1.0029496368044957</v>
      </c>
      <c r="V91" s="290">
        <f t="shared" ca="1" si="22"/>
        <v>1.0054873044356678</v>
      </c>
      <c r="W91" s="290">
        <f t="shared" ca="1" si="22"/>
        <v>1.0076240815628583</v>
      </c>
      <c r="X91" s="290">
        <f t="shared" ca="1" si="22"/>
        <v>1.0093715413102899</v>
      </c>
      <c r="Y91" s="290">
        <f t="shared" ca="1" si="22"/>
        <v>1.0107417004376689</v>
      </c>
      <c r="Z91" s="290">
        <f t="shared" ca="1" si="22"/>
        <v>1.0117469696551076</v>
      </c>
      <c r="AA91" s="290">
        <f t="shared" ca="1" si="22"/>
        <v>1.0124001052436262</v>
      </c>
      <c r="AB91" s="290">
        <f t="shared" ca="1" si="22"/>
        <v>1.0127141621346318</v>
      </c>
      <c r="AC91" s="290">
        <f t="shared" ca="1" si="22"/>
        <v>1.0127024485831768</v>
      </c>
      <c r="AD91" s="290">
        <f t="shared" ca="1" si="22"/>
        <v>1.01237848255164</v>
      </c>
    </row>
    <row r="92" spans="1:30">
      <c r="A92" s="90">
        <v>6</v>
      </c>
      <c r="B92" s="90">
        <f t="shared" si="21"/>
        <v>2.4E-2</v>
      </c>
      <c r="C92" s="291">
        <f t="shared" ca="1" si="23"/>
        <v>-6.31144025201866E-3</v>
      </c>
      <c r="D92" s="292">
        <f t="shared" ca="1" si="24"/>
        <v>-0.27954465774298726</v>
      </c>
      <c r="E92" s="291">
        <f t="shared" ca="1" si="25"/>
        <v>-6.4921177739651675E-3</v>
      </c>
      <c r="F92" s="293">
        <f t="shared" ca="1" si="26"/>
        <v>0.99984894224003706</v>
      </c>
      <c r="T92" s="289">
        <f t="shared" ca="1" si="22"/>
        <v>1</v>
      </c>
      <c r="U92" s="290">
        <f t="shared" ca="1" si="22"/>
        <v>1.003036648649607</v>
      </c>
      <c r="V92" s="290">
        <f t="shared" ca="1" si="22"/>
        <v>1.0056615223465928</v>
      </c>
      <c r="W92" s="290">
        <f t="shared" ca="1" si="22"/>
        <v>1.0078855945263063</v>
      </c>
      <c r="X92" s="290">
        <f t="shared" ca="1" si="22"/>
        <v>1.0097203376698014</v>
      </c>
      <c r="Y92" s="290">
        <f t="shared" ca="1" si="22"/>
        <v>1.0111776726449366</v>
      </c>
      <c r="Z92" s="290">
        <f t="shared" ca="1" si="22"/>
        <v>1.0122699191546616</v>
      </c>
      <c r="AA92" s="290">
        <f t="shared" ca="1" si="22"/>
        <v>1.0130097474647974</v>
      </c>
      <c r="AB92" s="290">
        <f t="shared" ca="1" si="22"/>
        <v>1.0134101315658532</v>
      </c>
      <c r="AC92" s="290">
        <f t="shared" ca="1" si="22"/>
        <v>1.0134843039049033</v>
      </c>
      <c r="AD92" s="290">
        <f t="shared" ca="1" si="22"/>
        <v>1.0132457118054525</v>
      </c>
    </row>
    <row r="93" spans="1:30">
      <c r="A93" s="90">
        <v>7</v>
      </c>
      <c r="B93" s="90">
        <f t="shared" si="21"/>
        <v>2.8000000000000001E-2</v>
      </c>
      <c r="C93" s="291">
        <f t="shared" ca="1" si="23"/>
        <v>-6.4851932961762764E-3</v>
      </c>
      <c r="D93" s="292">
        <f t="shared" ca="1" si="24"/>
        <v>-0.84364692174265332</v>
      </c>
      <c r="E93" s="291">
        <f t="shared" ca="1" si="25"/>
        <v>-7.0304658706870872E-3</v>
      </c>
      <c r="F93" s="293">
        <f t="shared" ca="1" si="26"/>
        <v>0.99982190152379213</v>
      </c>
      <c r="T93" s="289">
        <f t="shared" ca="1" si="22"/>
        <v>1</v>
      </c>
      <c r="U93" s="290">
        <f t="shared" ca="1" si="22"/>
        <v>1.003306283625258</v>
      </c>
      <c r="V93" s="290">
        <f t="shared" ca="1" si="22"/>
        <v>1.006201489860346</v>
      </c>
      <c r="W93" s="290">
        <f t="shared" ca="1" si="22"/>
        <v>1.0086962658547372</v>
      </c>
      <c r="X93" s="290">
        <f t="shared" ca="1" si="22"/>
        <v>1.0108017718069056</v>
      </c>
      <c r="Y93" s="290">
        <f t="shared" ca="1" si="22"/>
        <v>1.012529630817198</v>
      </c>
      <c r="Z93" s="290">
        <f t="shared" ca="1" si="22"/>
        <v>1.0138918797641479</v>
      </c>
      <c r="AA93" s="290">
        <f t="shared" ca="1" si="22"/>
        <v>1.0149009213796885</v>
      </c>
      <c r="AB93" s="290">
        <f t="shared" ca="1" si="22"/>
        <v>1.0155694776812485</v>
      </c>
      <c r="AC93" s="290">
        <f t="shared" ca="1" si="22"/>
        <v>1.0159105449004568</v>
      </c>
      <c r="AD93" s="290">
        <f t="shared" ca="1" si="22"/>
        <v>1.0159373500302831</v>
      </c>
    </row>
    <row r="94" spans="1:30">
      <c r="A94" s="90">
        <v>8</v>
      </c>
      <c r="B94" s="90">
        <f t="shared" si="21"/>
        <v>3.2000000000000001E-2</v>
      </c>
      <c r="C94" s="291">
        <f t="shared" ca="1" si="23"/>
        <v>-7.0235288526953885E-3</v>
      </c>
      <c r="D94" s="292">
        <f t="shared" ca="1" si="24"/>
        <v>-1.2316322820571501</v>
      </c>
      <c r="E94" s="291">
        <f t="shared" ca="1" si="25"/>
        <v>-7.8195672047357279E-3</v>
      </c>
      <c r="F94" s="293">
        <f t="shared" ca="1" si="26"/>
        <v>0.99979220718814188</v>
      </c>
      <c r="T94" s="289">
        <f t="shared" ca="1" si="22"/>
        <v>1</v>
      </c>
      <c r="U94" s="290">
        <f t="shared" ca="1" si="22"/>
        <v>1.0037016409045634</v>
      </c>
      <c r="V94" s="290">
        <f t="shared" ca="1" si="22"/>
        <v>1.0069934888870689</v>
      </c>
      <c r="W94" s="290">
        <f t="shared" ca="1" si="22"/>
        <v>1.0098857123673526</v>
      </c>
      <c r="X94" s="290">
        <f t="shared" ca="1" si="22"/>
        <v>1.0123890127356585</v>
      </c>
      <c r="Y94" s="290">
        <f t="shared" ca="1" si="22"/>
        <v>1.0145145749946021</v>
      </c>
      <c r="Z94" s="290">
        <f t="shared" ca="1" si="22"/>
        <v>1.0162740193027811</v>
      </c>
      <c r="AA94" s="290">
        <f t="shared" ca="1" si="22"/>
        <v>1.0176793535998212</v>
      </c>
      <c r="AB94" s="290">
        <f t="shared" ca="1" si="22"/>
        <v>1.0187429274756241</v>
      </c>
      <c r="AC94" s="290">
        <f t="shared" ca="1" si="22"/>
        <v>1.0194773874287144</v>
      </c>
      <c r="AD94" s="290">
        <f t="shared" ca="1" si="22"/>
        <v>1.0198956336410034</v>
      </c>
    </row>
    <row r="95" spans="1:30">
      <c r="A95" s="90">
        <v>9</v>
      </c>
      <c r="B95" s="90">
        <f t="shared" si="21"/>
        <v>3.6000000000000004E-2</v>
      </c>
      <c r="C95" s="291">
        <f t="shared" ca="1" si="23"/>
        <v>-7.8126118055315292E-3</v>
      </c>
      <c r="D95" s="292">
        <f t="shared" ca="1" si="24"/>
        <v>-0.91665706928407586</v>
      </c>
      <c r="E95" s="291">
        <f t="shared" ca="1" si="25"/>
        <v>-8.4050728780849723E-3</v>
      </c>
      <c r="F95" s="293">
        <f t="shared" ca="1" si="26"/>
        <v>0.99975976517706622</v>
      </c>
      <c r="T95" s="289">
        <f t="shared" ca="1" si="22"/>
        <v>1</v>
      </c>
      <c r="U95" s="290">
        <f t="shared" ca="1" si="22"/>
        <v>1.003995092920362</v>
      </c>
      <c r="V95" s="290">
        <f t="shared" ca="1" si="22"/>
        <v>1.0075815474760577</v>
      </c>
      <c r="W95" s="290">
        <f t="shared" ca="1" si="22"/>
        <v>1.010769176707182</v>
      </c>
      <c r="X95" s="290">
        <f t="shared" ca="1" si="22"/>
        <v>1.013568340939323</v>
      </c>
      <c r="Y95" s="290">
        <f t="shared" ca="1" si="22"/>
        <v>1.0159898990402714</v>
      </c>
      <c r="Z95" s="290">
        <f t="shared" ca="1" si="22"/>
        <v>1.0180451604888041</v>
      </c>
      <c r="AA95" s="290">
        <f t="shared" ca="1" si="22"/>
        <v>1.0197458384383216</v>
      </c>
      <c r="AB95" s="290">
        <f t="shared" ca="1" si="22"/>
        <v>1.0211040039414625</v>
      </c>
      <c r="AC95" s="290">
        <f t="shared" ca="1" si="22"/>
        <v>1.0221320414842259</v>
      </c>
      <c r="AD95" s="290">
        <f t="shared" ca="1" si="22"/>
        <v>1.0228426059608235</v>
      </c>
    </row>
    <row r="96" spans="1:30">
      <c r="A96" s="90">
        <v>10</v>
      </c>
      <c r="B96" s="90">
        <f t="shared" si="21"/>
        <v>0.04</v>
      </c>
      <c r="C96" s="291">
        <f t="shared" ca="1" si="23"/>
        <v>-8.3981038401961874E-3</v>
      </c>
      <c r="D96" s="292">
        <f t="shared" ca="1" si="24"/>
        <v>2.1388173370639825</v>
      </c>
      <c r="E96" s="291">
        <f t="shared" ca="1" si="25"/>
        <v>-7.0157264430497262E-3</v>
      </c>
      <c r="F96" s="293">
        <f t="shared" ca="1" si="26"/>
        <v>0.99972893146313291</v>
      </c>
      <c r="T96" s="289">
        <f t="shared" ref="T96:AD105" ca="1" si="27">EXP(T$82-$E96*T$83)</f>
        <v>1</v>
      </c>
      <c r="U96" s="290">
        <f t="shared" ca="1" si="27"/>
        <v>1.0032989003267163</v>
      </c>
      <c r="V96" s="290">
        <f t="shared" ca="1" si="27"/>
        <v>1.006186702235172</v>
      </c>
      <c r="W96" s="290">
        <f t="shared" ca="1" si="27"/>
        <v>1.0086740618124153</v>
      </c>
      <c r="X96" s="290">
        <f t="shared" ca="1" si="27"/>
        <v>1.0107721478155429</v>
      </c>
      <c r="Y96" s="290">
        <f t="shared" ca="1" si="27"/>
        <v>1.0124925915102716</v>
      </c>
      <c r="Z96" s="290">
        <f t="shared" ca="1" si="27"/>
        <v>1.013847437535236</v>
      </c>
      <c r="AA96" s="290">
        <f t="shared" ca="1" si="27"/>
        <v>1.0148490959673877</v>
      </c>
      <c r="AB96" s="290">
        <f t="shared" ca="1" si="27"/>
        <v>1.0155102957463888</v>
      </c>
      <c r="AC96" s="290">
        <f t="shared" ca="1" si="27"/>
        <v>1.0158440395976209</v>
      </c>
      <c r="AD96" s="290">
        <f t="shared" ca="1" si="27"/>
        <v>1.0158635605755379</v>
      </c>
    </row>
    <row r="97" spans="1:30">
      <c r="A97" s="90">
        <v>11</v>
      </c>
      <c r="B97" s="90">
        <f t="shared" si="21"/>
        <v>4.3999999999999997E-2</v>
      </c>
      <c r="C97" s="291">
        <f t="shared" ca="1" si="23"/>
        <v>-7.0087897683961259E-3</v>
      </c>
      <c r="D97" s="292">
        <f t="shared" ca="1" si="24"/>
        <v>2.3892296748357659E-3</v>
      </c>
      <c r="E97" s="291">
        <f t="shared" ca="1" si="25"/>
        <v>-7.007245542509301E-3</v>
      </c>
      <c r="F97" s="293">
        <f t="shared" ca="1" si="26"/>
        <v>0.99970089351471192</v>
      </c>
      <c r="T97" s="289">
        <f t="shared" ca="1" si="27"/>
        <v>1</v>
      </c>
      <c r="U97" s="290">
        <f t="shared" ca="1" si="27"/>
        <v>1.0032946520845754</v>
      </c>
      <c r="V97" s="290">
        <f t="shared" ca="1" si="27"/>
        <v>1.0061781937008114</v>
      </c>
      <c r="W97" s="290">
        <f t="shared" ca="1" si="27"/>
        <v>1.0086612860782418</v>
      </c>
      <c r="X97" s="290">
        <f t="shared" ca="1" si="27"/>
        <v>1.0107551028982906</v>
      </c>
      <c r="Y97" s="290">
        <f t="shared" ca="1" si="27"/>
        <v>1.0124712801246216</v>
      </c>
      <c r="Z97" s="290">
        <f t="shared" ca="1" si="27"/>
        <v>1.0138218668605314</v>
      </c>
      <c r="AA97" s="290">
        <f t="shared" ca="1" si="27"/>
        <v>1.0148192774087086</v>
      </c>
      <c r="AB97" s="290">
        <f t="shared" ca="1" si="27"/>
        <v>1.0154762446912027</v>
      </c>
      <c r="AC97" s="290">
        <f t="shared" ca="1" si="27"/>
        <v>1.0158057751691647</v>
      </c>
      <c r="AD97" s="290">
        <f t="shared" ca="1" si="27"/>
        <v>1.0158211053840276</v>
      </c>
    </row>
    <row r="98" spans="1:30">
      <c r="A98" s="90">
        <v>12</v>
      </c>
      <c r="B98" s="90">
        <f t="shared" si="21"/>
        <v>4.8000000000000001E-2</v>
      </c>
      <c r="C98" s="291">
        <f t="shared" ca="1" si="23"/>
        <v>-7.0003090654085732E-3</v>
      </c>
      <c r="D98" s="292">
        <f t="shared" ca="1" si="24"/>
        <v>-0.84651270892617858</v>
      </c>
      <c r="E98" s="291">
        <f t="shared" ca="1" si="25"/>
        <v>-7.5474338782376754E-3</v>
      </c>
      <c r="F98" s="293">
        <f t="shared" ca="1" si="26"/>
        <v>0.99967179328621503</v>
      </c>
      <c r="T98" s="289">
        <f t="shared" ca="1" si="27"/>
        <v>1</v>
      </c>
      <c r="U98" s="290">
        <f t="shared" ca="1" si="27"/>
        <v>1.0035652784728695</v>
      </c>
      <c r="V98" s="290">
        <f t="shared" ca="1" si="27"/>
        <v>1.0067202858500643</v>
      </c>
      <c r="W98" s="290">
        <f t="shared" ca="1" si="27"/>
        <v>1.0094753556925866</v>
      </c>
      <c r="X98" s="290">
        <f t="shared" ca="1" si="27"/>
        <v>1.0118413477430279</v>
      </c>
      <c r="Y98" s="290">
        <f t="shared" ca="1" si="27"/>
        <v>1.0138295982902377</v>
      </c>
      <c r="Z98" s="290">
        <f t="shared" ca="1" si="27"/>
        <v>1.015451871477508</v>
      </c>
      <c r="AA98" s="290">
        <f t="shared" ca="1" si="27"/>
        <v>1.0167203117326034</v>
      </c>
      <c r="AB98" s="290">
        <f t="shared" ca="1" si="27"/>
        <v>1.0176473974807942</v>
      </c>
      <c r="AC98" s="290">
        <f t="shared" ca="1" si="27"/>
        <v>1.0182458962840368</v>
      </c>
      <c r="AD98" s="290">
        <f t="shared" ca="1" si="27"/>
        <v>1.0185288215317561</v>
      </c>
    </row>
    <row r="99" spans="1:30">
      <c r="A99" s="90">
        <v>13</v>
      </c>
      <c r="B99" s="90">
        <f t="shared" si="21"/>
        <v>5.2000000000000005E-2</v>
      </c>
      <c r="C99" s="291">
        <f t="shared" ca="1" si="23"/>
        <v>-7.5404848180678783E-3</v>
      </c>
      <c r="D99" s="292">
        <f t="shared" ca="1" si="24"/>
        <v>-0.80456027772216943</v>
      </c>
      <c r="E99" s="291">
        <f t="shared" ca="1" si="25"/>
        <v>-8.0604946025835417E-3</v>
      </c>
      <c r="F99" s="293">
        <f t="shared" ca="1" si="26"/>
        <v>0.9996405881615571</v>
      </c>
      <c r="T99" s="289">
        <f t="shared" ca="1" si="27"/>
        <v>1</v>
      </c>
      <c r="U99" s="290">
        <f t="shared" ca="1" si="27"/>
        <v>1.0038223819190624</v>
      </c>
      <c r="V99" s="290">
        <f t="shared" ca="1" si="27"/>
        <v>1.0072354252057181</v>
      </c>
      <c r="W99" s="290">
        <f t="shared" ca="1" si="27"/>
        <v>1.0102491520526211</v>
      </c>
      <c r="X99" s="290">
        <f t="shared" ca="1" si="27"/>
        <v>1.0128741235615049</v>
      </c>
      <c r="Y99" s="290">
        <f t="shared" ca="1" si="27"/>
        <v>1.0151213906351257</v>
      </c>
      <c r="Z99" s="290">
        <f t="shared" ca="1" si="27"/>
        <v>1.0170024457339115</v>
      </c>
      <c r="AA99" s="290">
        <f t="shared" ca="1" si="27"/>
        <v>1.0185291756783532</v>
      </c>
      <c r="AB99" s="290">
        <f t="shared" ca="1" si="27"/>
        <v>1.0197138156613101</v>
      </c>
      <c r="AC99" s="290">
        <f t="shared" ca="1" si="27"/>
        <v>1.0205689046166426</v>
      </c>
      <c r="AD99" s="290">
        <f t="shared" ca="1" si="27"/>
        <v>1.0211072420731113</v>
      </c>
    </row>
    <row r="100" spans="1:30">
      <c r="A100" s="90">
        <v>14</v>
      </c>
      <c r="B100" s="90">
        <f t="shared" si="21"/>
        <v>5.6000000000000001E-2</v>
      </c>
      <c r="C100" s="291">
        <f t="shared" ca="1" si="23"/>
        <v>-8.053533591251336E-3</v>
      </c>
      <c r="D100" s="292">
        <f t="shared" ca="1" si="24"/>
        <v>-1.136212777413717</v>
      </c>
      <c r="E100" s="291">
        <f t="shared" ca="1" si="25"/>
        <v>-8.787899651703155E-3</v>
      </c>
      <c r="F100" s="293">
        <f t="shared" ca="1" si="26"/>
        <v>0.99960690405159958</v>
      </c>
      <c r="T100" s="289">
        <f t="shared" ca="1" si="27"/>
        <v>1</v>
      </c>
      <c r="U100" s="290">
        <f t="shared" ca="1" si="27"/>
        <v>1.0041870098444177</v>
      </c>
      <c r="V100" s="290">
        <f t="shared" ca="1" si="27"/>
        <v>1.0079662291075651</v>
      </c>
      <c r="W100" s="290">
        <f t="shared" ca="1" si="27"/>
        <v>1.0113472384721609</v>
      </c>
      <c r="X100" s="290">
        <f t="shared" ca="1" si="27"/>
        <v>1.0143401750505932</v>
      </c>
      <c r="Y100" s="290">
        <f t="shared" ca="1" si="27"/>
        <v>1.0169556840567564</v>
      </c>
      <c r="Z100" s="290">
        <f t="shared" ca="1" si="27"/>
        <v>1.0192048712317863</v>
      </c>
      <c r="AA100" s="290">
        <f t="shared" ca="1" si="27"/>
        <v>1.0210992562083394</v>
      </c>
      <c r="AB100" s="290">
        <f t="shared" ca="1" si="27"/>
        <v>1.0226507269816263</v>
      </c>
      <c r="AC100" s="290">
        <f t="shared" ca="1" si="27"/>
        <v>1.0238714956380306</v>
      </c>
      <c r="AD100" s="290">
        <f t="shared" ca="1" si="27"/>
        <v>1.0247740554749982</v>
      </c>
    </row>
    <row r="101" spans="1:30">
      <c r="A101" s="90">
        <v>15</v>
      </c>
      <c r="B101" s="90">
        <f t="shared" si="21"/>
        <v>0.06</v>
      </c>
      <c r="C101" s="291">
        <f t="shared" ca="1" si="23"/>
        <v>-8.780921696302799E-3</v>
      </c>
      <c r="D101" s="292">
        <f t="shared" ca="1" si="24"/>
        <v>0.55812242980709914</v>
      </c>
      <c r="E101" s="291">
        <f t="shared" ca="1" si="25"/>
        <v>-8.4201915776359534E-3</v>
      </c>
      <c r="F101" s="293">
        <f t="shared" ca="1" si="26"/>
        <v>0.99957250199000003</v>
      </c>
      <c r="T101" s="289">
        <f t="shared" ca="1" si="27"/>
        <v>1</v>
      </c>
      <c r="U101" s="290">
        <f t="shared" ca="1" si="27"/>
        <v>1.0040026714602652</v>
      </c>
      <c r="V101" s="290">
        <f t="shared" ca="1" si="27"/>
        <v>1.0075967366433418</v>
      </c>
      <c r="W101" s="290">
        <f t="shared" ca="1" si="27"/>
        <v>1.0107919994125294</v>
      </c>
      <c r="X101" s="290">
        <f t="shared" ca="1" si="27"/>
        <v>1.0135988112809822</v>
      </c>
      <c r="Y101" s="290">
        <f t="shared" ca="1" si="27"/>
        <v>1.0160280226846161</v>
      </c>
      <c r="Z101" s="290">
        <f t="shared" ca="1" si="27"/>
        <v>1.0180909350647871</v>
      </c>
      <c r="AA101" s="290">
        <f t="shared" ca="1" si="27"/>
        <v>1.0197992539435952</v>
      </c>
      <c r="AB101" s="290">
        <f t="shared" ca="1" si="27"/>
        <v>1.0211650431580195</v>
      </c>
      <c r="AC101" s="290">
        <f t="shared" ca="1" si="27"/>
        <v>1.0222006804015116</v>
      </c>
      <c r="AD101" s="290">
        <f t="shared" ca="1" si="27"/>
        <v>1.0229188142043626</v>
      </c>
    </row>
    <row r="102" spans="1:30">
      <c r="A102" s="90">
        <v>16</v>
      </c>
      <c r="B102" s="90">
        <f t="shared" si="21"/>
        <v>6.4000000000000001E-2</v>
      </c>
      <c r="C102" s="291">
        <f t="shared" ca="1" si="23"/>
        <v>-8.4132221875743637E-3</v>
      </c>
      <c r="D102" s="292">
        <f t="shared" ca="1" si="24"/>
        <v>0.58813983438442496</v>
      </c>
      <c r="E102" s="291">
        <f t="shared" ca="1" si="25"/>
        <v>-8.0330909817320894E-3</v>
      </c>
      <c r="F102" s="293">
        <f t="shared" ca="1" si="26"/>
        <v>0.99953961003355607</v>
      </c>
      <c r="T102" s="289">
        <f t="shared" ca="1" si="27"/>
        <v>1</v>
      </c>
      <c r="U102" s="290">
        <f t="shared" ca="1" si="27"/>
        <v>1.0038086478340988</v>
      </c>
      <c r="V102" s="290">
        <f t="shared" ca="1" si="27"/>
        <v>1.0072079038984925</v>
      </c>
      <c r="W102" s="290">
        <f t="shared" ca="1" si="27"/>
        <v>1.0102078070187779</v>
      </c>
      <c r="X102" s="290">
        <f t="shared" ca="1" si="27"/>
        <v>1.0128189342575491</v>
      </c>
      <c r="Y102" s="290">
        <f t="shared" ca="1" si="27"/>
        <v>1.015052351777697</v>
      </c>
      <c r="Z102" s="290">
        <f t="shared" ca="1" si="27"/>
        <v>1.0169195665746096</v>
      </c>
      <c r="AA102" s="290">
        <f t="shared" ca="1" si="27"/>
        <v>1.0184324792581696</v>
      </c>
      <c r="AB102" s="290">
        <f t="shared" ca="1" si="27"/>
        <v>1.0196033380485656</v>
      </c>
      <c r="AC102" s="290">
        <f t="shared" ca="1" si="27"/>
        <v>1.0204446941321541</v>
      </c>
      <c r="AD102" s="290">
        <f t="shared" ca="1" si="27"/>
        <v>1.0209693585061317</v>
      </c>
    </row>
    <row r="103" spans="1:30">
      <c r="A103" s="90">
        <v>17</v>
      </c>
      <c r="B103" s="90">
        <f t="shared" si="21"/>
        <v>6.8000000000000005E-2</v>
      </c>
      <c r="C103" s="291">
        <f t="shared" ca="1" si="23"/>
        <v>-8.0261306087358701E-3</v>
      </c>
      <c r="D103" s="292">
        <f t="shared" ca="1" si="24"/>
        <v>-2.1836719021134812</v>
      </c>
      <c r="E103" s="291">
        <f t="shared" ca="1" si="25"/>
        <v>-9.4374987643771075E-3</v>
      </c>
      <c r="F103" s="293">
        <f t="shared" ca="1" si="26"/>
        <v>0.9995046855507872</v>
      </c>
      <c r="T103" s="289">
        <f t="shared" ca="1" si="27"/>
        <v>1</v>
      </c>
      <c r="U103" s="290">
        <f t="shared" ca="1" si="27"/>
        <v>1.0045127477701723</v>
      </c>
      <c r="V103" s="290">
        <f t="shared" ca="1" si="27"/>
        <v>1.0086193117043361</v>
      </c>
      <c r="W103" s="290">
        <f t="shared" ca="1" si="27"/>
        <v>1.0123288783519415</v>
      </c>
      <c r="X103" s="290">
        <f t="shared" ca="1" si="27"/>
        <v>1.0156512058172262</v>
      </c>
      <c r="Y103" s="290">
        <f t="shared" ca="1" si="27"/>
        <v>1.0185965761588234</v>
      </c>
      <c r="Z103" s="290">
        <f t="shared" ca="1" si="27"/>
        <v>1.0211757484453099</v>
      </c>
      <c r="AA103" s="290">
        <f t="shared" ca="1" si="27"/>
        <v>1.023399912654321</v>
      </c>
      <c r="AB103" s="290">
        <f t="shared" ca="1" si="27"/>
        <v>1.0252806445868203</v>
      </c>
      <c r="AC103" s="290">
        <f t="shared" ca="1" si="27"/>
        <v>1.0268298619511</v>
      </c>
      <c r="AD103" s="290">
        <f t="shared" ca="1" si="27"/>
        <v>1.0280597817542176</v>
      </c>
    </row>
    <row r="104" spans="1:30">
      <c r="A104" s="90">
        <v>18</v>
      </c>
      <c r="B104" s="90">
        <f t="shared" si="21"/>
        <v>7.2000000000000008E-2</v>
      </c>
      <c r="C104" s="291">
        <f t="shared" ca="1" si="23"/>
        <v>-9.4305056773088466E-3</v>
      </c>
      <c r="D104" s="292">
        <f t="shared" ca="1" si="24"/>
        <v>-1.3556853114921259</v>
      </c>
      <c r="E104" s="291">
        <f t="shared" ca="1" si="25"/>
        <v>-1.0306722967946094E-2</v>
      </c>
      <c r="F104" s="293">
        <f t="shared" ca="1" si="26"/>
        <v>0.99946521744579131</v>
      </c>
      <c r="T104" s="289">
        <f t="shared" ca="1" si="27"/>
        <v>1</v>
      </c>
      <c r="U104" s="290">
        <f t="shared" ca="1" si="27"/>
        <v>1.004948780791407</v>
      </c>
      <c r="V104" s="290">
        <f t="shared" ca="1" si="27"/>
        <v>1.0094938591073874</v>
      </c>
      <c r="W104" s="290">
        <f t="shared" ca="1" si="27"/>
        <v>1.0136438947025772</v>
      </c>
      <c r="X104" s="290">
        <f t="shared" ca="1" si="27"/>
        <v>1.0174081383529954</v>
      </c>
      <c r="Y104" s="290">
        <f t="shared" ca="1" si="27"/>
        <v>1.0207963852743369</v>
      </c>
      <c r="Z104" s="290">
        <f t="shared" ca="1" si="27"/>
        <v>1.0238189290667148</v>
      </c>
      <c r="AA104" s="290">
        <f t="shared" ca="1" si="27"/>
        <v>1.0264865163771089</v>
      </c>
      <c r="AB104" s="290">
        <f t="shared" ca="1" si="27"/>
        <v>1.0288103024553126</v>
      </c>
      <c r="AC104" s="290">
        <f t="shared" ca="1" si="27"/>
        <v>1.0308018077626271</v>
      </c>
      <c r="AD104" s="290">
        <f t="shared" ca="1" si="27"/>
        <v>1.0324728757761141</v>
      </c>
    </row>
    <row r="105" spans="1:30">
      <c r="A105" s="90">
        <v>19</v>
      </c>
      <c r="B105" s="90">
        <f t="shared" si="21"/>
        <v>7.5999999999999998E-2</v>
      </c>
      <c r="C105" s="291">
        <f t="shared" ca="1" si="23"/>
        <v>-1.0299709633294784E-2</v>
      </c>
      <c r="D105" s="292">
        <f t="shared" ca="1" si="24"/>
        <v>-0.26071877314176567</v>
      </c>
      <c r="E105" s="291">
        <f t="shared" ca="1" si="25"/>
        <v>-1.0468219460084237E-2</v>
      </c>
      <c r="F105" s="293">
        <f t="shared" ca="1" si="26"/>
        <v>0.99942369064381176</v>
      </c>
      <c r="T105" s="289">
        <f t="shared" ca="1" si="27"/>
        <v>1</v>
      </c>
      <c r="U105" s="290">
        <f t="shared" ca="1" si="27"/>
        <v>1.0050298138824947</v>
      </c>
      <c r="V105" s="290">
        <f t="shared" ca="1" si="27"/>
        <v>1.0096564281289124</v>
      </c>
      <c r="W105" s="290">
        <f t="shared" ca="1" si="27"/>
        <v>1.0138884047282259</v>
      </c>
      <c r="X105" s="290">
        <f t="shared" ca="1" si="27"/>
        <v>1.0177349002099869</v>
      </c>
      <c r="Y105" s="290">
        <f t="shared" ca="1" si="27"/>
        <v>1.0212056192574126</v>
      </c>
      <c r="Z105" s="290">
        <f t="shared" ca="1" si="27"/>
        <v>1.0243107688230759</v>
      </c>
      <c r="AA105" s="290">
        <f t="shared" ca="1" si="27"/>
        <v>1.0270610129390827</v>
      </c>
      <c r="AB105" s="290">
        <f t="shared" ca="1" si="27"/>
        <v>1.0294674283982699</v>
      </c>
      <c r="AC105" s="290">
        <f t="shared" ca="1" si="27"/>
        <v>1.0315414614665011</v>
      </c>
      <c r="AD105" s="290">
        <f t="shared" ca="1" si="27"/>
        <v>1.0332948857697817</v>
      </c>
    </row>
    <row r="106" spans="1:30">
      <c r="A106" s="90">
        <v>20</v>
      </c>
      <c r="B106" s="90">
        <f t="shared" si="21"/>
        <v>0.08</v>
      </c>
      <c r="C106" s="291">
        <f t="shared" ca="1" si="23"/>
        <v>-1.0461202363556965E-2</v>
      </c>
      <c r="D106" s="292">
        <f t="shared" ca="1" si="24"/>
        <v>-1.2043494173017371</v>
      </c>
      <c r="E106" s="291">
        <f t="shared" ca="1" si="25"/>
        <v>-1.1239607037903696E-2</v>
      </c>
      <c r="F106" s="293">
        <f t="shared" ca="1" si="26"/>
        <v>0.99938030095356556</v>
      </c>
      <c r="T106" s="289">
        <f t="shared" ref="T106:AD115" ca="1" si="28">EXP(T$82-$E106*T$83)</f>
        <v>1</v>
      </c>
      <c r="U106" s="290">
        <f t="shared" ca="1" si="28"/>
        <v>1.0054169583836006</v>
      </c>
      <c r="V106" s="290">
        <f t="shared" ca="1" si="28"/>
        <v>1.0104332998874384</v>
      </c>
      <c r="W106" s="290">
        <f t="shared" ca="1" si="28"/>
        <v>1.0150571201587435</v>
      </c>
      <c r="X106" s="290">
        <f t="shared" ca="1" si="28"/>
        <v>1.0192971257721251</v>
      </c>
      <c r="Y106" s="290">
        <f t="shared" ca="1" si="28"/>
        <v>1.0231625887964089</v>
      </c>
      <c r="Z106" s="290">
        <f t="shared" ca="1" si="28"/>
        <v>1.0266633017511273</v>
      </c>
      <c r="AA106" s="290">
        <f t="shared" ca="1" si="28"/>
        <v>1.0298095331473709</v>
      </c>
      <c r="AB106" s="290">
        <f t="shared" ca="1" si="28"/>
        <v>1.0326119837928784</v>
      </c>
      <c r="AC106" s="290">
        <f t="shared" ca="1" si="28"/>
        <v>1.035081744025236</v>
      </c>
      <c r="AD106" s="290">
        <f t="shared" ca="1" si="28"/>
        <v>1.0372302520210976</v>
      </c>
    </row>
    <row r="107" spans="1:30">
      <c r="A107" s="90">
        <v>21</v>
      </c>
      <c r="B107" s="90">
        <f t="shared" si="21"/>
        <v>8.4000000000000005E-2</v>
      </c>
      <c r="C107" s="291">
        <f t="shared" ca="1" si="23"/>
        <v>-1.1232571972785604E-2</v>
      </c>
      <c r="D107" s="292">
        <f t="shared" ca="1" si="24"/>
        <v>-1.1109164357337542</v>
      </c>
      <c r="E107" s="291">
        <f t="shared" ca="1" si="25"/>
        <v>-1.1950588300905032E-2</v>
      </c>
      <c r="F107" s="293">
        <f t="shared" ca="1" si="26"/>
        <v>0.999333950379659</v>
      </c>
      <c r="T107" s="289">
        <f t="shared" ca="1" si="28"/>
        <v>1</v>
      </c>
      <c r="U107" s="290">
        <f t="shared" ca="1" si="28"/>
        <v>1.0057739181933414</v>
      </c>
      <c r="V107" s="290">
        <f t="shared" ca="1" si="28"/>
        <v>1.0111498652377167</v>
      </c>
      <c r="W107" s="290">
        <f t="shared" ca="1" si="28"/>
        <v>1.0161355081051247</v>
      </c>
      <c r="X107" s="290">
        <f t="shared" ca="1" si="28"/>
        <v>1.020739139178757</v>
      </c>
      <c r="Y107" s="290">
        <f t="shared" ca="1" si="28"/>
        <v>1.0249696317322523</v>
      </c>
      <c r="Z107" s="290">
        <f t="shared" ca="1" si="28"/>
        <v>1.0288363956959634</v>
      </c>
      <c r="AA107" s="290">
        <f t="shared" ca="1" si="28"/>
        <v>1.0323493339072789</v>
      </c>
      <c r="AB107" s="290">
        <f t="shared" ca="1" si="28"/>
        <v>1.0355187990276942</v>
      </c>
      <c r="AC107" s="290">
        <f t="shared" ca="1" si="28"/>
        <v>1.0383555512937486</v>
      </c>
      <c r="AD107" s="290">
        <f t="shared" ca="1" si="28"/>
        <v>1.0408707172533633</v>
      </c>
    </row>
    <row r="108" spans="1:30">
      <c r="A108" s="90">
        <v>22</v>
      </c>
      <c r="B108" s="90">
        <f t="shared" si="21"/>
        <v>8.7999999999999995E-2</v>
      </c>
      <c r="C108" s="291">
        <f t="shared" ca="1" si="23"/>
        <v>-1.194353667429209E-2</v>
      </c>
      <c r="D108" s="292">
        <f t="shared" ca="1" si="24"/>
        <v>-0.2947490427334194</v>
      </c>
      <c r="E108" s="291">
        <f t="shared" ca="1" si="25"/>
        <v>-1.213404121502326E-2</v>
      </c>
      <c r="F108" s="293">
        <f t="shared" ca="1" si="26"/>
        <v>0.99928581436309127</v>
      </c>
      <c r="T108" s="289">
        <f t="shared" ca="1" si="28"/>
        <v>1</v>
      </c>
      <c r="U108" s="290">
        <f t="shared" ca="1" si="28"/>
        <v>1.0058660443066705</v>
      </c>
      <c r="V108" s="290">
        <f t="shared" ca="1" si="28"/>
        <v>1.0113348414635763</v>
      </c>
      <c r="W108" s="290">
        <f t="shared" ca="1" si="28"/>
        <v>1.0164139480455845</v>
      </c>
      <c r="X108" s="290">
        <f t="shared" ca="1" si="28"/>
        <v>1.0211115496793988</v>
      </c>
      <c r="Y108" s="290">
        <f t="shared" ca="1" si="28"/>
        <v>1.025436416763309</v>
      </c>
      <c r="Z108" s="290">
        <f t="shared" ca="1" si="28"/>
        <v>1.0293978604477083</v>
      </c>
      <c r="AA108" s="290">
        <f t="shared" ca="1" si="28"/>
        <v>1.03300568907398</v>
      </c>
      <c r="AB108" s="290">
        <f t="shared" ca="1" si="28"/>
        <v>1.0362701652551329</v>
      </c>
      <c r="AC108" s="290">
        <f t="shared" ca="1" si="28"/>
        <v>1.0392019637661019</v>
      </c>
      <c r="AD108" s="290">
        <f t="shared" ca="1" si="28"/>
        <v>1.0418121303961485</v>
      </c>
    </row>
    <row r="109" spans="1:30">
      <c r="A109" s="90">
        <v>23</v>
      </c>
      <c r="B109" s="90">
        <f t="shared" si="21"/>
        <v>9.1999999999999998E-2</v>
      </c>
      <c r="C109" s="291">
        <f t="shared" ca="1" si="23"/>
        <v>-1.2126985315084635E-2</v>
      </c>
      <c r="D109" s="292">
        <f t="shared" ca="1" si="24"/>
        <v>0.65566590535725822</v>
      </c>
      <c r="E109" s="291">
        <f t="shared" ca="1" si="25"/>
        <v>-1.1703210123094816E-2</v>
      </c>
      <c r="F109" s="293">
        <f t="shared" ca="1" si="26"/>
        <v>0.99923817504445955</v>
      </c>
      <c r="T109" s="289">
        <f t="shared" ca="1" si="28"/>
        <v>1</v>
      </c>
      <c r="U109" s="290">
        <f t="shared" ca="1" si="28"/>
        <v>1.0056497035456586</v>
      </c>
      <c r="V109" s="290">
        <f t="shared" ca="1" si="28"/>
        <v>1.010900486510496</v>
      </c>
      <c r="W109" s="290">
        <f t="shared" ca="1" si="28"/>
        <v>1.0157601648767214</v>
      </c>
      <c r="X109" s="290">
        <f t="shared" ca="1" si="28"/>
        <v>1.0202371750657424</v>
      </c>
      <c r="Y109" s="290">
        <f t="shared" ca="1" si="28"/>
        <v>1.0243405290963925</v>
      </c>
      <c r="Z109" s="290">
        <f t="shared" ca="1" si="28"/>
        <v>1.0280797700657125</v>
      </c>
      <c r="AA109" s="290">
        <f t="shared" ca="1" si="28"/>
        <v>1.0314649281485582</v>
      </c>
      <c r="AB109" s="290">
        <f t="shared" ca="1" si="28"/>
        <v>1.0345064772977666</v>
      </c>
      <c r="AC109" s="290">
        <f t="shared" ca="1" si="28"/>
        <v>1.0372152928109022</v>
      </c>
      <c r="AD109" s="290">
        <f t="shared" ca="1" si="28"/>
        <v>1.0396026099138802</v>
      </c>
    </row>
    <row r="110" spans="1:30">
      <c r="A110" s="90">
        <v>24</v>
      </c>
      <c r="B110" s="90">
        <f t="shared" si="21"/>
        <v>9.6000000000000002E-2</v>
      </c>
      <c r="C110" s="291">
        <f t="shared" ca="1" si="23"/>
        <v>-1.1696164258873419E-2</v>
      </c>
      <c r="D110" s="292">
        <f t="shared" ca="1" si="24"/>
        <v>0.93428340899546114</v>
      </c>
      <c r="E110" s="291">
        <f t="shared" ca="1" si="25"/>
        <v>-1.1092310790536944E-2</v>
      </c>
      <c r="F110" s="293">
        <f t="shared" ca="1" si="26"/>
        <v>0.99919261977348972</v>
      </c>
      <c r="T110" s="289">
        <f t="shared" ca="1" si="28"/>
        <v>1</v>
      </c>
      <c r="U110" s="290">
        <f t="shared" ca="1" si="28"/>
        <v>1.0053430217291293</v>
      </c>
      <c r="V110" s="290">
        <f t="shared" ca="1" si="28"/>
        <v>1.0102849102781999</v>
      </c>
      <c r="W110" s="290">
        <f t="shared" ca="1" si="28"/>
        <v>1.01483385025203</v>
      </c>
      <c r="X110" s="290">
        <f t="shared" ca="1" si="28"/>
        <v>1.0189986341077855</v>
      </c>
      <c r="Y110" s="290">
        <f t="shared" ca="1" si="28"/>
        <v>1.0227886165367552</v>
      </c>
      <c r="Z110" s="290">
        <f t="shared" ca="1" si="28"/>
        <v>1.0262136692572195</v>
      </c>
      <c r="AA110" s="290">
        <f t="shared" ca="1" si="28"/>
        <v>1.0292841364126077</v>
      </c>
      <c r="AB110" s="290">
        <f t="shared" ca="1" si="28"/>
        <v>1.0320107907542075</v>
      </c>
      <c r="AC110" s="290">
        <f t="shared" ca="1" si="28"/>
        <v>1.0344047907715914</v>
      </c>
      <c r="AD110" s="290">
        <f t="shared" ca="1" si="28"/>
        <v>1.0364776389178938</v>
      </c>
    </row>
    <row r="111" spans="1:30">
      <c r="A111" s="90">
        <v>25</v>
      </c>
      <c r="B111" s="90">
        <f t="shared" si="21"/>
        <v>0.1</v>
      </c>
      <c r="C111" s="291">
        <f t="shared" ca="1" si="23"/>
        <v>-1.1085279156516362E-2</v>
      </c>
      <c r="D111" s="292">
        <f t="shared" ca="1" si="24"/>
        <v>0.61175651637197037</v>
      </c>
      <c r="E111" s="291">
        <f t="shared" ca="1" si="25"/>
        <v>-1.0689883829325609E-2</v>
      </c>
      <c r="F111" s="293">
        <f t="shared" ca="1" si="26"/>
        <v>0.99914909150542452</v>
      </c>
      <c r="T111" s="289">
        <f t="shared" ca="1" si="28"/>
        <v>1</v>
      </c>
      <c r="U111" s="290">
        <f t="shared" ca="1" si="28"/>
        <v>1.0051410476744356</v>
      </c>
      <c r="V111" s="290">
        <f t="shared" ca="1" si="28"/>
        <v>1.0098796072426657</v>
      </c>
      <c r="W111" s="290">
        <f t="shared" ca="1" si="28"/>
        <v>1.0142241065731634</v>
      </c>
      <c r="X111" s="290">
        <f t="shared" ca="1" si="28"/>
        <v>1.0181835728554467</v>
      </c>
      <c r="Y111" s="290">
        <f t="shared" ca="1" si="28"/>
        <v>1.0217675864833085</v>
      </c>
      <c r="Z111" s="290">
        <f t="shared" ca="1" si="28"/>
        <v>1.0249862354080244</v>
      </c>
      <c r="AA111" s="290">
        <f t="shared" ca="1" si="28"/>
        <v>1.0278500701542743</v>
      </c>
      <c r="AB111" s="290">
        <f t="shared" ca="1" si="28"/>
        <v>1.0303700596762952</v>
      </c>
      <c r="AC111" s="290">
        <f t="shared" ca="1" si="28"/>
        <v>1.0325575482154654</v>
      </c>
      <c r="AD111" s="290">
        <f t="shared" ca="1" si="28"/>
        <v>1.0344242133042729</v>
      </c>
    </row>
    <row r="112" spans="1:30">
      <c r="A112" s="90">
        <v>26</v>
      </c>
      <c r="B112" s="90">
        <f t="shared" si="21"/>
        <v>0.10400000000000001</v>
      </c>
      <c r="C112" s="291">
        <f t="shared" ca="1" si="23"/>
        <v>-1.0682861569380538E-2</v>
      </c>
      <c r="D112" s="292">
        <f t="shared" ca="1" si="24"/>
        <v>-0.5602761191847222</v>
      </c>
      <c r="E112" s="291">
        <f t="shared" ca="1" si="25"/>
        <v>-1.1044983677659824E-2</v>
      </c>
      <c r="F112" s="293">
        <f t="shared" ca="1" si="26"/>
        <v>0.99910565970316856</v>
      </c>
      <c r="T112" s="289">
        <f t="shared" ca="1" si="28"/>
        <v>1</v>
      </c>
      <c r="U112" s="290">
        <f t="shared" ca="1" si="28"/>
        <v>1.0053192666203019</v>
      </c>
      <c r="V112" s="290">
        <f t="shared" ca="1" si="28"/>
        <v>1.0102372364880001</v>
      </c>
      <c r="W112" s="290">
        <f t="shared" ca="1" si="28"/>
        <v>1.0147621228001933</v>
      </c>
      <c r="X112" s="290">
        <f t="shared" ca="1" si="28"/>
        <v>1.0189027456128872</v>
      </c>
      <c r="Y112" s="290">
        <f t="shared" ca="1" si="28"/>
        <v>1.0226684861636017</v>
      </c>
      <c r="Z112" s="290">
        <f t="shared" ca="1" si="28"/>
        <v>1.0260692416119706</v>
      </c>
      <c r="AA112" s="290">
        <f t="shared" ca="1" si="28"/>
        <v>1.0291153803923687</v>
      </c>
      <c r="AB112" s="290">
        <f t="shared" ca="1" si="28"/>
        <v>1.0318176983576215</v>
      </c>
      <c r="AC112" s="290">
        <f t="shared" ca="1" si="28"/>
        <v>1.0341873758767404</v>
      </c>
      <c r="AD112" s="290">
        <f t="shared" ca="1" si="28"/>
        <v>1.0362359360335627</v>
      </c>
    </row>
    <row r="113" spans="1:30">
      <c r="A113" s="90">
        <v>27</v>
      </c>
      <c r="B113" s="90">
        <f t="shared" si="21"/>
        <v>0.108</v>
      </c>
      <c r="C113" s="291">
        <f t="shared" ca="1" si="23"/>
        <v>-1.1037953146070175E-2</v>
      </c>
      <c r="D113" s="292">
        <f t="shared" ca="1" si="24"/>
        <v>-0.14820480603654312</v>
      </c>
      <c r="E113" s="291">
        <f t="shared" ca="1" si="25"/>
        <v>-1.113374205261356E-2</v>
      </c>
      <c r="F113" s="293">
        <f t="shared" ca="1" si="26"/>
        <v>0.99906134290526172</v>
      </c>
      <c r="T113" s="289">
        <f t="shared" ca="1" si="28"/>
        <v>1</v>
      </c>
      <c r="U113" s="290">
        <f t="shared" ca="1" si="28"/>
        <v>1.0053638179680546</v>
      </c>
      <c r="V113" s="290">
        <f t="shared" ca="1" si="28"/>
        <v>1.0103266468765288</v>
      </c>
      <c r="W113" s="290">
        <f t="shared" ca="1" si="28"/>
        <v>1.0148966463037155</v>
      </c>
      <c r="X113" s="290">
        <f t="shared" ca="1" si="28"/>
        <v>1.0190825845477751</v>
      </c>
      <c r="Y113" s="290">
        <f t="shared" ca="1" si="28"/>
        <v>1.0228937930604249</v>
      </c>
      <c r="Z113" s="290">
        <f t="shared" ca="1" si="28"/>
        <v>1.0263401212856849</v>
      </c>
      <c r="AA113" s="290">
        <f t="shared" ca="1" si="28"/>
        <v>1.0294318920980239</v>
      </c>
      <c r="AB113" s="290">
        <f t="shared" ca="1" si="28"/>
        <v>1.0321798580193349</v>
      </c>
      <c r="AC113" s="290">
        <f t="shared" ca="1" si="28"/>
        <v>1.0345951583781152</v>
      </c>
      <c r="AD113" s="290">
        <f t="shared" ca="1" si="28"/>
        <v>1.0366892775581951</v>
      </c>
    </row>
    <row r="114" spans="1:30">
      <c r="A114" s="90">
        <v>28</v>
      </c>
      <c r="B114" s="90">
        <f t="shared" si="21"/>
        <v>0.112</v>
      </c>
      <c r="C114" s="291">
        <f t="shared" ca="1" si="23"/>
        <v>-1.1126709453499145E-2</v>
      </c>
      <c r="D114" s="292">
        <f t="shared" ca="1" si="24"/>
        <v>-2.1848334193834389</v>
      </c>
      <c r="E114" s="291">
        <f t="shared" ca="1" si="25"/>
        <v>-1.2538828330201299E-2</v>
      </c>
      <c r="F114" s="293">
        <f t="shared" ca="1" si="26"/>
        <v>0.99901404332505983</v>
      </c>
      <c r="T114" s="289">
        <f t="shared" ca="1" si="28"/>
        <v>1</v>
      </c>
      <c r="U114" s="290">
        <f t="shared" ca="1" si="28"/>
        <v>1.0060693495546973</v>
      </c>
      <c r="V114" s="290">
        <f t="shared" ca="1" si="28"/>
        <v>1.0117431094671363</v>
      </c>
      <c r="W114" s="290">
        <f t="shared" ca="1" si="28"/>
        <v>1.0170285930698713</v>
      </c>
      <c r="X114" s="290">
        <f t="shared" ca="1" si="28"/>
        <v>1.0219337506401187</v>
      </c>
      <c r="Y114" s="290">
        <f t="shared" ca="1" si="28"/>
        <v>1.0264671256573676</v>
      </c>
      <c r="Z114" s="290">
        <f t="shared" ca="1" si="28"/>
        <v>1.0306378112642036</v>
      </c>
      <c r="AA114" s="290">
        <f t="shared" ca="1" si="28"/>
        <v>1.0344554071291263</v>
      </c>
      <c r="AB114" s="290">
        <f t="shared" ca="1" si="28"/>
        <v>1.0379299768961867</v>
      </c>
      <c r="AC114" s="290">
        <f t="shared" ca="1" si="28"/>
        <v>1.0410720063910748</v>
      </c>
      <c r="AD114" s="290">
        <f t="shared" ca="1" si="28"/>
        <v>1.0438923627380163</v>
      </c>
    </row>
    <row r="115" spans="1:30">
      <c r="A115" s="90">
        <v>29</v>
      </c>
      <c r="B115" s="90">
        <f t="shared" si="21"/>
        <v>0.11600000000000001</v>
      </c>
      <c r="C115" s="291">
        <f t="shared" ca="1" si="23"/>
        <v>-1.253176300121008E-2</v>
      </c>
      <c r="D115" s="292">
        <f t="shared" ca="1" si="24"/>
        <v>-0.20937295048095028</v>
      </c>
      <c r="E115" s="291">
        <f t="shared" ca="1" si="25"/>
        <v>-1.2667086588364112E-2</v>
      </c>
      <c r="F115" s="293">
        <f t="shared" ca="1" si="26"/>
        <v>0.99896368246850498</v>
      </c>
      <c r="T115" s="289">
        <f t="shared" ca="1" si="28"/>
        <v>1</v>
      </c>
      <c r="U115" s="290">
        <f t="shared" ca="1" si="28"/>
        <v>1.0061337761285991</v>
      </c>
      <c r="V115" s="290">
        <f t="shared" ca="1" si="28"/>
        <v>1.0118725050386177</v>
      </c>
      <c r="W115" s="290">
        <f t="shared" ca="1" si="28"/>
        <v>1.0172234230964559</v>
      </c>
      <c r="X115" s="290">
        <f t="shared" ca="1" si="28"/>
        <v>1.0221944060737795</v>
      </c>
      <c r="Y115" s="290">
        <f t="shared" ca="1" si="28"/>
        <v>1.0267939255776011</v>
      </c>
      <c r="Z115" s="290">
        <f t="shared" ca="1" si="28"/>
        <v>1.0310310056654424</v>
      </c>
      <c r="AA115" s="290">
        <f t="shared" ca="1" si="28"/>
        <v>1.0349151798447147</v>
      </c>
      <c r="AB115" s="290">
        <f t="shared" ca="1" si="28"/>
        <v>1.038456448641583</v>
      </c>
      <c r="AC115" s="290">
        <f t="shared" ca="1" si="28"/>
        <v>1.0416652379094764</v>
      </c>
      <c r="AD115" s="290">
        <f t="shared" ca="1" si="28"/>
        <v>1.0445523580321889</v>
      </c>
    </row>
    <row r="116" spans="1:30">
      <c r="A116" s="90">
        <v>30</v>
      </c>
      <c r="B116" s="90">
        <f t="shared" si="21"/>
        <v>0.12</v>
      </c>
      <c r="C116" s="291">
        <f t="shared" ca="1" si="23"/>
        <v>-1.2660018271743552E-2</v>
      </c>
      <c r="D116" s="292">
        <f t="shared" ca="1" si="24"/>
        <v>0.52338923069353893</v>
      </c>
      <c r="E116" s="291">
        <f t="shared" ca="1" si="25"/>
        <v>-1.2321737190006192E-2</v>
      </c>
      <c r="F116" s="293">
        <f t="shared" ca="1" si="26"/>
        <v>0.99891375786122816</v>
      </c>
      <c r="T116" s="289">
        <f t="shared" ref="T116:AD125" ca="1" si="29">EXP(T$82-$E116*T$83)</f>
        <v>1</v>
      </c>
      <c r="U116" s="290">
        <f t="shared" ca="1" si="29"/>
        <v>1.0059603099275551</v>
      </c>
      <c r="V116" s="290">
        <f t="shared" ca="1" si="29"/>
        <v>1.011524131004788</v>
      </c>
      <c r="W116" s="290">
        <f t="shared" ca="1" si="29"/>
        <v>1.016698906955958</v>
      </c>
      <c r="X116" s="290">
        <f t="shared" ca="1" si="29"/>
        <v>1.0214927142409878</v>
      </c>
      <c r="Y116" s="290">
        <f t="shared" ca="1" si="29"/>
        <v>1.0259142180233862</v>
      </c>
      <c r="Z116" s="290">
        <f t="shared" ca="1" si="29"/>
        <v>1.0299726283721922</v>
      </c>
      <c r="AA116" s="290">
        <f t="shared" ca="1" si="29"/>
        <v>1.0336776568960937</v>
      </c>
      <c r="AB116" s="290">
        <f t="shared" ca="1" si="29"/>
        <v>1.0370394739937847</v>
      </c>
      <c r="AC116" s="290">
        <f t="shared" ca="1" si="29"/>
        <v>1.040068666889282</v>
      </c>
      <c r="AD116" s="290">
        <f t="shared" ca="1" si="29"/>
        <v>1.0427761986055357</v>
      </c>
    </row>
    <row r="117" spans="1:30">
      <c r="A117" s="90">
        <v>31</v>
      </c>
      <c r="B117" s="90">
        <f t="shared" si="21"/>
        <v>0.124</v>
      </c>
      <c r="C117" s="291">
        <f t="shared" ca="1" si="23"/>
        <v>-1.2314676917904636E-2</v>
      </c>
      <c r="D117" s="292">
        <f t="shared" ca="1" si="24"/>
        <v>1.5100942260649219</v>
      </c>
      <c r="E117" s="291">
        <f t="shared" ca="1" si="25"/>
        <v>-1.1338660832052663E-2</v>
      </c>
      <c r="F117" s="293">
        <f t="shared" ca="1" si="26"/>
        <v>0.99886648958542179</v>
      </c>
      <c r="T117" s="289">
        <f t="shared" ca="1" si="29"/>
        <v>1</v>
      </c>
      <c r="U117" s="290">
        <f t="shared" ca="1" si="29"/>
        <v>1.0054666823697085</v>
      </c>
      <c r="V117" s="290">
        <f t="shared" ca="1" si="29"/>
        <v>1.0105331012021828</v>
      </c>
      <c r="W117" s="290">
        <f t="shared" ca="1" si="29"/>
        <v>1.0152072923490603</v>
      </c>
      <c r="X117" s="290">
        <f t="shared" ca="1" si="29"/>
        <v>1.0194979046429036</v>
      </c>
      <c r="Y117" s="290">
        <f t="shared" ca="1" si="29"/>
        <v>1.0234141545892628</v>
      </c>
      <c r="Z117" s="290">
        <f t="shared" ca="1" si="29"/>
        <v>1.0269657814340021</v>
      </c>
      <c r="AA117" s="290">
        <f t="shared" ca="1" si="29"/>
        <v>1.0301630028009447</v>
      </c>
      <c r="AB117" s="290">
        <f t="shared" ca="1" si="29"/>
        <v>1.0330164710801171</v>
      </c>
      <c r="AC117" s="290">
        <f t="shared" ca="1" si="29"/>
        <v>1.0355372307309316</v>
      </c>
      <c r="AD117" s="290">
        <f t="shared" ca="1" si="29"/>
        <v>1.0377366766487377</v>
      </c>
    </row>
    <row r="118" spans="1:30">
      <c r="A118" s="90">
        <v>32</v>
      </c>
      <c r="B118" s="90">
        <f t="shared" ref="B118:B149" si="30">A118*$B$81</f>
        <v>0.128</v>
      </c>
      <c r="C118" s="291">
        <f t="shared" ca="1" si="23"/>
        <v>-1.1331623459589798E-2</v>
      </c>
      <c r="D118" s="292">
        <f t="shared" ca="1" si="24"/>
        <v>6.2379595604974407E-2</v>
      </c>
      <c r="E118" s="291">
        <f t="shared" ca="1" si="25"/>
        <v>-1.1291305784249731E-2</v>
      </c>
      <c r="F118" s="293">
        <f t="shared" ca="1" si="26"/>
        <v>0.99882128197784925</v>
      </c>
      <c r="T118" s="289">
        <f t="shared" ca="1" si="29"/>
        <v>1</v>
      </c>
      <c r="U118" s="290">
        <f t="shared" ca="1" si="29"/>
        <v>1.0054429103158604</v>
      </c>
      <c r="V118" s="290">
        <f t="shared" ca="1" si="29"/>
        <v>1.0104853875544342</v>
      </c>
      <c r="W118" s="290">
        <f t="shared" ca="1" si="29"/>
        <v>1.0151354961513479</v>
      </c>
      <c r="X118" s="290">
        <f t="shared" ca="1" si="29"/>
        <v>1.0194019125428468</v>
      </c>
      <c r="Y118" s="290">
        <f t="shared" ca="1" si="29"/>
        <v>1.0232938797979125</v>
      </c>
      <c r="Z118" s="290">
        <f t="shared" ca="1" si="29"/>
        <v>1.0268211626325203</v>
      </c>
      <c r="AA118" s="290">
        <f t="shared" ca="1" si="29"/>
        <v>1.0299940030009269</v>
      </c>
      <c r="AB118" s="290">
        <f t="shared" ca="1" si="29"/>
        <v>1.0328230764440753</v>
      </c>
      <c r="AC118" s="290">
        <f t="shared" ca="1" si="29"/>
        <v>1.0353194493592326</v>
      </c>
      <c r="AD118" s="290">
        <f t="shared" ca="1" si="29"/>
        <v>1.0374945373390445</v>
      </c>
    </row>
    <row r="119" spans="1:30">
      <c r="A119" s="90">
        <v>33</v>
      </c>
      <c r="B119" s="90">
        <f t="shared" si="30"/>
        <v>0.13200000000000001</v>
      </c>
      <c r="C119" s="291">
        <f t="shared" ca="1" si="23"/>
        <v>-1.1284269514868508E-2</v>
      </c>
      <c r="D119" s="292">
        <f t="shared" ca="1" si="24"/>
        <v>0.58213676573693507</v>
      </c>
      <c r="E119" s="291">
        <f t="shared" ca="1" si="25"/>
        <v>-1.0908018260001011E-2</v>
      </c>
      <c r="F119" s="293">
        <f t="shared" ca="1" si="26"/>
        <v>0.99877693664769107</v>
      </c>
      <c r="T119" s="289">
        <f t="shared" ca="1" si="29"/>
        <v>1</v>
      </c>
      <c r="U119" s="290">
        <f t="shared" ca="1" si="29"/>
        <v>1.0052505221201313</v>
      </c>
      <c r="V119" s="290">
        <f t="shared" ca="1" si="29"/>
        <v>1.0100992804563318</v>
      </c>
      <c r="W119" s="290">
        <f t="shared" ca="1" si="29"/>
        <v>1.0145545709777677</v>
      </c>
      <c r="X119" s="290">
        <f t="shared" ca="1" si="29"/>
        <v>1.0186252936226428</v>
      </c>
      <c r="Y119" s="290">
        <f t="shared" ca="1" si="29"/>
        <v>1.0223209064503749</v>
      </c>
      <c r="Z119" s="290">
        <f t="shared" ca="1" si="29"/>
        <v>1.0256513802317742</v>
      </c>
      <c r="AA119" s="290">
        <f t="shared" ca="1" si="29"/>
        <v>1.0286271536707676</v>
      </c>
      <c r="AB119" s="290">
        <f t="shared" ca="1" si="29"/>
        <v>1.0312590894361371</v>
      </c>
      <c r="AC119" s="290">
        <f t="shared" ca="1" si="29"/>
        <v>1.0335584311655501</v>
      </c>
      <c r="AD119" s="290">
        <f t="shared" ca="1" si="29"/>
        <v>1.035536761588026</v>
      </c>
    </row>
    <row r="120" spans="1:30">
      <c r="A120" s="90">
        <v>34</v>
      </c>
      <c r="B120" s="90">
        <f t="shared" si="30"/>
        <v>0.13600000000000001</v>
      </c>
      <c r="C120" s="291">
        <f t="shared" ca="1" si="23"/>
        <v>-1.0900990918864017E-2</v>
      </c>
      <c r="D120" s="292">
        <f t="shared" ca="1" si="24"/>
        <v>0.52742979677916924</v>
      </c>
      <c r="E120" s="291">
        <f t="shared" ca="1" si="25"/>
        <v>-1.0560098306384103E-2</v>
      </c>
      <c r="F120" s="293">
        <f t="shared" ca="1" si="26"/>
        <v>0.99873405384891112</v>
      </c>
      <c r="T120" s="289">
        <f t="shared" ca="1" si="29"/>
        <v>1</v>
      </c>
      <c r="U120" s="290">
        <f t="shared" ca="1" si="29"/>
        <v>1.0050759182762155</v>
      </c>
      <c r="V120" s="290">
        <f t="shared" ca="1" si="29"/>
        <v>1.0097489288442094</v>
      </c>
      <c r="W120" s="290">
        <f t="shared" ca="1" si="29"/>
        <v>1.0140275380905417</v>
      </c>
      <c r="X120" s="290">
        <f t="shared" ca="1" si="29"/>
        <v>1.0179208489308338</v>
      </c>
      <c r="Y120" s="290">
        <f t="shared" ca="1" si="29"/>
        <v>1.02143851453444</v>
      </c>
      <c r="Z120" s="290">
        <f t="shared" ca="1" si="29"/>
        <v>1.024590692538184</v>
      </c>
      <c r="AA120" s="290">
        <f t="shared" ca="1" si="29"/>
        <v>1.0273879999414002</v>
      </c>
      <c r="AB120" s="290">
        <f t="shared" ca="1" si="29"/>
        <v>1.0298414688592235</v>
      </c>
      <c r="AC120" s="290">
        <f t="shared" ca="1" si="29"/>
        <v>1.0319625032946733</v>
      </c>
      <c r="AD120" s="290">
        <f t="shared" ca="1" si="29"/>
        <v>1.0337628370737677</v>
      </c>
    </row>
    <row r="121" spans="1:30">
      <c r="A121" s="90">
        <v>35</v>
      </c>
      <c r="B121" s="90">
        <f t="shared" si="30"/>
        <v>0.14000000000000001</v>
      </c>
      <c r="C121" s="291">
        <f t="shared" ca="1" si="23"/>
        <v>-1.0553079069644256E-2</v>
      </c>
      <c r="D121" s="292">
        <f t="shared" ca="1" si="24"/>
        <v>-0.10180593271167329</v>
      </c>
      <c r="E121" s="291">
        <f t="shared" ca="1" si="25"/>
        <v>-1.0618879088111106E-2</v>
      </c>
      <c r="F121" s="293">
        <f t="shared" ca="1" si="26"/>
        <v>0.99869175041296177</v>
      </c>
      <c r="T121" s="289">
        <f t="shared" ca="1" si="29"/>
        <v>1</v>
      </c>
      <c r="U121" s="290">
        <f t="shared" ca="1" si="29"/>
        <v>1.0051054153186827</v>
      </c>
      <c r="V121" s="290">
        <f t="shared" ca="1" si="29"/>
        <v>1.009808111920472</v>
      </c>
      <c r="W121" s="290">
        <f t="shared" ca="1" si="29"/>
        <v>1.01411656062692</v>
      </c>
      <c r="X121" s="290">
        <f t="shared" ca="1" si="29"/>
        <v>1.0180398300556002</v>
      </c>
      <c r="Y121" s="290">
        <f t="shared" ca="1" si="29"/>
        <v>1.0215875404164554</v>
      </c>
      <c r="Z121" s="290">
        <f t="shared" ca="1" si="29"/>
        <v>1.0247698177885618</v>
      </c>
      <c r="AA121" s="290">
        <f t="shared" ca="1" si="29"/>
        <v>1.0275972490697711</v>
      </c>
      <c r="AB121" s="290">
        <f t="shared" ca="1" si="29"/>
        <v>1.0300808377764394</v>
      </c>
      <c r="AC121" s="290">
        <f t="shared" ca="1" si="29"/>
        <v>1.0322319608540842</v>
      </c>
      <c r="AD121" s="290">
        <f t="shared" ca="1" si="29"/>
        <v>1.0340623266435283</v>
      </c>
    </row>
    <row r="122" spans="1:30">
      <c r="A122" s="90">
        <v>36</v>
      </c>
      <c r="B122" s="90">
        <f t="shared" si="30"/>
        <v>0.14400000000000002</v>
      </c>
      <c r="C122" s="291">
        <f t="shared" ca="1" si="23"/>
        <v>-1.061185848214022E-2</v>
      </c>
      <c r="D122" s="292">
        <f t="shared" ca="1" si="24"/>
        <v>-1.0746555966016216</v>
      </c>
      <c r="E122" s="291">
        <f t="shared" ca="1" si="25"/>
        <v>-1.1306438416908435E-2</v>
      </c>
      <c r="F122" s="293">
        <f t="shared" ca="1" si="26"/>
        <v>0.99864795810569418</v>
      </c>
      <c r="T122" s="289">
        <f t="shared" ca="1" si="29"/>
        <v>1</v>
      </c>
      <c r="U122" s="290">
        <f t="shared" ca="1" si="29"/>
        <v>1.0054505067787818</v>
      </c>
      <c r="V122" s="290">
        <f t="shared" ca="1" si="29"/>
        <v>1.0105006345352461</v>
      </c>
      <c r="W122" s="290">
        <f t="shared" ca="1" si="29"/>
        <v>1.0151584385702606</v>
      </c>
      <c r="X122" s="290">
        <f t="shared" ca="1" si="29"/>
        <v>1.0194325864988616</v>
      </c>
      <c r="Y122" s="290">
        <f t="shared" ca="1" si="29"/>
        <v>1.0233323129015128</v>
      </c>
      <c r="Z122" s="290">
        <f t="shared" ca="1" si="29"/>
        <v>1.0268673743553052</v>
      </c>
      <c r="AA122" s="290">
        <f t="shared" ca="1" si="29"/>
        <v>1.0300480050400418</v>
      </c>
      <c r="AB122" s="290">
        <f t="shared" ca="1" si="29"/>
        <v>1.0328848730993561</v>
      </c>
      <c r="AC122" s="290">
        <f t="shared" ca="1" si="29"/>
        <v>1.0353890379210529</v>
      </c>
      <c r="AD122" s="290">
        <f t="shared" ca="1" si="29"/>
        <v>1.0375719084849311</v>
      </c>
    </row>
    <row r="123" spans="1:30">
      <c r="A123" s="90">
        <v>37</v>
      </c>
      <c r="B123" s="90">
        <f t="shared" si="30"/>
        <v>0.14799999999999999</v>
      </c>
      <c r="C123" s="291">
        <f t="shared" ca="1" si="23"/>
        <v>-1.1299401795029853E-2</v>
      </c>
      <c r="D123" s="292">
        <f t="shared" ca="1" si="24"/>
        <v>-0.60937411542048825</v>
      </c>
      <c r="E123" s="291">
        <f t="shared" ca="1" si="25"/>
        <v>-1.169325730992846E-2</v>
      </c>
      <c r="F123" s="293">
        <f t="shared" ca="1" si="26"/>
        <v>0.99860202196387016</v>
      </c>
      <c r="T123" s="289">
        <f t="shared" ca="1" si="29"/>
        <v>1</v>
      </c>
      <c r="U123" s="290">
        <f t="shared" ca="1" si="29"/>
        <v>1.005644706315201</v>
      </c>
      <c r="V123" s="290">
        <f t="shared" ca="1" si="29"/>
        <v>1.0108904544959767</v>
      </c>
      <c r="W123" s="290">
        <f t="shared" ca="1" si="29"/>
        <v>1.0157450665230239</v>
      </c>
      <c r="X123" s="290">
        <f t="shared" ca="1" si="29"/>
        <v>1.020216984614692</v>
      </c>
      <c r="Y123" s="290">
        <f t="shared" ca="1" si="29"/>
        <v>1.0243152263723712</v>
      </c>
      <c r="Z123" s="290">
        <f t="shared" ca="1" si="29"/>
        <v>1.0280493402498727</v>
      </c>
      <c r="AA123" s="290">
        <f t="shared" ca="1" si="29"/>
        <v>1.031429361543035</v>
      </c>
      <c r="AB123" s="290">
        <f t="shared" ca="1" si="29"/>
        <v>1.0344657690812513</v>
      </c>
      <c r="AC123" s="290">
        <f t="shared" ca="1" si="29"/>
        <v>1.0371694427868949</v>
      </c>
      <c r="AD123" s="290">
        <f t="shared" ca="1" si="29"/>
        <v>1.03955162225289</v>
      </c>
    </row>
    <row r="124" spans="1:30">
      <c r="A124" s="90">
        <v>38</v>
      </c>
      <c r="B124" s="90">
        <f t="shared" si="30"/>
        <v>0.152</v>
      </c>
      <c r="C124" s="291">
        <f t="shared" ca="1" si="23"/>
        <v>-1.1686211677546455E-2</v>
      </c>
      <c r="D124" s="292">
        <f t="shared" ca="1" si="24"/>
        <v>0.30044260229056957</v>
      </c>
      <c r="E124" s="291">
        <f t="shared" ca="1" si="25"/>
        <v>-1.1492027230212361E-2</v>
      </c>
      <c r="F124" s="293">
        <f t="shared" ca="1" si="26"/>
        <v>0.99855571729342218</v>
      </c>
      <c r="T124" s="289">
        <f t="shared" ca="1" si="29"/>
        <v>1</v>
      </c>
      <c r="U124" s="290">
        <f t="shared" ca="1" si="29"/>
        <v>1.005543675575993</v>
      </c>
      <c r="V124" s="290">
        <f t="shared" ca="1" si="29"/>
        <v>1.0106876444442092</v>
      </c>
      <c r="W124" s="290">
        <f t="shared" ca="1" si="29"/>
        <v>1.0154398499180801</v>
      </c>
      <c r="X124" s="290">
        <f t="shared" ca="1" si="29"/>
        <v>1.0198088514487258</v>
      </c>
      <c r="Y124" s="290">
        <f t="shared" ca="1" si="29"/>
        <v>1.0238037795121209</v>
      </c>
      <c r="Z124" s="290">
        <f t="shared" ca="1" si="29"/>
        <v>1.0274342908493044</v>
      </c>
      <c r="AA124" s="290">
        <f t="shared" ca="1" si="29"/>
        <v>1.0307105242552075</v>
      </c>
      <c r="AB124" s="290">
        <f t="shared" ca="1" si="29"/>
        <v>1.0336430570969972</v>
      </c>
      <c r="AC124" s="290">
        <f t="shared" ca="1" si="29"/>
        <v>1.0362428627269946</v>
      </c>
      <c r="AD124" s="290">
        <f t="shared" ca="1" si="29"/>
        <v>1.0385212689393848</v>
      </c>
    </row>
    <row r="125" spans="1:30">
      <c r="A125" s="90">
        <v>39</v>
      </c>
      <c r="B125" s="90">
        <f t="shared" si="30"/>
        <v>0.156</v>
      </c>
      <c r="C125" s="291">
        <f t="shared" ca="1" si="23"/>
        <v>-1.1484986285254769E-2</v>
      </c>
      <c r="D125" s="292">
        <f t="shared" ca="1" si="24"/>
        <v>1.239328210579931</v>
      </c>
      <c r="E125" s="291">
        <f t="shared" ca="1" si="25"/>
        <v>-1.0683973839608778E-2</v>
      </c>
      <c r="F125" s="293">
        <f t="shared" ca="1" si="26"/>
        <v>0.99851143033022727</v>
      </c>
      <c r="T125" s="289">
        <f t="shared" ca="1" si="29"/>
        <v>1</v>
      </c>
      <c r="U125" s="290">
        <f t="shared" ca="1" si="29"/>
        <v>1.0051380818122335</v>
      </c>
      <c r="V125" s="290">
        <f t="shared" ca="1" si="29"/>
        <v>1.0098736562269397</v>
      </c>
      <c r="W125" s="290">
        <f t="shared" ca="1" si="29"/>
        <v>1.0142151546873981</v>
      </c>
      <c r="X125" s="290">
        <f t="shared" ca="1" si="29"/>
        <v>1.0181716078312255</v>
      </c>
      <c r="Y125" s="290">
        <f t="shared" ca="1" si="29"/>
        <v>1.0217525993663625</v>
      </c>
      <c r="Z125" s="290">
        <f t="shared" ca="1" si="29"/>
        <v>1.0249682204179049</v>
      </c>
      <c r="AA125" s="290">
        <f t="shared" ca="1" si="29"/>
        <v>1.0278290245384958</v>
      </c>
      <c r="AB125" s="290">
        <f t="shared" ca="1" si="29"/>
        <v>1.0303459835597677</v>
      </c>
      <c r="AC125" s="290">
        <f t="shared" ca="1" si="29"/>
        <v>1.0325304444460079</v>
      </c>
      <c r="AD125" s="290">
        <f t="shared" ca="1" si="29"/>
        <v>1.0343940872949637</v>
      </c>
    </row>
    <row r="126" spans="1:30">
      <c r="A126" s="90">
        <v>40</v>
      </c>
      <c r="B126" s="90">
        <f t="shared" si="30"/>
        <v>0.16</v>
      </c>
      <c r="C126" s="291">
        <f t="shared" ca="1" si="23"/>
        <v>-1.0676951717330152E-2</v>
      </c>
      <c r="D126" s="292">
        <f t="shared" ca="1" si="24"/>
        <v>-1.3446383196557385</v>
      </c>
      <c r="E126" s="291">
        <f t="shared" ca="1" si="25"/>
        <v>-1.154602902852341E-2</v>
      </c>
      <c r="F126" s="293">
        <f t="shared" ca="1" si="26"/>
        <v>0.99846703749316723</v>
      </c>
      <c r="T126" s="289">
        <f t="shared" ref="T126:AD135" ca="1" si="31">EXP(T$82-$E126*T$83)</f>
        <v>1</v>
      </c>
      <c r="U126" s="290">
        <f t="shared" ca="1" si="31"/>
        <v>1.0055707870351234</v>
      </c>
      <c r="V126" s="290">
        <f t="shared" ca="1" si="31"/>
        <v>1.0107420662466153</v>
      </c>
      <c r="W126" s="290">
        <f t="shared" ca="1" si="31"/>
        <v>1.0155217483775107</v>
      </c>
      <c r="X126" s="290">
        <f t="shared" ca="1" si="31"/>
        <v>1.0199183614134721</v>
      </c>
      <c r="Y126" s="290">
        <f t="shared" ca="1" si="31"/>
        <v>1.0239410055390026</v>
      </c>
      <c r="Z126" s="290">
        <f t="shared" ca="1" si="31"/>
        <v>1.0275993084388986</v>
      </c>
      <c r="AA126" s="290">
        <f t="shared" ca="1" si="31"/>
        <v>1.0309033811406882</v>
      </c>
      <c r="AB126" s="290">
        <f t="shared" ca="1" si="31"/>
        <v>1.0338637745791754</v>
      </c>
      <c r="AC126" s="290">
        <f t="shared" ca="1" si="31"/>
        <v>1.0364914370483926</v>
      </c>
      <c r="AD126" s="290">
        <f t="shared" ca="1" si="31"/>
        <v>1.0387976726904606</v>
      </c>
    </row>
    <row r="127" spans="1:30">
      <c r="A127" s="90">
        <v>41</v>
      </c>
      <c r="B127" s="90">
        <f t="shared" si="30"/>
        <v>0.16400000000000001</v>
      </c>
      <c r="C127" s="291">
        <f t="shared" ca="1" si="23"/>
        <v>-1.1538986825655727E-2</v>
      </c>
      <c r="D127" s="292">
        <f t="shared" ca="1" si="24"/>
        <v>-1.2828024688127448</v>
      </c>
      <c r="E127" s="291">
        <f t="shared" ca="1" si="25"/>
        <v>-1.2368097898939199E-2</v>
      </c>
      <c r="F127" s="293">
        <f t="shared" ca="1" si="26"/>
        <v>0.99841928370023159</v>
      </c>
      <c r="T127" s="289">
        <f t="shared" ca="1" si="31"/>
        <v>1</v>
      </c>
      <c r="U127" s="290">
        <f t="shared" ca="1" si="31"/>
        <v>1.0059835947974971</v>
      </c>
      <c r="V127" s="290">
        <f t="shared" ca="1" si="31"/>
        <v>1.0115708907788414</v>
      </c>
      <c r="W127" s="290">
        <f t="shared" ca="1" si="31"/>
        <v>1.0167693038104386</v>
      </c>
      <c r="X127" s="290">
        <f t="shared" ca="1" si="31"/>
        <v>1.0215868833978683</v>
      </c>
      <c r="Y127" s="290">
        <f t="shared" ca="1" si="31"/>
        <v>1.026032268715434</v>
      </c>
      <c r="Z127" s="290">
        <f t="shared" ca="1" si="31"/>
        <v>1.0301146448631415</v>
      </c>
      <c r="AA127" s="290">
        <f t="shared" ca="1" si="31"/>
        <v>1.0338436995493991</v>
      </c>
      <c r="AB127" s="290">
        <f t="shared" ca="1" si="31"/>
        <v>1.0372295803836629</v>
      </c>
      <c r="AC127" s="290">
        <f t="shared" ca="1" si="31"/>
        <v>1.04028285294795</v>
      </c>
      <c r="AD127" s="290">
        <f t="shared" ca="1" si="31"/>
        <v>1.0430144598007687</v>
      </c>
    </row>
    <row r="128" spans="1:30">
      <c r="A128" s="90">
        <v>42</v>
      </c>
      <c r="B128" s="90">
        <f t="shared" si="30"/>
        <v>0.16800000000000001</v>
      </c>
      <c r="C128" s="291">
        <f t="shared" ca="1" si="23"/>
        <v>-1.2361036546917985E-2</v>
      </c>
      <c r="D128" s="292">
        <f t="shared" ca="1" si="24"/>
        <v>-0.57087952815675536</v>
      </c>
      <c r="E128" s="291">
        <f t="shared" ca="1" si="25"/>
        <v>-1.273001193464364E-2</v>
      </c>
      <c r="F128" s="293">
        <f t="shared" ca="1" si="26"/>
        <v>0.99836916808436482</v>
      </c>
      <c r="T128" s="289">
        <f t="shared" ca="1" si="31"/>
        <v>1</v>
      </c>
      <c r="U128" s="290">
        <f t="shared" ca="1" si="31"/>
        <v>1.0061653862410425</v>
      </c>
      <c r="V128" s="290">
        <f t="shared" ca="1" si="31"/>
        <v>1.0119359944182758</v>
      </c>
      <c r="W128" s="290">
        <f t="shared" ca="1" si="31"/>
        <v>1.0173190231569604</v>
      </c>
      <c r="X128" s="290">
        <f t="shared" ca="1" si="31"/>
        <v>1.0223223116877447</v>
      </c>
      <c r="Y128" s="290">
        <f t="shared" ca="1" si="31"/>
        <v>1.0269542963617175</v>
      </c>
      <c r="Z128" s="290">
        <f t="shared" ca="1" si="31"/>
        <v>1.031223967341669</v>
      </c>
      <c r="AA128" s="290">
        <f t="shared" ca="1" si="31"/>
        <v>1.0351408256688599</v>
      </c>
      <c r="AB128" s="290">
        <f t="shared" ca="1" si="31"/>
        <v>1.038714840890786</v>
      </c>
      <c r="AC128" s="290">
        <f t="shared" ca="1" si="31"/>
        <v>1.0419564094203491</v>
      </c>
      <c r="AD128" s="290">
        <f t="shared" ca="1" si="31"/>
        <v>1.0448763137816732</v>
      </c>
    </row>
    <row r="129" spans="1:30">
      <c r="A129" s="90">
        <v>43</v>
      </c>
      <c r="B129" s="90">
        <f t="shared" si="30"/>
        <v>0.17200000000000001</v>
      </c>
      <c r="C129" s="291">
        <f t="shared" ca="1" si="23"/>
        <v>-1.2722942152249152E-2</v>
      </c>
      <c r="D129" s="292">
        <f t="shared" ca="1" si="24"/>
        <v>-1.2108569712151496</v>
      </c>
      <c r="E129" s="291">
        <f t="shared" ca="1" si="25"/>
        <v>-1.3505552840491845E-2</v>
      </c>
      <c r="F129" s="293">
        <f t="shared" ca="1" si="26"/>
        <v>0.99831678390074796</v>
      </c>
      <c r="T129" s="289">
        <f t="shared" ca="1" si="31"/>
        <v>1</v>
      </c>
      <c r="U129" s="290">
        <f t="shared" ca="1" si="31"/>
        <v>1.0065550554068003</v>
      </c>
      <c r="V129" s="290">
        <f t="shared" ca="1" si="31"/>
        <v>1.0127188140913201</v>
      </c>
      <c r="W129" s="290">
        <f t="shared" ca="1" si="31"/>
        <v>1.0184980106642172</v>
      </c>
      <c r="X129" s="290">
        <f t="shared" ca="1" si="31"/>
        <v>1.0239000347497542</v>
      </c>
      <c r="Y129" s="290">
        <f t="shared" ca="1" si="31"/>
        <v>1.0289328885671318</v>
      </c>
      <c r="Z129" s="290">
        <f t="shared" ca="1" si="31"/>
        <v>1.0336051445796499</v>
      </c>
      <c r="AA129" s="290">
        <f t="shared" ca="1" si="31"/>
        <v>1.0379259034129376</v>
      </c>
      <c r="AB129" s="290">
        <f t="shared" ca="1" si="31"/>
        <v>1.0419047522302269</v>
      </c>
      <c r="AC129" s="290">
        <f t="shared" ca="1" si="31"/>
        <v>1.0455517237380645</v>
      </c>
      <c r="AD129" s="290">
        <f t="shared" ca="1" si="31"/>
        <v>1.048877255981125</v>
      </c>
    </row>
    <row r="130" spans="1:30">
      <c r="A130" s="90">
        <v>44</v>
      </c>
      <c r="B130" s="90">
        <f t="shared" si="30"/>
        <v>0.17599999999999999</v>
      </c>
      <c r="C130" s="291">
        <f t="shared" ca="1" si="23"/>
        <v>-1.3498464992759513E-2</v>
      </c>
      <c r="D130" s="292">
        <f t="shared" ca="1" si="24"/>
        <v>-1.4520758624644607</v>
      </c>
      <c r="E130" s="291">
        <f t="shared" ca="1" si="25"/>
        <v>-1.4436982189355799E-2</v>
      </c>
      <c r="F130" s="293">
        <f t="shared" ca="1" si="26"/>
        <v>0.99826099445625094</v>
      </c>
      <c r="T130" s="289">
        <f t="shared" ca="1" si="31"/>
        <v>1</v>
      </c>
      <c r="U130" s="290">
        <f t="shared" ca="1" si="31"/>
        <v>1.0070232499136189</v>
      </c>
      <c r="V130" s="290">
        <f t="shared" ca="1" si="31"/>
        <v>1.0136597857249976</v>
      </c>
      <c r="W130" s="290">
        <f t="shared" ca="1" si="31"/>
        <v>1.0199157878940956</v>
      </c>
      <c r="X130" s="290">
        <f t="shared" ca="1" si="31"/>
        <v>1.0257981082627128</v>
      </c>
      <c r="Y130" s="290">
        <f t="shared" ca="1" si="31"/>
        <v>1.0313142289615718</v>
      </c>
      <c r="Z130" s="290">
        <f t="shared" ca="1" si="31"/>
        <v>1.0364722212576845</v>
      </c>
      <c r="AA130" s="290">
        <f t="shared" ca="1" si="31"/>
        <v>1.0412807045451538</v>
      </c>
      <c r="AB130" s="290">
        <f t="shared" ca="1" si="31"/>
        <v>1.0457488056699897</v>
      </c>
      <c r="AC130" s="290">
        <f t="shared" ca="1" si="31"/>
        <v>1.0498861187655499</v>
      </c>
      <c r="AD130" s="290">
        <f t="shared" ca="1" si="31"/>
        <v>1.0537026657610191</v>
      </c>
    </row>
    <row r="131" spans="1:30">
      <c r="A131" s="90">
        <v>45</v>
      </c>
      <c r="B131" s="90">
        <f t="shared" si="30"/>
        <v>0.18</v>
      </c>
      <c r="C131" s="291">
        <f t="shared" ca="1" si="23"/>
        <v>-1.4429872645042748E-2</v>
      </c>
      <c r="D131" s="292">
        <f t="shared" ca="1" si="24"/>
        <v>1.591472015251836</v>
      </c>
      <c r="E131" s="291">
        <f t="shared" ca="1" si="25"/>
        <v>-1.3401259820585616E-2</v>
      </c>
      <c r="F131" s="293">
        <f t="shared" ca="1" si="26"/>
        <v>0.99820541634115678</v>
      </c>
      <c r="T131" s="289">
        <f t="shared" ca="1" si="31"/>
        <v>1</v>
      </c>
      <c r="U131" s="290">
        <f t="shared" ca="1" si="31"/>
        <v>1.006502644780878</v>
      </c>
      <c r="V131" s="290">
        <f t="shared" ca="1" si="31"/>
        <v>1.0126135070065601</v>
      </c>
      <c r="W131" s="290">
        <f t="shared" ca="1" si="31"/>
        <v>1.0183393835585235</v>
      </c>
      <c r="X131" s="290">
        <f t="shared" ca="1" si="31"/>
        <v>1.023687724435498</v>
      </c>
      <c r="Y131" s="290">
        <f t="shared" ca="1" si="31"/>
        <v>1.0286665901893841</v>
      </c>
      <c r="Z131" s="290">
        <f t="shared" ca="1" si="31"/>
        <v>1.0332846094434647</v>
      </c>
      <c r="AA131" s="290">
        <f t="shared" ca="1" si="31"/>
        <v>1.0375509366939035</v>
      </c>
      <c r="AB131" s="290">
        <f t="shared" ca="1" si="31"/>
        <v>1.0414752105821901</v>
      </c>
      <c r="AC131" s="290">
        <f t="shared" ca="1" si="31"/>
        <v>1.0450675128115374</v>
      </c>
      <c r="AD131" s="290">
        <f t="shared" ca="1" si="31"/>
        <v>1.0483383278654561</v>
      </c>
    </row>
    <row r="132" spans="1:30">
      <c r="A132" s="90">
        <v>46</v>
      </c>
      <c r="B132" s="90">
        <f t="shared" si="30"/>
        <v>0.184</v>
      </c>
      <c r="C132" s="291">
        <f t="shared" ca="1" si="23"/>
        <v>-1.3394174402239827E-2</v>
      </c>
      <c r="D132" s="292">
        <f t="shared" ca="1" si="24"/>
        <v>7.6234103232314068E-2</v>
      </c>
      <c r="E132" s="291">
        <f t="shared" ca="1" si="25"/>
        <v>-1.3344902171566428E-2</v>
      </c>
      <c r="F132" s="293">
        <f t="shared" ca="1" si="26"/>
        <v>0.99815202144174431</v>
      </c>
      <c r="T132" s="289">
        <f t="shared" ca="1" si="31"/>
        <v>1</v>
      </c>
      <c r="U132" s="290">
        <f t="shared" ca="1" si="31"/>
        <v>1.0064743243697147</v>
      </c>
      <c r="V132" s="290">
        <f t="shared" ca="1" si="31"/>
        <v>1.0125566059367621</v>
      </c>
      <c r="W132" s="290">
        <f t="shared" ca="1" si="31"/>
        <v>1.0182536752497628</v>
      </c>
      <c r="X132" s="290">
        <f t="shared" ca="1" si="31"/>
        <v>1.0235730149445086</v>
      </c>
      <c r="Y132" s="290">
        <f t="shared" ca="1" si="31"/>
        <v>1.0285227171015638</v>
      </c>
      <c r="Z132" s="290">
        <f t="shared" ca="1" si="31"/>
        <v>1.0331114406939879</v>
      </c>
      <c r="AA132" s="290">
        <f t="shared" ca="1" si="31"/>
        <v>1.0373483693260406</v>
      </c>
      <c r="AB132" s="290">
        <f t="shared" ca="1" si="31"/>
        <v>1.0412431694503557</v>
      </c>
      <c r="AC132" s="290">
        <f t="shared" ca="1" si="31"/>
        <v>1.044805949236381</v>
      </c>
      <c r="AD132" s="290">
        <f t="shared" ca="1" si="31"/>
        <v>1.0480472182480645</v>
      </c>
    </row>
    <row r="133" spans="1:30">
      <c r="A133" s="90">
        <v>47</v>
      </c>
      <c r="B133" s="90">
        <f t="shared" si="30"/>
        <v>0.188</v>
      </c>
      <c r="C133" s="291">
        <f t="shared" ca="1" si="23"/>
        <v>-1.3337818066007576E-2</v>
      </c>
      <c r="D133" s="292">
        <f t="shared" ca="1" si="24"/>
        <v>-1.8995885661252798</v>
      </c>
      <c r="E133" s="291">
        <f t="shared" ca="1" si="25"/>
        <v>-1.4565575225155237E-2</v>
      </c>
      <c r="F133" s="293">
        <f t="shared" ca="1" si="26"/>
        <v>0.99809630519795978</v>
      </c>
      <c r="T133" s="289">
        <f t="shared" ca="1" si="31"/>
        <v>1</v>
      </c>
      <c r="U133" s="290">
        <f t="shared" ca="1" si="31"/>
        <v>1.0070879059033546</v>
      </c>
      <c r="V133" s="290">
        <f t="shared" ca="1" si="31"/>
        <v>1.0137897648350651</v>
      </c>
      <c r="W133" s="290">
        <f t="shared" ca="1" si="31"/>
        <v>1.0201116810493571</v>
      </c>
      <c r="X133" s="290">
        <f t="shared" ca="1" si="31"/>
        <v>1.0260604323618954</v>
      </c>
      <c r="Y133" s="290">
        <f t="shared" ca="1" si="31"/>
        <v>1.0316434292436545</v>
      </c>
      <c r="Z133" s="290">
        <f t="shared" ca="1" si="31"/>
        <v>1.0368686738376944</v>
      </c>
      <c r="AA133" s="290">
        <f t="shared" ca="1" si="31"/>
        <v>1.0417447191022244</v>
      </c>
      <c r="AB133" s="290">
        <f t="shared" ca="1" si="31"/>
        <v>1.0462806282708637</v>
      </c>
      <c r="AC133" s="290">
        <f t="shared" ca="1" si="31"/>
        <v>1.0504859348071127</v>
      </c>
      <c r="AD133" s="290">
        <f t="shared" ca="1" si="31"/>
        <v>1.0543706030159488</v>
      </c>
    </row>
    <row r="134" spans="1:30">
      <c r="A134" s="90">
        <v>48</v>
      </c>
      <c r="B134" s="90">
        <f t="shared" si="30"/>
        <v>0.192</v>
      </c>
      <c r="C134" s="291">
        <f t="shared" ca="1" si="23"/>
        <v>-1.4558462685414584E-2</v>
      </c>
      <c r="D134" s="292">
        <f t="shared" ca="1" si="24"/>
        <v>8.4503601883856555E-2</v>
      </c>
      <c r="E134" s="291">
        <f t="shared" ca="1" si="25"/>
        <v>-1.4503845646737469E-2</v>
      </c>
      <c r="F134" s="293">
        <f t="shared" ca="1" si="26"/>
        <v>0.99803827872163919</v>
      </c>
      <c r="T134" s="289">
        <f t="shared" ca="1" si="31"/>
        <v>1</v>
      </c>
      <c r="U134" s="290">
        <f t="shared" ca="1" si="31"/>
        <v>1.0070568680358458</v>
      </c>
      <c r="V134" s="290">
        <f t="shared" ca="1" si="31"/>
        <v>1.0137273678080432</v>
      </c>
      <c r="W134" s="290">
        <f t="shared" ca="1" si="31"/>
        <v>1.0200176401428742</v>
      </c>
      <c r="X134" s="290">
        <f t="shared" ca="1" si="31"/>
        <v>1.0259344983841958</v>
      </c>
      <c r="Y134" s="290">
        <f t="shared" ca="1" si="31"/>
        <v>1.0314853873975338</v>
      </c>
      <c r="Z134" s="290">
        <f t="shared" ca="1" si="31"/>
        <v>1.0366783425054162</v>
      </c>
      <c r="AA134" s="290">
        <f t="shared" ca="1" si="31"/>
        <v>1.0415219485572211</v>
      </c>
      <c r="AB134" s="290">
        <f t="shared" ca="1" si="31"/>
        <v>1.0460252993242876</v>
      </c>
      <c r="AC134" s="290">
        <f t="shared" ca="1" si="31"/>
        <v>1.0501979573971145</v>
      </c>
      <c r="AD134" s="290">
        <f t="shared" ca="1" si="31"/>
        <v>1.0540499147473175</v>
      </c>
    </row>
    <row r="135" spans="1:30">
      <c r="A135" s="90">
        <v>49</v>
      </c>
      <c r="B135" s="90">
        <f t="shared" si="30"/>
        <v>0.19600000000000001</v>
      </c>
      <c r="C135" s="291">
        <f t="shared" ca="1" si="23"/>
        <v>-1.4496734544916699E-2</v>
      </c>
      <c r="D135" s="292">
        <f t="shared" ca="1" si="24"/>
        <v>1.290411531124827</v>
      </c>
      <c r="E135" s="291">
        <f t="shared" ca="1" si="25"/>
        <v>-1.3662705522086333E-2</v>
      </c>
      <c r="F135" s="293">
        <f t="shared" ca="1" si="26"/>
        <v>0.99798205771271387</v>
      </c>
      <c r="T135" s="289">
        <f t="shared" ca="1" si="31"/>
        <v>1</v>
      </c>
      <c r="U135" s="290">
        <f t="shared" ca="1" si="31"/>
        <v>1.0066340348821123</v>
      </c>
      <c r="V135" s="290">
        <f t="shared" ca="1" si="31"/>
        <v>1.0128775154886847</v>
      </c>
      <c r="W135" s="290">
        <f t="shared" ca="1" si="31"/>
        <v>1.0187370826787825</v>
      </c>
      <c r="X135" s="290">
        <f t="shared" ca="1" si="31"/>
        <v>1.0242200351583808</v>
      </c>
      <c r="Y135" s="290">
        <f t="shared" ca="1" si="31"/>
        <v>1.0293342872819775</v>
      </c>
      <c r="Z135" s="290">
        <f t="shared" ca="1" si="31"/>
        <v>1.0340883269003132</v>
      </c>
      <c r="AA135" s="290">
        <f t="shared" ca="1" si="31"/>
        <v>1.0384911734557885</v>
      </c>
      <c r="AB135" s="290">
        <f t="shared" ca="1" si="31"/>
        <v>1.0425523365140259</v>
      </c>
      <c r="AC135" s="290">
        <f t="shared" ca="1" si="31"/>
        <v>1.0462817749055364</v>
      </c>
      <c r="AD135" s="290">
        <f t="shared" ca="1" si="31"/>
        <v>1.049689856636822</v>
      </c>
    </row>
    <row r="136" spans="1:30">
      <c r="A136" s="90">
        <v>50</v>
      </c>
      <c r="B136" s="90">
        <f t="shared" si="30"/>
        <v>0.2</v>
      </c>
      <c r="C136" s="291">
        <f t="shared" ca="1" si="23"/>
        <v>-1.3655614013662136E-2</v>
      </c>
      <c r="D136" s="292">
        <f t="shared" ca="1" si="24"/>
        <v>1.9638741662713368</v>
      </c>
      <c r="E136" s="291">
        <f t="shared" ca="1" si="25"/>
        <v>-1.23863072751914E-2</v>
      </c>
      <c r="F136" s="293">
        <f t="shared" ca="1" si="26"/>
        <v>0.99793006617226832</v>
      </c>
      <c r="T136" s="289">
        <f t="shared" ref="T136:AD145" ca="1" si="32">EXP(T$82-$E136*T$83)</f>
        <v>1</v>
      </c>
      <c r="U136" s="290">
        <f t="shared" ca="1" si="32"/>
        <v>1.0059927406842206</v>
      </c>
      <c r="V136" s="290">
        <f t="shared" ca="1" si="32"/>
        <v>1.0115892574895522</v>
      </c>
      <c r="W136" s="290">
        <f t="shared" ca="1" si="32"/>
        <v>1.0167969553422875</v>
      </c>
      <c r="X136" s="290">
        <f t="shared" ca="1" si="32"/>
        <v>1.0216238731620779</v>
      </c>
      <c r="Y136" s="290">
        <f t="shared" ca="1" si="32"/>
        <v>1.0260786399157245</v>
      </c>
      <c r="Z136" s="290">
        <f t="shared" ca="1" si="32"/>
        <v>1.0301704308958104</v>
      </c>
      <c r="AA136" s="290">
        <f t="shared" ca="1" si="32"/>
        <v>1.0339089244225201</v>
      </c>
      <c r="AB136" s="290">
        <f t="shared" ca="1" si="32"/>
        <v>1.0373042591529351</v>
      </c>
      <c r="AC136" s="290">
        <f t="shared" ca="1" si="32"/>
        <v>1.0403669921668051</v>
      </c>
      <c r="AD136" s="290">
        <f t="shared" ca="1" si="32"/>
        <v>1.0431080579824275</v>
      </c>
    </row>
    <row r="137" spans="1:30">
      <c r="A137" s="90">
        <v>51</v>
      </c>
      <c r="B137" s="90">
        <f t="shared" si="30"/>
        <v>0.20400000000000001</v>
      </c>
      <c r="C137" s="291">
        <f t="shared" ca="1" si="23"/>
        <v>-1.2379245499003606E-2</v>
      </c>
      <c r="D137" s="292">
        <f t="shared" ca="1" si="24"/>
        <v>0.56622833718050603</v>
      </c>
      <c r="E137" s="291">
        <f t="shared" ca="1" si="25"/>
        <v>-1.2013276305946358E-2</v>
      </c>
      <c r="F137" s="293">
        <f t="shared" ca="1" si="26"/>
        <v>0.99788136920434833</v>
      </c>
      <c r="T137" s="289">
        <f t="shared" ca="1" si="32"/>
        <v>1</v>
      </c>
      <c r="U137" s="290">
        <f t="shared" ca="1" si="32"/>
        <v>1.0058053978140309</v>
      </c>
      <c r="V137" s="290">
        <f t="shared" ca="1" si="32"/>
        <v>1.011213069970627</v>
      </c>
      <c r="W137" s="290">
        <f t="shared" ca="1" si="32"/>
        <v>1.0162306457072356</v>
      </c>
      <c r="X137" s="290">
        <f t="shared" ca="1" si="32"/>
        <v>1.0208663809210039</v>
      </c>
      <c r="Y137" s="290">
        <f t="shared" ca="1" si="32"/>
        <v>1.0251291137299845</v>
      </c>
      <c r="Z137" s="290">
        <f t="shared" ca="1" si="32"/>
        <v>1.0290282203123688</v>
      </c>
      <c r="AA137" s="290">
        <f t="shared" ca="1" si="32"/>
        <v>1.032573571220996</v>
      </c>
      <c r="AB137" s="290">
        <f t="shared" ca="1" si="32"/>
        <v>1.035775488356053</v>
      </c>
      <c r="AC137" s="290">
        <f t="shared" ca="1" si="32"/>
        <v>1.0386447027633723</v>
      </c>
      <c r="AD137" s="290">
        <f t="shared" ca="1" si="32"/>
        <v>1.0411923134101599</v>
      </c>
    </row>
    <row r="138" spans="1:30">
      <c r="A138" s="90">
        <v>52</v>
      </c>
      <c r="B138" s="90">
        <f t="shared" si="30"/>
        <v>0.20800000000000002</v>
      </c>
      <c r="C138" s="291">
        <f t="shared" ca="1" si="23"/>
        <v>-1.2006223219088083E-2</v>
      </c>
      <c r="D138" s="292">
        <f t="shared" ca="1" si="24"/>
        <v>-0.296826342291858</v>
      </c>
      <c r="E138" s="291">
        <f t="shared" ca="1" si="25"/>
        <v>-1.2198070376557449E-2</v>
      </c>
      <c r="F138" s="293">
        <f t="shared" ca="1" si="26"/>
        <v>0.9978330502706686</v>
      </c>
      <c r="T138" s="289">
        <f t="shared" ca="1" si="32"/>
        <v>1</v>
      </c>
      <c r="U138" s="290">
        <f t="shared" ca="1" si="32"/>
        <v>1.0058982003629426</v>
      </c>
      <c r="V138" s="290">
        <f t="shared" ca="1" si="32"/>
        <v>1.0113994102609274</v>
      </c>
      <c r="W138" s="290">
        <f t="shared" ca="1" si="32"/>
        <v>1.0165111477602327</v>
      </c>
      <c r="X138" s="290">
        <f t="shared" ca="1" si="32"/>
        <v>1.0212415612403092</v>
      </c>
      <c r="Y138" s="290">
        <f t="shared" ca="1" si="32"/>
        <v>1.0255993851979497</v>
      </c>
      <c r="Z138" s="290">
        <f t="shared" ca="1" si="32"/>
        <v>1.02959389630309</v>
      </c>
      <c r="AA138" s="290">
        <f t="shared" ca="1" si="32"/>
        <v>1.0332348699040343</v>
      </c>
      <c r="AB138" s="290">
        <f t="shared" ca="1" si="32"/>
        <v>1.0365325371657197</v>
      </c>
      <c r="AC138" s="290">
        <f t="shared" ca="1" si="32"/>
        <v>1.0394975430092097</v>
      </c>
      <c r="AD138" s="290">
        <f t="shared" ca="1" si="32"/>
        <v>1.0421409050051658</v>
      </c>
    </row>
    <row r="139" spans="1:30">
      <c r="A139" s="90">
        <v>53</v>
      </c>
      <c r="B139" s="90">
        <f t="shared" si="30"/>
        <v>0.21199999999999999</v>
      </c>
      <c r="C139" s="291">
        <f t="shared" ca="1" si="23"/>
        <v>-1.2191012985132784E-2</v>
      </c>
      <c r="D139" s="292">
        <f t="shared" ca="1" si="24"/>
        <v>-0.84728772860789681</v>
      </c>
      <c r="E139" s="291">
        <f t="shared" ca="1" si="25"/>
        <v>-1.2738638714833928E-2</v>
      </c>
      <c r="F139" s="293">
        <f t="shared" ca="1" si="26"/>
        <v>0.99778328616663914</v>
      </c>
      <c r="T139" s="289">
        <f t="shared" ca="1" si="32"/>
        <v>1</v>
      </c>
      <c r="U139" s="290">
        <f t="shared" ca="1" si="32"/>
        <v>1.0061697199218063</v>
      </c>
      <c r="V139" s="290">
        <f t="shared" ca="1" si="32"/>
        <v>1.0119446988353875</v>
      </c>
      <c r="W139" s="290">
        <f t="shared" ca="1" si="32"/>
        <v>1.0173321301928839</v>
      </c>
      <c r="X139" s="290">
        <f t="shared" ca="1" si="32"/>
        <v>1.0223398482159913</v>
      </c>
      <c r="Y139" s="290">
        <f t="shared" ca="1" si="32"/>
        <v>1.0269762844226815</v>
      </c>
      <c r="Z139" s="290">
        <f t="shared" ca="1" si="32"/>
        <v>1.0312504243289149</v>
      </c>
      <c r="AA139" s="290">
        <f t="shared" ca="1" si="32"/>
        <v>1.0351717645246674</v>
      </c>
      <c r="AB139" s="290">
        <f t="shared" ca="1" si="32"/>
        <v>1.0387502703097926</v>
      </c>
      <c r="AC139" s="290">
        <f t="shared" ca="1" si="32"/>
        <v>1.0419963340601575</v>
      </c>
      <c r="AD139" s="290">
        <f t="shared" ca="1" si="32"/>
        <v>1.0449207344793374</v>
      </c>
    </row>
    <row r="140" spans="1:30">
      <c r="A140" s="90">
        <v>54</v>
      </c>
      <c r="B140" s="90">
        <f t="shared" si="30"/>
        <v>0.216</v>
      </c>
      <c r="C140" s="291">
        <f t="shared" ca="1" si="23"/>
        <v>-1.2731568731488469E-2</v>
      </c>
      <c r="D140" s="292">
        <f t="shared" ca="1" si="24"/>
        <v>0.96567128705271144</v>
      </c>
      <c r="E140" s="291">
        <f t="shared" ca="1" si="25"/>
        <v>-1.2107428400679533E-2</v>
      </c>
      <c r="F140" s="293">
        <f t="shared" ca="1" si="26"/>
        <v>0.99773370541754625</v>
      </c>
      <c r="T140" s="289">
        <f t="shared" ca="1" si="32"/>
        <v>1</v>
      </c>
      <c r="U140" s="290">
        <f t="shared" ca="1" si="32"/>
        <v>1.005852679399627</v>
      </c>
      <c r="V140" s="290">
        <f t="shared" ca="1" si="32"/>
        <v>1.0113080055699724</v>
      </c>
      <c r="W140" s="290">
        <f t="shared" ca="1" si="32"/>
        <v>1.0163735510949214</v>
      </c>
      <c r="X140" s="290">
        <f t="shared" ca="1" si="32"/>
        <v>1.0210575170845195</v>
      </c>
      <c r="Y140" s="290">
        <f t="shared" ca="1" si="32"/>
        <v>1.0253686888597069</v>
      </c>
      <c r="Z140" s="290">
        <f t="shared" ca="1" si="32"/>
        <v>1.0293163919016208</v>
      </c>
      <c r="AA140" s="290">
        <f t="shared" ca="1" si="32"/>
        <v>1.0329104482629916</v>
      </c>
      <c r="AB140" s="290">
        <f t="shared" ca="1" si="32"/>
        <v>1.0361611336249048</v>
      </c>
      <c r="AC140" s="290">
        <f t="shared" ca="1" si="32"/>
        <v>1.0390791351667421</v>
      </c>
      <c r="AD140" s="290">
        <f t="shared" ca="1" si="32"/>
        <v>1.0416755104015953</v>
      </c>
    </row>
    <row r="141" spans="1:30">
      <c r="A141" s="90">
        <v>55</v>
      </c>
      <c r="B141" s="90">
        <f t="shared" si="30"/>
        <v>0.22</v>
      </c>
      <c r="C141" s="291">
        <f t="shared" ca="1" si="23"/>
        <v>-1.2100373120655962E-2</v>
      </c>
      <c r="D141" s="292">
        <f t="shared" ca="1" si="24"/>
        <v>-0.62920884172644398</v>
      </c>
      <c r="E141" s="291">
        <f t="shared" ca="1" si="25"/>
        <v>-1.2507048373289432E-2</v>
      </c>
      <c r="F141" s="293">
        <f t="shared" ca="1" si="26"/>
        <v>0.99768458924028791</v>
      </c>
      <c r="T141" s="289">
        <f t="shared" ca="1" si="32"/>
        <v>1</v>
      </c>
      <c r="U141" s="290">
        <f t="shared" ca="1" si="32"/>
        <v>1.0060533865128327</v>
      </c>
      <c r="V141" s="290">
        <f t="shared" ca="1" si="32"/>
        <v>1.0117110502636317</v>
      </c>
      <c r="W141" s="290">
        <f t="shared" ca="1" si="32"/>
        <v>1.0169803236638284</v>
      </c>
      <c r="X141" s="290">
        <f t="shared" ca="1" si="32"/>
        <v>1.0218691754568296</v>
      </c>
      <c r="Y141" s="290">
        <f t="shared" ca="1" si="32"/>
        <v>1.026386166933045</v>
      </c>
      <c r="Z141" s="290">
        <f t="shared" ca="1" si="32"/>
        <v>1.0305404083526277</v>
      </c>
      <c r="AA141" s="290">
        <f t="shared" ca="1" si="32"/>
        <v>1.0343415157746205</v>
      </c>
      <c r="AB141" s="290">
        <f t="shared" ca="1" si="32"/>
        <v>1.0377995684772212</v>
      </c>
      <c r="AC141" s="290">
        <f t="shared" ca="1" si="32"/>
        <v>1.0409250671386683</v>
      </c>
      <c r="AD141" s="290">
        <f t="shared" ca="1" si="32"/>
        <v>1.0437288929329547</v>
      </c>
    </row>
    <row r="142" spans="1:30">
      <c r="A142" s="90">
        <v>56</v>
      </c>
      <c r="B142" s="90">
        <f t="shared" si="30"/>
        <v>0.224</v>
      </c>
      <c r="C142" s="291">
        <f t="shared" ca="1" si="23"/>
        <v>-1.2499983784575938E-2</v>
      </c>
      <c r="D142" s="292">
        <f t="shared" ca="1" si="24"/>
        <v>-0.24903305199648224</v>
      </c>
      <c r="E142" s="291">
        <f t="shared" ca="1" si="25"/>
        <v>-1.2660940803324864E-2</v>
      </c>
      <c r="F142" s="293">
        <f t="shared" ca="1" si="26"/>
        <v>0.99763437107430142</v>
      </c>
      <c r="T142" s="289">
        <f t="shared" ca="1" si="32"/>
        <v>1</v>
      </c>
      <c r="U142" s="290">
        <f t="shared" ca="1" si="32"/>
        <v>1.0061306888892285</v>
      </c>
      <c r="V142" s="290">
        <f t="shared" ca="1" si="32"/>
        <v>1.0118663043791609</v>
      </c>
      <c r="W142" s="290">
        <f t="shared" ca="1" si="32"/>
        <v>1.0172140865229915</v>
      </c>
      <c r="X142" s="290">
        <f t="shared" ca="1" si="32"/>
        <v>1.0221819146617164</v>
      </c>
      <c r="Y142" s="290">
        <f t="shared" ca="1" si="32"/>
        <v>1.0267782638459286</v>
      </c>
      <c r="Z142" s="290">
        <f t="shared" ca="1" si="32"/>
        <v>1.0310121614435617</v>
      </c>
      <c r="AA142" s="290">
        <f t="shared" ca="1" si="32"/>
        <v>1.0348931441327009</v>
      </c>
      <c r="AB142" s="290">
        <f t="shared" ca="1" si="32"/>
        <v>1.0384312154647117</v>
      </c>
      <c r="AC142" s="290">
        <f t="shared" ca="1" si="32"/>
        <v>1.0416368041678126</v>
      </c>
      <c r="AD142" s="290">
        <f t="shared" ca="1" si="32"/>
        <v>1.0445207233460228</v>
      </c>
    </row>
    <row r="143" spans="1:30">
      <c r="A143" s="90">
        <v>57</v>
      </c>
      <c r="B143" s="90">
        <f t="shared" si="30"/>
        <v>0.22800000000000001</v>
      </c>
      <c r="C143" s="291">
        <f t="shared" ca="1" si="23"/>
        <v>-1.2653872629863333E-2</v>
      </c>
      <c r="D143" s="292">
        <f t="shared" ca="1" si="24"/>
        <v>0.52154785720172636</v>
      </c>
      <c r="E143" s="291">
        <f t="shared" ca="1" si="25"/>
        <v>-1.2316781679256237E-2</v>
      </c>
      <c r="F143" s="293">
        <f t="shared" ca="1" si="26"/>
        <v>0.99758453505018263</v>
      </c>
      <c r="T143" s="289">
        <f t="shared" ca="1" si="32"/>
        <v>1</v>
      </c>
      <c r="U143" s="290">
        <f t="shared" ca="1" si="32"/>
        <v>1.0059578210323721</v>
      </c>
      <c r="V143" s="290">
        <f t="shared" ca="1" si="32"/>
        <v>1.0115191329657116</v>
      </c>
      <c r="W143" s="290">
        <f t="shared" ca="1" si="32"/>
        <v>1.0166913825023962</v>
      </c>
      <c r="X143" s="290">
        <f t="shared" ca="1" si="32"/>
        <v>1.0214826489837407</v>
      </c>
      <c r="Y143" s="290">
        <f t="shared" ca="1" si="32"/>
        <v>1.0259016003513408</v>
      </c>
      <c r="Z143" s="290">
        <f t="shared" ca="1" si="32"/>
        <v>1.0299574493431405</v>
      </c>
      <c r="AA143" s="290">
        <f t="shared" ca="1" si="32"/>
        <v>1.0336599101223685</v>
      </c>
      <c r="AB143" s="290">
        <f t="shared" ca="1" si="32"/>
        <v>1.0370191555233825</v>
      </c>
      <c r="AC143" s="290">
        <f t="shared" ca="1" si="32"/>
        <v>1.0400457750831267</v>
      </c>
      <c r="AD143" s="290">
        <f t="shared" ca="1" si="32"/>
        <v>1.0427507340115085</v>
      </c>
    </row>
    <row r="144" spans="1:30">
      <c r="A144" s="90">
        <v>58</v>
      </c>
      <c r="B144" s="90">
        <f t="shared" si="30"/>
        <v>0.23200000000000001</v>
      </c>
      <c r="C144" s="291">
        <f t="shared" ca="1" si="23"/>
        <v>-1.2309721522587634E-2</v>
      </c>
      <c r="D144" s="292">
        <f t="shared" ca="1" si="24"/>
        <v>1.3119787950574118</v>
      </c>
      <c r="E144" s="291">
        <f t="shared" ca="1" si="25"/>
        <v>-1.1461752974552361E-2</v>
      </c>
      <c r="F144" s="293">
        <f t="shared" ca="1" si="26"/>
        <v>0.99753709398139701</v>
      </c>
      <c r="T144" s="289">
        <f t="shared" ca="1" si="32"/>
        <v>1</v>
      </c>
      <c r="U144" s="290">
        <f t="shared" ca="1" si="32"/>
        <v>1.0055284767862673</v>
      </c>
      <c r="V144" s="290">
        <f t="shared" ca="1" si="32"/>
        <v>1.0106571360095205</v>
      </c>
      <c r="W144" s="290">
        <f t="shared" ca="1" si="32"/>
        <v>1.0153939392457141</v>
      </c>
      <c r="X144" s="290">
        <f t="shared" ca="1" si="32"/>
        <v>1.0197474635875445</v>
      </c>
      <c r="Y144" s="290">
        <f t="shared" ca="1" si="32"/>
        <v>1.0237268564929858</v>
      </c>
      <c r="Z144" s="290">
        <f t="shared" ca="1" si="32"/>
        <v>1.0273417909912497</v>
      </c>
      <c r="AA144" s="290">
        <f t="shared" ca="1" si="32"/>
        <v>1.0306024214416447</v>
      </c>
      <c r="AB144" s="290">
        <f t="shared" ca="1" si="32"/>
        <v>1.0335193400261082</v>
      </c>
      <c r="AC144" s="290">
        <f t="shared" ca="1" si="32"/>
        <v>1.0361035341403309</v>
      </c>
      <c r="AD144" s="290">
        <f t="shared" ca="1" si="32"/>
        <v>1.0383663448325349</v>
      </c>
    </row>
    <row r="145" spans="1:30">
      <c r="A145" s="90">
        <v>59</v>
      </c>
      <c r="B145" s="90">
        <f t="shared" si="30"/>
        <v>0.23600000000000002</v>
      </c>
      <c r="C145" s="291">
        <f t="shared" ca="1" si="23"/>
        <v>-1.1454712734798906E-2</v>
      </c>
      <c r="D145" s="292">
        <f t="shared" ca="1" si="24"/>
        <v>0.53811371371334327</v>
      </c>
      <c r="E145" s="291">
        <f t="shared" ca="1" si="25"/>
        <v>-1.1106914808327538E-2</v>
      </c>
      <c r="F145" s="293">
        <f t="shared" ca="1" si="26"/>
        <v>0.99749206883101205</v>
      </c>
      <c r="T145" s="289">
        <f t="shared" ca="1" si="32"/>
        <v>1</v>
      </c>
      <c r="U145" s="290">
        <f t="shared" ca="1" si="32"/>
        <v>1.0053503521022358</v>
      </c>
      <c r="V145" s="290">
        <f t="shared" ca="1" si="32"/>
        <v>1.0102996217265565</v>
      </c>
      <c r="W145" s="290">
        <f t="shared" ca="1" si="32"/>
        <v>1.0148559846558234</v>
      </c>
      <c r="X145" s="290">
        <f t="shared" ca="1" si="32"/>
        <v>1.0190282248312645</v>
      </c>
      <c r="Y145" s="290">
        <f t="shared" ca="1" si="32"/>
        <v>1.0228256887525395</v>
      </c>
      <c r="Z145" s="290">
        <f t="shared" ca="1" si="32"/>
        <v>1.0262582402867639</v>
      </c>
      <c r="AA145" s="290">
        <f t="shared" ca="1" si="32"/>
        <v>1.0293362160807502</v>
      </c>
      <c r="AB145" s="290">
        <f t="shared" ca="1" si="32"/>
        <v>1.0320703817557813</v>
      </c>
      <c r="AC145" s="290">
        <f t="shared" ca="1" si="32"/>
        <v>1.0344718890481577</v>
      </c>
      <c r="AD145" s="290">
        <f t="shared" ca="1" si="32"/>
        <v>1.0365522340427278</v>
      </c>
    </row>
    <row r="146" spans="1:30">
      <c r="A146" s="90">
        <v>60</v>
      </c>
      <c r="B146" s="90">
        <f t="shared" si="30"/>
        <v>0.24</v>
      </c>
      <c r="C146" s="291">
        <f t="shared" ca="1" si="23"/>
        <v>-1.1099882834123075E-2</v>
      </c>
      <c r="D146" s="292">
        <f t="shared" ca="1" si="24"/>
        <v>0.25964979001876859</v>
      </c>
      <c r="E146" s="291">
        <f t="shared" ca="1" si="25"/>
        <v>-1.0932063920990226E-2</v>
      </c>
      <c r="F146" s="293">
        <f t="shared" ca="1" si="26"/>
        <v>0.99744810238701942</v>
      </c>
      <c r="T146" s="289">
        <f t="shared" ref="T146:AD155" ca="1" si="33">EXP(T$82-$E146*T$83)</f>
        <v>1</v>
      </c>
      <c r="U146" s="290">
        <f t="shared" ca="1" si="33"/>
        <v>1.0052625905705341</v>
      </c>
      <c r="V146" s="290">
        <f t="shared" ca="1" si="33"/>
        <v>1.0101234986661651</v>
      </c>
      <c r="W146" s="290">
        <f t="shared" ca="1" si="33"/>
        <v>1.0145910057218936</v>
      </c>
      <c r="X146" s="290">
        <f t="shared" ca="1" si="33"/>
        <v>1.0186739976506991</v>
      </c>
      <c r="Y146" s="290">
        <f t="shared" ca="1" si="33"/>
        <v>1.0223819190255505</v>
      </c>
      <c r="Z146" s="290">
        <f t="shared" ca="1" si="33"/>
        <v>1.0257247276959023</v>
      </c>
      <c r="AA146" s="290">
        <f t="shared" ca="1" si="33"/>
        <v>1.0287128500323064</v>
      </c>
      <c r="AB146" s="290">
        <f t="shared" ca="1" si="33"/>
        <v>1.0313571369777119</v>
      </c>
      <c r="AC146" s="290">
        <f t="shared" ca="1" si="33"/>
        <v>1.0336688210678493</v>
      </c>
      <c r="AD146" s="290">
        <f t="shared" ca="1" si="33"/>
        <v>1.0356594745669712</v>
      </c>
    </row>
    <row r="147" spans="1:30">
      <c r="A147" s="90">
        <v>61</v>
      </c>
      <c r="B147" s="90">
        <f t="shared" si="30"/>
        <v>0.24399999999999999</v>
      </c>
      <c r="C147" s="291">
        <f t="shared" ca="1" si="23"/>
        <v>-1.0925036019737077E-2</v>
      </c>
      <c r="D147" s="292">
        <f t="shared" ca="1" si="24"/>
        <v>0.86007281819079218</v>
      </c>
      <c r="E147" s="291">
        <f t="shared" ca="1" si="25"/>
        <v>-1.0369146929461089E-2</v>
      </c>
      <c r="F147" s="293">
        <f t="shared" ca="1" si="26"/>
        <v>0.99740560958749125</v>
      </c>
      <c r="T147" s="289">
        <f t="shared" ca="1" si="33"/>
        <v>1</v>
      </c>
      <c r="U147" s="290">
        <f t="shared" ca="1" si="33"/>
        <v>1.0049801020999249</v>
      </c>
      <c r="V147" s="290">
        <f t="shared" ca="1" si="33"/>
        <v>1.0095566945347629</v>
      </c>
      <c r="W147" s="290">
        <f t="shared" ca="1" si="33"/>
        <v>1.0137383992645606</v>
      </c>
      <c r="X147" s="290">
        <f t="shared" ca="1" si="33"/>
        <v>1.0175344306346674</v>
      </c>
      <c r="Y147" s="290">
        <f t="shared" ca="1" si="33"/>
        <v>1.0209545488691203</v>
      </c>
      <c r="Z147" s="290">
        <f t="shared" ca="1" si="33"/>
        <v>1.0240090140812514</v>
      </c>
      <c r="AA147" s="290">
        <f t="shared" ca="1" si="33"/>
        <v>1.0267085409930234</v>
      </c>
      <c r="AB147" s="290">
        <f t="shared" ca="1" si="33"/>
        <v>1.0290642545391666</v>
      </c>
      <c r="AC147" s="290">
        <f t="shared" ca="1" si="33"/>
        <v>1.0310876465156933</v>
      </c>
      <c r="AD147" s="290">
        <f t="shared" ca="1" si="33"/>
        <v>1.0327905334159526</v>
      </c>
    </row>
    <row r="148" spans="1:30">
      <c r="A148" s="90">
        <v>62</v>
      </c>
      <c r="B148" s="90">
        <f t="shared" si="30"/>
        <v>0.248</v>
      </c>
      <c r="C148" s="291">
        <f t="shared" ca="1" si="23"/>
        <v>-1.0362132140715036E-2</v>
      </c>
      <c r="D148" s="292">
        <f t="shared" ca="1" si="24"/>
        <v>-0.4774571009798802</v>
      </c>
      <c r="E148" s="291">
        <f t="shared" ca="1" si="25"/>
        <v>-1.0670726003811217E-2</v>
      </c>
      <c r="F148" s="293">
        <f t="shared" ca="1" si="26"/>
        <v>0.99736363989595711</v>
      </c>
      <c r="T148" s="289">
        <f t="shared" ca="1" si="33"/>
        <v>1</v>
      </c>
      <c r="U148" s="290">
        <f t="shared" ca="1" si="33"/>
        <v>1.005131433565887</v>
      </c>
      <c r="V148" s="290">
        <f t="shared" ca="1" si="33"/>
        <v>1.0098603165546287</v>
      </c>
      <c r="W148" s="290">
        <f t="shared" ca="1" si="33"/>
        <v>1.0141950884230178</v>
      </c>
      <c r="X148" s="290">
        <f t="shared" ca="1" si="33"/>
        <v>1.0181447875380072</v>
      </c>
      <c r="Y148" s="290">
        <f t="shared" ca="1" si="33"/>
        <v>1.0217190050364668</v>
      </c>
      <c r="Z148" s="290">
        <f t="shared" ca="1" si="33"/>
        <v>1.024927839157733</v>
      </c>
      <c r="AA148" s="290">
        <f t="shared" ca="1" si="33"/>
        <v>1.0277818502416118</v>
      </c>
      <c r="AB148" s="290">
        <f t="shared" ca="1" si="33"/>
        <v>1.0302920165692731</v>
      </c>
      <c r="AC148" s="290">
        <f t="shared" ca="1" si="33"/>
        <v>1.0324696912081366</v>
      </c>
      <c r="AD148" s="290">
        <f t="shared" ca="1" si="33"/>
        <v>1.0343265600056</v>
      </c>
    </row>
    <row r="149" spans="1:30">
      <c r="A149" s="90">
        <v>63</v>
      </c>
      <c r="B149" s="90">
        <f t="shared" si="30"/>
        <v>0.252</v>
      </c>
      <c r="C149" s="291">
        <f t="shared" ca="1" si="23"/>
        <v>-1.0663704190125765E-2</v>
      </c>
      <c r="D149" s="292">
        <f t="shared" ca="1" si="24"/>
        <v>1.9663559655658229</v>
      </c>
      <c r="E149" s="291">
        <f t="shared" ca="1" si="25"/>
        <v>-9.3927933954369054E-3</v>
      </c>
      <c r="F149" s="293">
        <f t="shared" ca="1" si="26"/>
        <v>0.99732361944943915</v>
      </c>
      <c r="T149" s="289">
        <f t="shared" ca="1" si="33"/>
        <v>1</v>
      </c>
      <c r="U149" s="290">
        <f t="shared" ca="1" si="33"/>
        <v>1.0044903271219368</v>
      </c>
      <c r="V149" s="290">
        <f t="shared" ca="1" si="33"/>
        <v>1.0085743530469826</v>
      </c>
      <c r="W149" s="290">
        <f t="shared" ca="1" si="33"/>
        <v>1.012261291439762</v>
      </c>
      <c r="X149" s="290">
        <f t="shared" ca="1" si="33"/>
        <v>1.0155609264945751</v>
      </c>
      <c r="Y149" s="290">
        <f t="shared" ca="1" si="33"/>
        <v>1.0184835652839896</v>
      </c>
      <c r="Z149" s="290">
        <f t="shared" ca="1" si="33"/>
        <v>1.0210399907700853</v>
      </c>
      <c r="AA149" s="290">
        <f t="shared" ca="1" si="33"/>
        <v>1.0232414156657732</v>
      </c>
      <c r="AB149" s="290">
        <f t="shared" ca="1" si="33"/>
        <v>1.0250994373175606</v>
      </c>
      <c r="AC149" s="290">
        <f t="shared" ca="1" si="33"/>
        <v>1.0266259937640789</v>
      </c>
      <c r="AD149" s="290">
        <f t="shared" ca="1" si="33"/>
        <v>1.0278333211078134</v>
      </c>
    </row>
    <row r="150" spans="1:30">
      <c r="A150" s="90">
        <v>64</v>
      </c>
      <c r="B150" s="90">
        <f t="shared" ref="B150" si="34">A150*$B$81</f>
        <v>0.25600000000000001</v>
      </c>
      <c r="C150" s="291">
        <f t="shared" ca="1" si="23"/>
        <v>-9.3858013497290522E-3</v>
      </c>
      <c r="D150" s="292">
        <f t="shared" ca="1" si="24"/>
        <v>0.8583424661638398</v>
      </c>
      <c r="E150" s="291">
        <f t="shared" ca="1" si="25"/>
        <v>-8.8310306343089787E-3</v>
      </c>
      <c r="F150" s="293">
        <f t="shared" ca="1" si="26"/>
        <v>0.99728727001158579</v>
      </c>
      <c r="T150" s="289">
        <f t="shared" ca="1" si="33"/>
        <v>1</v>
      </c>
      <c r="U150" s="290">
        <f t="shared" ca="1" si="33"/>
        <v>1.0042086343657659</v>
      </c>
      <c r="V150" s="290">
        <f t="shared" ca="1" si="33"/>
        <v>1.0080095782711744</v>
      </c>
      <c r="W150" s="290">
        <f t="shared" ca="1" si="33"/>
        <v>1.0114123862230244</v>
      </c>
      <c r="X150" s="290">
        <f t="shared" ca="1" si="33"/>
        <v>1.0144271701773033</v>
      </c>
      <c r="Y150" s="290">
        <f t="shared" ca="1" si="33"/>
        <v>1.0170645512584393</v>
      </c>
      <c r="Z150" s="290">
        <f t="shared" ca="1" si="33"/>
        <v>1.0193356122259174</v>
      </c>
      <c r="AA150" s="290">
        <f t="shared" ca="1" si="33"/>
        <v>1.0212518508731114</v>
      </c>
      <c r="AB150" s="290">
        <f t="shared" ca="1" si="33"/>
        <v>1.0228251345267696</v>
      </c>
      <c r="AC150" s="290">
        <f t="shared" ca="1" si="33"/>
        <v>1.0240676557982464</v>
      </c>
      <c r="AD150" s="290">
        <f t="shared" ca="1" si="33"/>
        <v>1.0249918897204306</v>
      </c>
    </row>
    <row r="151" spans="1:30">
      <c r="A151" s="90">
        <v>65</v>
      </c>
      <c r="B151" s="90">
        <f t="shared" ref="B151:B214" si="35">A151*$B$81</f>
        <v>0.26</v>
      </c>
      <c r="C151" s="291">
        <f t="shared" ca="1" si="23"/>
        <v>-8.8240516742217438E-3</v>
      </c>
      <c r="D151" s="292">
        <f t="shared" ca="1" si="24"/>
        <v>1.2950690188194911</v>
      </c>
      <c r="E151" s="291">
        <f t="shared" ca="1" si="25"/>
        <v>-7.9870123869779479E-3</v>
      </c>
      <c r="F151" s="293">
        <f t="shared" ca="1" si="26"/>
        <v>0.99725372573531479</v>
      </c>
      <c r="T151" s="289">
        <f t="shared" ca="1" si="33"/>
        <v>1</v>
      </c>
      <c r="U151" s="290">
        <f t="shared" ca="1" si="33"/>
        <v>1.0037855546914058</v>
      </c>
      <c r="V151" s="290">
        <f t="shared" ca="1" si="33"/>
        <v>1.0071616291119243</v>
      </c>
      <c r="W151" s="290">
        <f t="shared" ca="1" si="33"/>
        <v>1.0101382900547295</v>
      </c>
      <c r="X151" s="290">
        <f t="shared" ca="1" si="33"/>
        <v>1.0127261414179356</v>
      </c>
      <c r="Y151" s="290">
        <f t="shared" ca="1" si="33"/>
        <v>1.0149362750198541</v>
      </c>
      <c r="Z151" s="290">
        <f t="shared" ca="1" si="33"/>
        <v>1.0167802222902087</v>
      </c>
      <c r="AA151" s="290">
        <f t="shared" ca="1" si="33"/>
        <v>1.018269907017973</v>
      </c>
      <c r="AB151" s="290">
        <f t="shared" ca="1" si="33"/>
        <v>1.0194175993195711</v>
      </c>
      <c r="AC151" s="290">
        <f t="shared" ca="1" si="33"/>
        <v>1.0202358709733994</v>
      </c>
      <c r="AD151" s="290">
        <f t="shared" ca="1" si="33"/>
        <v>1.0207375522491142</v>
      </c>
    </row>
    <row r="152" spans="1:30">
      <c r="A152" s="90">
        <v>66</v>
      </c>
      <c r="B152" s="90">
        <f t="shared" si="35"/>
        <v>0.26400000000000001</v>
      </c>
      <c r="C152" s="291">
        <f t="shared" ref="C152:C215" ca="1" si="36">E151*EXP(-$B$78*$B$81)+$B$77*(1-EXP(-$B$78*$B$81))</f>
        <v>-7.9800530873298595E-3</v>
      </c>
      <c r="D152" s="292">
        <f t="shared" ref="D152:D215" ca="1" si="37">NORMSINV(RAND())</f>
        <v>-0.41078208397081178</v>
      </c>
      <c r="E152" s="291">
        <f t="shared" ref="E152:E215" ca="1" si="38">C152+($B$82^0.5)*D152</f>
        <v>-8.2455530242311944E-3</v>
      </c>
      <c r="F152" s="293">
        <f t="shared" ref="F152:F215" ca="1" si="39">F151*EXP($B$81*(E151+E152)/2)</f>
        <v>0.99722135028818504</v>
      </c>
      <c r="T152" s="289">
        <f t="shared" ca="1" si="33"/>
        <v>1</v>
      </c>
      <c r="U152" s="290">
        <f t="shared" ca="1" si="33"/>
        <v>1.0039151340012358</v>
      </c>
      <c r="V152" s="290">
        <f t="shared" ca="1" si="33"/>
        <v>1.0074212980583475</v>
      </c>
      <c r="W152" s="290">
        <f t="shared" ca="1" si="33"/>
        <v>1.0105284020377838</v>
      </c>
      <c r="X152" s="290">
        <f t="shared" ca="1" si="33"/>
        <v>1.0132468992308494</v>
      </c>
      <c r="Y152" s="290">
        <f t="shared" ca="1" si="33"/>
        <v>1.0155877374404954</v>
      </c>
      <c r="Z152" s="290">
        <f t="shared" ca="1" si="33"/>
        <v>1.0175623109045167</v>
      </c>
      <c r="AA152" s="290">
        <f t="shared" ca="1" si="33"/>
        <v>1.0191824132371414</v>
      </c>
      <c r="AB152" s="290">
        <f t="shared" ca="1" si="33"/>
        <v>1.0204601915542344</v>
      </c>
      <c r="AC152" s="290">
        <f t="shared" ca="1" si="33"/>
        <v>1.0214081019296755</v>
      </c>
      <c r="AD152" s="290">
        <f t="shared" ca="1" si="33"/>
        <v>1.0220388663130839</v>
      </c>
    </row>
    <row r="153" spans="1:30">
      <c r="A153" s="90">
        <v>67</v>
      </c>
      <c r="B153" s="90">
        <f t="shared" si="35"/>
        <v>0.26800000000000002</v>
      </c>
      <c r="C153" s="291">
        <f t="shared" ca="1" si="36"/>
        <v>-8.2385877021748447E-3</v>
      </c>
      <c r="D153" s="292">
        <f t="shared" ca="1" si="37"/>
        <v>6.1650990500250115E-2</v>
      </c>
      <c r="E153" s="291">
        <f t="shared" ca="1" si="38"/>
        <v>-8.1987409446690231E-3</v>
      </c>
      <c r="F153" s="293">
        <f t="shared" ca="1" si="39"/>
        <v>0.99718855362543357</v>
      </c>
      <c r="T153" s="289">
        <f t="shared" ca="1" si="33"/>
        <v>1</v>
      </c>
      <c r="U153" s="290">
        <f t="shared" ca="1" si="33"/>
        <v>1.0038916707745529</v>
      </c>
      <c r="V153" s="290">
        <f t="shared" ca="1" si="33"/>
        <v>1.0073742767209948</v>
      </c>
      <c r="W153" s="290">
        <f t="shared" ca="1" si="33"/>
        <v>1.0104577561199695</v>
      </c>
      <c r="X153" s="290">
        <f t="shared" ca="1" si="33"/>
        <v>1.0131525895384323</v>
      </c>
      <c r="Y153" s="290">
        <f t="shared" ca="1" si="33"/>
        <v>1.0154697508669224</v>
      </c>
      <c r="Z153" s="290">
        <f t="shared" ca="1" si="33"/>
        <v>1.0174206592003916</v>
      </c>
      <c r="AA153" s="290">
        <f t="shared" ca="1" si="33"/>
        <v>1.0190171317443386</v>
      </c>
      <c r="AB153" s="290">
        <f t="shared" ca="1" si="33"/>
        <v>1.0202713379112074</v>
      </c>
      <c r="AC153" s="290">
        <f t="shared" ca="1" si="33"/>
        <v>1.021195754754322</v>
      </c>
      <c r="AD153" s="290">
        <f t="shared" ca="1" si="33"/>
        <v>1.0218031238692153</v>
      </c>
    </row>
    <row r="154" spans="1:30">
      <c r="A154" s="90">
        <v>68</v>
      </c>
      <c r="B154" s="90">
        <f t="shared" si="35"/>
        <v>0.27200000000000002</v>
      </c>
      <c r="C154" s="291">
        <f t="shared" ca="1" si="36"/>
        <v>-8.1917767130464929E-3</v>
      </c>
      <c r="D154" s="292">
        <f t="shared" ca="1" si="37"/>
        <v>0.56435156410089871</v>
      </c>
      <c r="E154" s="291">
        <f t="shared" ca="1" si="38"/>
        <v>-7.8270205308620597E-3</v>
      </c>
      <c r="F154" s="293">
        <f t="shared" ca="1" si="39"/>
        <v>0.99715659272582102</v>
      </c>
      <c r="T154" s="289">
        <f t="shared" ca="1" si="33"/>
        <v>1</v>
      </c>
      <c r="U154" s="290">
        <f t="shared" ca="1" si="33"/>
        <v>1.0037053759289574</v>
      </c>
      <c r="V154" s="290">
        <f t="shared" ca="1" si="33"/>
        <v>1.0070009725540019</v>
      </c>
      <c r="W154" s="290">
        <f t="shared" ca="1" si="33"/>
        <v>1.0098969537715516</v>
      </c>
      <c r="X154" s="290">
        <f t="shared" ca="1" si="33"/>
        <v>1.0124040166331603</v>
      </c>
      <c r="Y154" s="290">
        <f t="shared" ca="1" si="33"/>
        <v>1.014533341995151</v>
      </c>
      <c r="Z154" s="290">
        <f t="shared" ca="1" si="33"/>
        <v>1.0162965460687552</v>
      </c>
      <c r="AA154" s="290">
        <f t="shared" ca="1" si="33"/>
        <v>1.0177056330505756</v>
      </c>
      <c r="AB154" s="290">
        <f t="shared" ca="1" si="33"/>
        <v>1.0187729489961956</v>
      </c>
      <c r="AC154" s="290">
        <f t="shared" ca="1" si="33"/>
        <v>1.0195111370818695</v>
      </c>
      <c r="AD154" s="290">
        <f t="shared" ca="1" si="33"/>
        <v>1.0199330943816676</v>
      </c>
    </row>
    <row r="155" spans="1:30">
      <c r="A155" s="90">
        <v>69</v>
      </c>
      <c r="B155" s="90">
        <f t="shared" si="35"/>
        <v>0.27600000000000002</v>
      </c>
      <c r="C155" s="291">
        <f t="shared" ca="1" si="36"/>
        <v>-7.8200649580411584E-3</v>
      </c>
      <c r="D155" s="292">
        <f t="shared" ca="1" si="37"/>
        <v>-0.60995339025464568</v>
      </c>
      <c r="E155" s="291">
        <f t="shared" ca="1" si="38"/>
        <v>-8.2142948744482989E-3</v>
      </c>
      <c r="F155" s="293">
        <f t="shared" ca="1" si="39"/>
        <v>0.99712460183217499</v>
      </c>
      <c r="T155" s="289">
        <f t="shared" ca="1" si="33"/>
        <v>1</v>
      </c>
      <c r="U155" s="290">
        <f t="shared" ca="1" si="33"/>
        <v>1.0038994666797103</v>
      </c>
      <c r="V155" s="290">
        <f t="shared" ca="1" si="33"/>
        <v>1.0073898999359603</v>
      </c>
      <c r="W155" s="290">
        <f t="shared" ca="1" si="33"/>
        <v>1.0104812286084188</v>
      </c>
      <c r="X155" s="290">
        <f t="shared" ca="1" si="33"/>
        <v>1.0131839242016465</v>
      </c>
      <c r="Y155" s="290">
        <f t="shared" ca="1" si="33"/>
        <v>1.0155089519388014</v>
      </c>
      <c r="Z155" s="290">
        <f t="shared" ca="1" si="33"/>
        <v>1.0174677226565294</v>
      </c>
      <c r="AA155" s="290">
        <f t="shared" ca="1" si="33"/>
        <v>1.019072045722859</v>
      </c>
      <c r="AB155" s="290">
        <f t="shared" ca="1" si="33"/>
        <v>1.0203340831431533</v>
      </c>
      <c r="AC155" s="290">
        <f t="shared" ca="1" si="33"/>
        <v>1.0212663050014825</v>
      </c>
      <c r="AD155" s="290">
        <f t="shared" ca="1" si="33"/>
        <v>1.0218814463673824</v>
      </c>
    </row>
    <row r="156" spans="1:30">
      <c r="A156" s="90">
        <v>70</v>
      </c>
      <c r="B156" s="90">
        <f t="shared" si="35"/>
        <v>0.28000000000000003</v>
      </c>
      <c r="C156" s="291">
        <f t="shared" ca="1" si="36"/>
        <v>-8.2073302805147751E-3</v>
      </c>
      <c r="D156" s="292">
        <f t="shared" ca="1" si="37"/>
        <v>-0.62675356964547801</v>
      </c>
      <c r="E156" s="291">
        <f t="shared" ca="1" si="38"/>
        <v>-8.6124186222093103E-3</v>
      </c>
      <c r="F156" s="293">
        <f t="shared" ca="1" si="39"/>
        <v>0.99709104573682594</v>
      </c>
      <c r="T156" s="289">
        <f t="shared" ref="T156:AD165" ca="1" si="40">EXP(T$82-$E156*T$83)</f>
        <v>1</v>
      </c>
      <c r="U156" s="290">
        <f t="shared" ca="1" si="40"/>
        <v>1.0040990339635936</v>
      </c>
      <c r="V156" s="290">
        <f t="shared" ca="1" si="40"/>
        <v>1.0077898796162463</v>
      </c>
      <c r="W156" s="290">
        <f t="shared" ca="1" si="40"/>
        <v>1.0110822241452211</v>
      </c>
      <c r="X156" s="290">
        <f t="shared" ca="1" si="40"/>
        <v>1.0139863069971131</v>
      </c>
      <c r="Y156" s="290">
        <f t="shared" ca="1" si="40"/>
        <v>1.0165128713581191</v>
      </c>
      <c r="Z156" s="290">
        <f t="shared" ca="1" si="40"/>
        <v>1.0186731164148315</v>
      </c>
      <c r="AA156" s="290">
        <f t="shared" ca="1" si="40"/>
        <v>1.0204786505793584</v>
      </c>
      <c r="AB156" s="290">
        <f t="shared" ca="1" si="40"/>
        <v>1.0219414458460296</v>
      </c>
      <c r="AC156" s="290">
        <f t="shared" ca="1" si="40"/>
        <v>1.0230737934294811</v>
      </c>
      <c r="AD156" s="290">
        <f t="shared" ca="1" si="40"/>
        <v>1.0238882608166708</v>
      </c>
    </row>
    <row r="157" spans="1:30">
      <c r="A157" s="90">
        <v>71</v>
      </c>
      <c r="B157" s="90">
        <f t="shared" si="35"/>
        <v>0.28400000000000003</v>
      </c>
      <c r="C157" s="291">
        <f t="shared" ca="1" si="36"/>
        <v>-8.6054447544387097E-3</v>
      </c>
      <c r="D157" s="292">
        <f t="shared" ca="1" si="37"/>
        <v>-0.49407545279943088</v>
      </c>
      <c r="E157" s="291">
        <f t="shared" ca="1" si="38"/>
        <v>-8.924779522583243E-3</v>
      </c>
      <c r="F157" s="293">
        <f t="shared" ca="1" si="39"/>
        <v>0.99705607398366114</v>
      </c>
      <c r="T157" s="289">
        <f t="shared" ca="1" si="40"/>
        <v>1</v>
      </c>
      <c r="U157" s="290">
        <f t="shared" ca="1" si="40"/>
        <v>1.0042556387228914</v>
      </c>
      <c r="V157" s="290">
        <f t="shared" ca="1" si="40"/>
        <v>1.0081038078246951</v>
      </c>
      <c r="W157" s="290">
        <f t="shared" ca="1" si="40"/>
        <v>1.0115540049191831</v>
      </c>
      <c r="X157" s="290">
        <f t="shared" ca="1" si="40"/>
        <v>1.014616287277845</v>
      </c>
      <c r="Y157" s="290">
        <f t="shared" ca="1" si="40"/>
        <v>1.0173012236526484</v>
      </c>
      <c r="Z157" s="290">
        <f t="shared" ca="1" si="40"/>
        <v>1.0196198468319755</v>
      </c>
      <c r="AA157" s="290">
        <f t="shared" ca="1" si="40"/>
        <v>1.0215836071150295</v>
      </c>
      <c r="AB157" s="290">
        <f t="shared" ca="1" si="40"/>
        <v>1.0232043268736493</v>
      </c>
      <c r="AC157" s="290">
        <f t="shared" ca="1" si="40"/>
        <v>1.0244941563531713</v>
      </c>
      <c r="AD157" s="290">
        <f t="shared" ca="1" si="40"/>
        <v>1.0254655308468827</v>
      </c>
    </row>
    <row r="158" spans="1:30">
      <c r="A158" s="90">
        <v>72</v>
      </c>
      <c r="B158" s="90">
        <f t="shared" si="35"/>
        <v>0.28800000000000003</v>
      </c>
      <c r="C158" s="291">
        <f t="shared" ca="1" si="36"/>
        <v>-8.9177983787229465E-3</v>
      </c>
      <c r="D158" s="292">
        <f t="shared" ca="1" si="37"/>
        <v>0.50135080804417409</v>
      </c>
      <c r="E158" s="291">
        <f t="shared" ca="1" si="38"/>
        <v>-8.5937613452319248E-3</v>
      </c>
      <c r="F158" s="293">
        <f t="shared" ca="1" si="39"/>
        <v>0.99702114066048642</v>
      </c>
      <c r="T158" s="289">
        <f t="shared" ca="1" si="40"/>
        <v>1</v>
      </c>
      <c r="U158" s="290">
        <f t="shared" ca="1" si="40"/>
        <v>1.0040896807541115</v>
      </c>
      <c r="V158" s="290">
        <f t="shared" ca="1" si="40"/>
        <v>1.0077711318184006</v>
      </c>
      <c r="W158" s="290">
        <f t="shared" ca="1" si="40"/>
        <v>1.0110540517042546</v>
      </c>
      <c r="X158" s="290">
        <f t="shared" ca="1" si="40"/>
        <v>1.0139486907368895</v>
      </c>
      <c r="Y158" s="290">
        <f t="shared" ca="1" si="40"/>
        <v>1.0164658025153792</v>
      </c>
      <c r="Z158" s="290">
        <f t="shared" ca="1" si="40"/>
        <v>1.0186165961560432</v>
      </c>
      <c r="AA158" s="290">
        <f t="shared" ca="1" si="40"/>
        <v>1.020412689502906</v>
      </c>
      <c r="AB158" s="290">
        <f t="shared" ca="1" si="40"/>
        <v>1.021866063472384</v>
      </c>
      <c r="AC158" s="290">
        <f t="shared" ca="1" si="40"/>
        <v>1.0229890176818806</v>
      </c>
      <c r="AD158" s="290">
        <f t="shared" ca="1" si="40"/>
        <v>1.0237941274947255</v>
      </c>
    </row>
    <row r="159" spans="1:30">
      <c r="A159" s="90">
        <v>73</v>
      </c>
      <c r="B159" s="90">
        <f t="shared" si="35"/>
        <v>0.29199999999999998</v>
      </c>
      <c r="C159" s="291">
        <f t="shared" ca="1" si="36"/>
        <v>-8.5867879120612393E-3</v>
      </c>
      <c r="D159" s="292">
        <f t="shared" ca="1" si="37"/>
        <v>1.5146606066983226</v>
      </c>
      <c r="E159" s="291">
        <f t="shared" ca="1" si="38"/>
        <v>-7.6078204468347918E-3</v>
      </c>
      <c r="F159" s="293">
        <f t="shared" ca="1" si="39"/>
        <v>0.99698883454478182</v>
      </c>
      <c r="T159" s="289">
        <f t="shared" ca="1" si="40"/>
        <v>1</v>
      </c>
      <c r="U159" s="290">
        <f t="shared" ca="1" si="40"/>
        <v>1.0035955357889284</v>
      </c>
      <c r="V159" s="290">
        <f t="shared" ca="1" si="40"/>
        <v>1.0067809033884967</v>
      </c>
      <c r="W159" s="290">
        <f t="shared" ca="1" si="40"/>
        <v>1.009566399717867</v>
      </c>
      <c r="X159" s="290">
        <f t="shared" ca="1" si="40"/>
        <v>1.0119628493916411</v>
      </c>
      <c r="Y159" s="290">
        <f t="shared" ca="1" si="40"/>
        <v>1.0139815551455924</v>
      </c>
      <c r="Z159" s="290">
        <f t="shared" ca="1" si="40"/>
        <v>1.0156342491966155</v>
      </c>
      <c r="AA159" s="290">
        <f t="shared" ca="1" si="40"/>
        <v>1.0169330457155403</v>
      </c>
      <c r="AB159" s="290">
        <f t="shared" ca="1" si="40"/>
        <v>1.0178903945743372</v>
      </c>
      <c r="AC159" s="290">
        <f t="shared" ca="1" si="40"/>
        <v>1.0185190365112429</v>
      </c>
      <c r="AD159" s="290">
        <f t="shared" ca="1" si="40"/>
        <v>1.0188319598396827</v>
      </c>
    </row>
    <row r="160" spans="1:30">
      <c r="A160" s="90">
        <v>74</v>
      </c>
      <c r="B160" s="90">
        <f t="shared" si="35"/>
        <v>0.29599999999999999</v>
      </c>
      <c r="C160" s="291">
        <f t="shared" ca="1" si="36"/>
        <v>-7.6008699800289882E-3</v>
      </c>
      <c r="D160" s="292">
        <f t="shared" ca="1" si="37"/>
        <v>-0.56171516786259301</v>
      </c>
      <c r="E160" s="291">
        <f t="shared" ca="1" si="38"/>
        <v>-7.9639221856715268E-3</v>
      </c>
      <c r="F160" s="293">
        <f t="shared" ca="1" si="39"/>
        <v>0.99695778532119683</v>
      </c>
      <c r="T160" s="289">
        <f t="shared" ca="1" si="40"/>
        <v>1</v>
      </c>
      <c r="U160" s="290">
        <f t="shared" ca="1" si="40"/>
        <v>1.0037739828084249</v>
      </c>
      <c r="V160" s="290">
        <f t="shared" ca="1" si="40"/>
        <v>1.0071384413975919</v>
      </c>
      <c r="W160" s="290">
        <f t="shared" ca="1" si="40"/>
        <v>1.010103456575173</v>
      </c>
      <c r="X160" s="290">
        <f t="shared" ca="1" si="40"/>
        <v>1.0126796456855747</v>
      </c>
      <c r="Y160" s="290">
        <f t="shared" ca="1" si="40"/>
        <v>1.0148781134011768</v>
      </c>
      <c r="Z160" s="290">
        <f t="shared" ca="1" si="40"/>
        <v>1.0167104033930712</v>
      </c>
      <c r="AA160" s="290">
        <f t="shared" ca="1" si="40"/>
        <v>1.0181884510618386</v>
      </c>
      <c r="AB160" s="290">
        <f t="shared" ca="1" si="40"/>
        <v>1.0193245374919784</v>
      </c>
      <c r="AC160" s="290">
        <f t="shared" ca="1" si="40"/>
        <v>1.0201312447757953</v>
      </c>
      <c r="AD160" s="290">
        <f t="shared" ca="1" si="40"/>
        <v>1.0206214128350406</v>
      </c>
    </row>
    <row r="161" spans="1:30">
      <c r="A161" s="90">
        <v>75</v>
      </c>
      <c r="B161" s="90">
        <f t="shared" si="35"/>
        <v>0.3</v>
      </c>
      <c r="C161" s="291">
        <f t="shared" ca="1" si="36"/>
        <v>-7.9569634238832523E-3</v>
      </c>
      <c r="D161" s="292">
        <f t="shared" ca="1" si="37"/>
        <v>2.3039574517599544</v>
      </c>
      <c r="E161" s="291">
        <f t="shared" ca="1" si="38"/>
        <v>-6.4678513570846086E-3</v>
      </c>
      <c r="F161" s="293">
        <f t="shared" ca="1" si="39"/>
        <v>0.99692900999849898</v>
      </c>
      <c r="T161" s="289">
        <f t="shared" ca="1" si="40"/>
        <v>1</v>
      </c>
      <c r="U161" s="290">
        <f t="shared" ca="1" si="40"/>
        <v>1.0030244963714792</v>
      </c>
      <c r="V161" s="290">
        <f t="shared" ca="1" si="40"/>
        <v>1.0056371897596472</v>
      </c>
      <c r="W161" s="290">
        <f t="shared" ca="1" si="40"/>
        <v>1.007849068299068</v>
      </c>
      <c r="X161" s="290">
        <f t="shared" ca="1" si="40"/>
        <v>1.0096716185309513</v>
      </c>
      <c r="Y161" s="290">
        <f t="shared" ca="1" si="40"/>
        <v>1.0111167747216996</v>
      </c>
      <c r="Z161" s="290">
        <f t="shared" ca="1" si="40"/>
        <v>1.0121968692924281</v>
      </c>
      <c r="AA161" s="290">
        <f t="shared" ca="1" si="40"/>
        <v>1.0129245845316197</v>
      </c>
      <c r="AB161" s="290">
        <f t="shared" ca="1" si="40"/>
        <v>1.0133129057452988</v>
      </c>
      <c r="AC161" s="290">
        <f t="shared" ca="1" si="40"/>
        <v>1.0133750759805762</v>
      </c>
      <c r="AD161" s="290">
        <f t="shared" ca="1" si="40"/>
        <v>1.0131245524403192</v>
      </c>
    </row>
    <row r="162" spans="1:30">
      <c r="A162" s="90">
        <v>76</v>
      </c>
      <c r="B162" s="90">
        <f t="shared" si="35"/>
        <v>0.30399999999999999</v>
      </c>
      <c r="C162" s="291">
        <f t="shared" ca="1" si="36"/>
        <v>-6.4609274445541279E-3</v>
      </c>
      <c r="D162" s="292">
        <f t="shared" ca="1" si="37"/>
        <v>0.46228101430048191</v>
      </c>
      <c r="E162" s="291">
        <f t="shared" ca="1" si="38"/>
        <v>-6.1621423102536151E-3</v>
      </c>
      <c r="F162" s="293">
        <f t="shared" ca="1" si="39"/>
        <v>0.99690382790238385</v>
      </c>
      <c r="T162" s="289">
        <f t="shared" ca="1" si="40"/>
        <v>1</v>
      </c>
      <c r="U162" s="290">
        <f t="shared" ca="1" si="40"/>
        <v>1.0028714142179112</v>
      </c>
      <c r="V162" s="290">
        <f t="shared" ca="1" si="40"/>
        <v>1.0053306975238263</v>
      </c>
      <c r="W162" s="290">
        <f t="shared" ca="1" si="40"/>
        <v>1.0073890231609506</v>
      </c>
      <c r="X162" s="290">
        <f t="shared" ca="1" si="40"/>
        <v>1.0090580546703749</v>
      </c>
      <c r="Y162" s="290">
        <f t="shared" ca="1" si="40"/>
        <v>1.0103498949293501</v>
      </c>
      <c r="Z162" s="290">
        <f t="shared" ca="1" si="40"/>
        <v>1.0112770363483199</v>
      </c>
      <c r="AA162" s="290">
        <f t="shared" ca="1" si="40"/>
        <v>1.0118523123970109</v>
      </c>
      <c r="AB162" s="290">
        <f t="shared" ca="1" si="40"/>
        <v>1.0120888506119401</v>
      </c>
      <c r="AC162" s="290">
        <f t="shared" ca="1" si="40"/>
        <v>1.0120000272190297</v>
      </c>
      <c r="AD162" s="290">
        <f t="shared" ca="1" si="40"/>
        <v>1.0115994234868022</v>
      </c>
    </row>
    <row r="163" spans="1:30">
      <c r="A163" s="90">
        <v>77</v>
      </c>
      <c r="B163" s="90">
        <f t="shared" si="35"/>
        <v>0.308</v>
      </c>
      <c r="C163" s="291">
        <f t="shared" ca="1" si="36"/>
        <v>-6.1552255188655151E-3</v>
      </c>
      <c r="D163" s="292">
        <f t="shared" ca="1" si="37"/>
        <v>-1.2642387637584971</v>
      </c>
      <c r="E163" s="291">
        <f t="shared" ca="1" si="38"/>
        <v>-6.9723383509576603E-3</v>
      </c>
      <c r="F163" s="293">
        <f t="shared" ca="1" si="39"/>
        <v>0.99687764061824435</v>
      </c>
      <c r="T163" s="289">
        <f t="shared" ca="1" si="40"/>
        <v>1</v>
      </c>
      <c r="U163" s="290">
        <f t="shared" ca="1" si="40"/>
        <v>1.0032771666070288</v>
      </c>
      <c r="V163" s="290">
        <f t="shared" ca="1" si="40"/>
        <v>1.0061431735266193</v>
      </c>
      <c r="W163" s="290">
        <f t="shared" ca="1" si="40"/>
        <v>1.0086087031539184</v>
      </c>
      <c r="X163" s="290">
        <f t="shared" ca="1" si="40"/>
        <v>1.0106849494371564</v>
      </c>
      <c r="Y163" s="290">
        <f t="shared" ca="1" si="40"/>
        <v>1.0123835676742128</v>
      </c>
      <c r="Z163" s="290">
        <f t="shared" ca="1" si="40"/>
        <v>1.0137166253416425</v>
      </c>
      <c r="AA163" s="290">
        <f t="shared" ca="1" si="40"/>
        <v>1.014696554131284</v>
      </c>
      <c r="AB163" s="290">
        <f t="shared" ca="1" si="40"/>
        <v>1.0153361033520751</v>
      </c>
      <c r="AC163" s="290">
        <f t="shared" ca="1" si="40"/>
        <v>1.0156482948363996</v>
      </c>
      <c r="AD163" s="290">
        <f t="shared" ca="1" si="40"/>
        <v>1.0156463794723887</v>
      </c>
    </row>
    <row r="164" spans="1:30">
      <c r="A164" s="90">
        <v>78</v>
      </c>
      <c r="B164" s="90">
        <f t="shared" si="35"/>
        <v>0.312</v>
      </c>
      <c r="C164" s="291">
        <f t="shared" ca="1" si="36"/>
        <v>-6.965402686980011E-3</v>
      </c>
      <c r="D164" s="292">
        <f t="shared" ca="1" si="37"/>
        <v>0.92724733737561926</v>
      </c>
      <c r="E164" s="291">
        <f t="shared" ca="1" si="38"/>
        <v>-6.3660968282983768E-3</v>
      </c>
      <c r="F164" s="293">
        <f t="shared" ca="1" si="39"/>
        <v>0.99685104739737584</v>
      </c>
      <c r="T164" s="289">
        <f t="shared" ca="1" si="40"/>
        <v>1</v>
      </c>
      <c r="U164" s="290">
        <f t="shared" ca="1" si="40"/>
        <v>1.0029735407466629</v>
      </c>
      <c r="V164" s="290">
        <f t="shared" ca="1" si="40"/>
        <v>1.0055351641750945</v>
      </c>
      <c r="W164" s="290">
        <f t="shared" ca="1" si="40"/>
        <v>1.00769592004807</v>
      </c>
      <c r="X164" s="290">
        <f t="shared" ca="1" si="40"/>
        <v>1.0094673538479306</v>
      </c>
      <c r="Y164" s="290">
        <f t="shared" ca="1" si="40"/>
        <v>1.0108614560010505</v>
      </c>
      <c r="Z164" s="290">
        <f t="shared" ca="1" si="40"/>
        <v>1.0118906122291635</v>
      </c>
      <c r="AA164" s="290">
        <f t="shared" ca="1" si="40"/>
        <v>1.0125675551991002</v>
      </c>
      <c r="AB164" s="290">
        <f t="shared" ca="1" si="40"/>
        <v>1.0129053176246476</v>
      </c>
      <c r="AC164" s="290">
        <f t="shared" ca="1" si="40"/>
        <v>1.0129171869556726</v>
      </c>
      <c r="AD164" s="290">
        <f t="shared" ca="1" si="40"/>
        <v>1.0126166617715049</v>
      </c>
    </row>
    <row r="165" spans="1:30">
      <c r="A165" s="90">
        <v>79</v>
      </c>
      <c r="B165" s="90">
        <f t="shared" si="35"/>
        <v>0.316</v>
      </c>
      <c r="C165" s="291">
        <f t="shared" ca="1" si="36"/>
        <v>-6.359175286023192E-3</v>
      </c>
      <c r="D165" s="292">
        <f t="shared" ca="1" si="37"/>
        <v>-0.14378623781492036</v>
      </c>
      <c r="E165" s="291">
        <f t="shared" ca="1" si="38"/>
        <v>-6.4521083484832733E-3</v>
      </c>
      <c r="F165" s="293">
        <f t="shared" ca="1" si="39"/>
        <v>0.99682549204243864</v>
      </c>
      <c r="T165" s="289">
        <f t="shared" ca="1" si="40"/>
        <v>1</v>
      </c>
      <c r="U165" s="290">
        <f t="shared" ca="1" si="40"/>
        <v>1.0030166125743269</v>
      </c>
      <c r="V165" s="290">
        <f t="shared" ca="1" si="40"/>
        <v>1.0056214041376232</v>
      </c>
      <c r="W165" s="290">
        <f t="shared" ca="1" si="40"/>
        <v>1.0078253723602422</v>
      </c>
      <c r="X165" s="290">
        <f t="shared" ca="1" si="40"/>
        <v>1.0096400129042264</v>
      </c>
      <c r="Y165" s="290">
        <f t="shared" ca="1" si="40"/>
        <v>1.0110772687272485</v>
      </c>
      <c r="Z165" s="290">
        <f t="shared" ca="1" si="40"/>
        <v>1.0121494804999798</v>
      </c>
      <c r="AA165" s="290">
        <f t="shared" ca="1" si="40"/>
        <v>1.0128693383089593</v>
      </c>
      <c r="AB165" s="290">
        <f t="shared" ca="1" si="40"/>
        <v>1.013249834799236</v>
      </c>
      <c r="AC165" s="290">
        <f t="shared" ca="1" si="40"/>
        <v>1.0133042198925371</v>
      </c>
      <c r="AD165" s="290">
        <f t="shared" ca="1" si="40"/>
        <v>1.0130459571985886</v>
      </c>
    </row>
    <row r="166" spans="1:30">
      <c r="A166" s="90">
        <v>80</v>
      </c>
      <c r="B166" s="90">
        <f t="shared" si="35"/>
        <v>0.32</v>
      </c>
      <c r="C166" s="291">
        <f t="shared" ca="1" si="36"/>
        <v>-6.4451848026681607E-3</v>
      </c>
      <c r="D166" s="292">
        <f t="shared" ca="1" si="37"/>
        <v>-2.1949674018713923</v>
      </c>
      <c r="E166" s="291">
        <f t="shared" ca="1" si="38"/>
        <v>-7.8638535553656411E-3</v>
      </c>
      <c r="F166" s="293">
        <f t="shared" ca="1" si="39"/>
        <v>0.99679695141948932</v>
      </c>
      <c r="T166" s="289">
        <f t="shared" ref="T166:AD175" ca="1" si="41">EXP(T$82-$E166*T$83)</f>
        <v>1</v>
      </c>
      <c r="U166" s="290">
        <f t="shared" ca="1" si="41"/>
        <v>1.0037238339654948</v>
      </c>
      <c r="V166" s="290">
        <f t="shared" ca="1" si="41"/>
        <v>1.0070379563339786</v>
      </c>
      <c r="W166" s="290">
        <f t="shared" ca="1" si="41"/>
        <v>1.0099525086476464</v>
      </c>
      <c r="X166" s="290">
        <f t="shared" ca="1" si="41"/>
        <v>1.0124781665157765</v>
      </c>
      <c r="Y166" s="290">
        <f t="shared" ca="1" si="41"/>
        <v>1.0146260903023299</v>
      </c>
      <c r="Z166" s="290">
        <f t="shared" ca="1" si="41"/>
        <v>1.016407876708399</v>
      </c>
      <c r="AA166" s="290">
        <f t="shared" ca="1" si="41"/>
        <v>1.0178355114295208</v>
      </c>
      <c r="AB166" s="290">
        <f t="shared" ca="1" si="41"/>
        <v>1.0189213230508878</v>
      </c>
      <c r="AC166" s="290">
        <f t="shared" ca="1" si="41"/>
        <v>1.0196779383256311</v>
      </c>
      <c r="AD166" s="290">
        <f t="shared" ca="1" si="41"/>
        <v>1.0201182389637935</v>
      </c>
    </row>
    <row r="167" spans="1:30">
      <c r="A167" s="90">
        <v>81</v>
      </c>
      <c r="B167" s="90">
        <f t="shared" si="35"/>
        <v>0.32400000000000001</v>
      </c>
      <c r="C167" s="291">
        <f t="shared" ca="1" si="36"/>
        <v>-7.8568971245615866E-3</v>
      </c>
      <c r="D167" s="292">
        <f t="shared" ca="1" si="37"/>
        <v>0.48629720954364147</v>
      </c>
      <c r="E167" s="291">
        <f t="shared" ca="1" si="38"/>
        <v>-7.5425896523342766E-3</v>
      </c>
      <c r="F167" s="293">
        <f t="shared" ca="1" si="39"/>
        <v>0.99676623770143757</v>
      </c>
      <c r="T167" s="289">
        <f t="shared" ca="1" si="41"/>
        <v>1</v>
      </c>
      <c r="U167" s="290">
        <f t="shared" ca="1" si="41"/>
        <v>1.0035628512627988</v>
      </c>
      <c r="V167" s="290">
        <f t="shared" ca="1" si="41"/>
        <v>1.00671542325384</v>
      </c>
      <c r="W167" s="290">
        <f t="shared" ca="1" si="41"/>
        <v>1.0094680524734561</v>
      </c>
      <c r="X167" s="290">
        <f t="shared" ca="1" si="41"/>
        <v>1.0118316014819444</v>
      </c>
      <c r="Y167" s="290">
        <f t="shared" ca="1" si="41"/>
        <v>1.0138174092593493</v>
      </c>
      <c r="Z167" s="290">
        <f t="shared" ca="1" si="41"/>
        <v>1.0154372425095055</v>
      </c>
      <c r="AA167" s="290">
        <f t="shared" ca="1" si="41"/>
        <v>1.016703248086648</v>
      </c>
      <c r="AB167" s="290">
        <f t="shared" ca="1" si="41"/>
        <v>1.0176279067057168</v>
      </c>
      <c r="AC167" s="290">
        <f t="shared" ca="1" si="41"/>
        <v>1.0182239880794668</v>
      </c>
      <c r="AD167" s="290">
        <f t="shared" ca="1" si="41"/>
        <v>1.0185045076078092</v>
      </c>
    </row>
    <row r="168" spans="1:30">
      <c r="A168" s="90">
        <v>82</v>
      </c>
      <c r="B168" s="90">
        <f t="shared" si="35"/>
        <v>0.32800000000000001</v>
      </c>
      <c r="C168" s="291">
        <f t="shared" ca="1" si="36"/>
        <v>-7.5356407050051781E-3</v>
      </c>
      <c r="D168" s="292">
        <f t="shared" ca="1" si="37"/>
        <v>-0.22533442548904625</v>
      </c>
      <c r="E168" s="291">
        <f t="shared" ca="1" si="38"/>
        <v>-7.6812806393731321E-3</v>
      </c>
      <c r="F168" s="293">
        <f t="shared" ca="1" si="39"/>
        <v>0.99673588888363851</v>
      </c>
      <c r="T168" s="289">
        <f t="shared" ca="1" si="41"/>
        <v>1</v>
      </c>
      <c r="U168" s="290">
        <f t="shared" ca="1" si="41"/>
        <v>1.0036323450096494</v>
      </c>
      <c r="V168" s="290">
        <f t="shared" ca="1" si="41"/>
        <v>1.0068546494764146</v>
      </c>
      <c r="W168" s="290">
        <f t="shared" ca="1" si="41"/>
        <v>1.0096771657421526</v>
      </c>
      <c r="X168" s="290">
        <f t="shared" ca="1" si="41"/>
        <v>1.0121106756800613</v>
      </c>
      <c r="Y168" s="290">
        <f t="shared" ca="1" si="41"/>
        <v>1.0141664411950595</v>
      </c>
      <c r="Z168" s="290">
        <f t="shared" ca="1" si="41"/>
        <v>1.0158561556470727</v>
      </c>
      <c r="AA168" s="290">
        <f t="shared" ca="1" si="41"/>
        <v>1.0171918963762727</v>
      </c>
      <c r="AB168" s="290">
        <f t="shared" ca="1" si="41"/>
        <v>1.0181860784922316</v>
      </c>
      <c r="AC168" s="290">
        <f t="shared" ca="1" si="41"/>
        <v>1.0188514100709931</v>
      </c>
      <c r="AD168" s="290">
        <f t="shared" ca="1" si="41"/>
        <v>1.0192008488864444</v>
      </c>
    </row>
    <row r="169" spans="1:30">
      <c r="A169" s="90">
        <v>83</v>
      </c>
      <c r="B169" s="90">
        <f t="shared" si="35"/>
        <v>0.33200000000000002</v>
      </c>
      <c r="C169" s="291">
        <f t="shared" ca="1" si="36"/>
        <v>-7.674328461396214E-3</v>
      </c>
      <c r="D169" s="292">
        <f t="shared" ca="1" si="37"/>
        <v>2.0219251442718575</v>
      </c>
      <c r="E169" s="291">
        <f t="shared" ca="1" si="38"/>
        <v>-6.367501754071885E-3</v>
      </c>
      <c r="F169" s="293">
        <f t="shared" ca="1" si="39"/>
        <v>0.99670788342586958</v>
      </c>
      <c r="T169" s="289">
        <f t="shared" ca="1" si="41"/>
        <v>1</v>
      </c>
      <c r="U169" s="290">
        <f t="shared" ca="1" si="41"/>
        <v>1.0029742442738485</v>
      </c>
      <c r="V169" s="290">
        <f t="shared" ca="1" si="41"/>
        <v>1.0055365727728647</v>
      </c>
      <c r="W169" s="290">
        <f t="shared" ca="1" si="41"/>
        <v>1.0076980344090221</v>
      </c>
      <c r="X169" s="290">
        <f t="shared" ca="1" si="41"/>
        <v>1.0094701738510421</v>
      </c>
      <c r="Y169" s="290">
        <f t="shared" ca="1" si="41"/>
        <v>1.0108649807501542</v>
      </c>
      <c r="Z169" s="290">
        <f t="shared" ca="1" si="41"/>
        <v>1.0118948400924965</v>
      </c>
      <c r="AA169" s="290">
        <f t="shared" ca="1" si="41"/>
        <v>1.0125724838497159</v>
      </c>
      <c r="AB169" s="290">
        <f t="shared" ca="1" si="41"/>
        <v>1.0129109440814899</v>
      </c>
      <c r="AC169" s="290">
        <f t="shared" ca="1" si="41"/>
        <v>1.0129235076251188</v>
      </c>
      <c r="AD169" s="290">
        <f t="shared" ca="1" si="41"/>
        <v>1.0126236724891982</v>
      </c>
    </row>
    <row r="170" spans="1:30">
      <c r="A170" s="90">
        <v>84</v>
      </c>
      <c r="B170" s="90">
        <f t="shared" si="35"/>
        <v>0.33600000000000002</v>
      </c>
      <c r="C170" s="291">
        <f t="shared" ca="1" si="36"/>
        <v>-6.3605801790705624E-3</v>
      </c>
      <c r="D170" s="292">
        <f t="shared" ca="1" si="37"/>
        <v>0.9905036228179761</v>
      </c>
      <c r="E170" s="291">
        <f t="shared" ca="1" si="38"/>
        <v>-5.7203900159148516E-3</v>
      </c>
      <c r="F170" s="293">
        <f t="shared" ca="1" si="39"/>
        <v>0.99668378752309716</v>
      </c>
      <c r="T170" s="289">
        <f t="shared" ca="1" si="41"/>
        <v>1</v>
      </c>
      <c r="U170" s="290">
        <f t="shared" ca="1" si="41"/>
        <v>1.0026502504144998</v>
      </c>
      <c r="V170" s="290">
        <f t="shared" ca="1" si="41"/>
        <v>1.0048879785201317</v>
      </c>
      <c r="W170" s="290">
        <f t="shared" ca="1" si="41"/>
        <v>1.0067246247749455</v>
      </c>
      <c r="X170" s="290">
        <f t="shared" ca="1" si="41"/>
        <v>1.0081721080286239</v>
      </c>
      <c r="Y170" s="290">
        <f t="shared" ca="1" si="41"/>
        <v>1.0092427741684671</v>
      </c>
      <c r="Z170" s="290">
        <f t="shared" ca="1" si="41"/>
        <v>1.0099493459934437</v>
      </c>
      <c r="AA170" s="290">
        <f t="shared" ca="1" si="41"/>
        <v>1.0103048744838306</v>
      </c>
      <c r="AB170" s="290">
        <f t="shared" ca="1" si="41"/>
        <v>1.0103226916157892</v>
      </c>
      <c r="AC170" s="290">
        <f t="shared" ca="1" si="41"/>
        <v>1.0100163648513631</v>
      </c>
      <c r="AD170" s="290">
        <f t="shared" ca="1" si="41"/>
        <v>1.0093996534160103</v>
      </c>
    </row>
    <row r="171" spans="1:30">
      <c r="A171" s="90">
        <v>85</v>
      </c>
      <c r="B171" s="90">
        <f t="shared" si="35"/>
        <v>0.34</v>
      </c>
      <c r="C171" s="291">
        <f t="shared" ca="1" si="36"/>
        <v>-5.7134835146408908E-3</v>
      </c>
      <c r="D171" s="292">
        <f t="shared" ca="1" si="37"/>
        <v>1.2758812062905669</v>
      </c>
      <c r="E171" s="291">
        <f t="shared" ca="1" si="38"/>
        <v>-4.8888458466850139E-3</v>
      </c>
      <c r="F171" s="293">
        <f t="shared" ca="1" si="39"/>
        <v>0.99666263964069624</v>
      </c>
      <c r="T171" s="289">
        <f t="shared" ca="1" si="41"/>
        <v>1</v>
      </c>
      <c r="U171" s="290">
        <f t="shared" ca="1" si="41"/>
        <v>1.0022340691592362</v>
      </c>
      <c r="V171" s="290">
        <f t="shared" ca="1" si="41"/>
        <v>1.0040551434726315</v>
      </c>
      <c r="W171" s="290">
        <f t="shared" ca="1" si="41"/>
        <v>1.0054751653292102</v>
      </c>
      <c r="X171" s="290">
        <f t="shared" ca="1" si="41"/>
        <v>1.0065065324943139</v>
      </c>
      <c r="Y171" s="290">
        <f t="shared" ca="1" si="41"/>
        <v>1.007162046058613</v>
      </c>
      <c r="Z171" s="290">
        <f t="shared" ca="1" si="41"/>
        <v>1.0074548597464072</v>
      </c>
      <c r="AA171" s="290">
        <f t="shared" ca="1" si="41"/>
        <v>1.0073984307452242</v>
      </c>
      <c r="AB171" s="290">
        <f t="shared" ca="1" si="41"/>
        <v>1.0070064722001255</v>
      </c>
      <c r="AC171" s="290">
        <f t="shared" ca="1" si="41"/>
        <v>1.0062929074969282</v>
      </c>
      <c r="AD171" s="290">
        <f t="shared" ca="1" si="41"/>
        <v>1.0052718264398943</v>
      </c>
    </row>
    <row r="172" spans="1:30">
      <c r="A172" s="90">
        <v>86</v>
      </c>
      <c r="B172" s="90">
        <f t="shared" si="35"/>
        <v>0.34400000000000003</v>
      </c>
      <c r="C172" s="291">
        <f t="shared" ca="1" si="36"/>
        <v>-4.8819587152808255E-3</v>
      </c>
      <c r="D172" s="292">
        <f t="shared" ca="1" si="37"/>
        <v>0.7717405934170688</v>
      </c>
      <c r="E172" s="291">
        <f t="shared" ca="1" si="38"/>
        <v>-4.3831612096160216E-3</v>
      </c>
      <c r="F172" s="293">
        <f t="shared" ca="1" si="39"/>
        <v>0.99664415768600656</v>
      </c>
      <c r="T172" s="289">
        <f t="shared" ca="1" si="41"/>
        <v>1</v>
      </c>
      <c r="U172" s="290">
        <f t="shared" ca="1" si="41"/>
        <v>1.0019810624870706</v>
      </c>
      <c r="V172" s="290">
        <f t="shared" ca="1" si="41"/>
        <v>1.0035490113627676</v>
      </c>
      <c r="W172" s="290">
        <f t="shared" ca="1" si="41"/>
        <v>1.0047160934238619</v>
      </c>
      <c r="X172" s="290">
        <f t="shared" ca="1" si="41"/>
        <v>1.0054949964641278</v>
      </c>
      <c r="Y172" s="290">
        <f t="shared" ca="1" si="41"/>
        <v>1.0058987968265003</v>
      </c>
      <c r="Z172" s="290">
        <f t="shared" ca="1" si="41"/>
        <v>1.0059409083947526</v>
      </c>
      <c r="AA172" s="290">
        <f t="shared" ca="1" si="41"/>
        <v>1.0056350331831667</v>
      </c>
      <c r="AB172" s="290">
        <f t="shared" ca="1" si="41"/>
        <v>1.0049951136638322</v>
      </c>
      <c r="AC172" s="290">
        <f t="shared" ca="1" si="41"/>
        <v>1.0040352869517921</v>
      </c>
      <c r="AD172" s="290">
        <f t="shared" ca="1" si="41"/>
        <v>1.002769840949467</v>
      </c>
    </row>
    <row r="173" spans="1:30">
      <c r="A173" s="90">
        <v>87</v>
      </c>
      <c r="B173" s="90">
        <f t="shared" si="35"/>
        <v>0.34800000000000003</v>
      </c>
      <c r="C173" s="291">
        <f t="shared" ca="1" si="36"/>
        <v>-4.3762858575567293E-3</v>
      </c>
      <c r="D173" s="292">
        <f t="shared" ca="1" si="37"/>
        <v>-1.4007658037999449</v>
      </c>
      <c r="E173" s="291">
        <f t="shared" ca="1" si="38"/>
        <v>-5.2816399297875415E-3</v>
      </c>
      <c r="F173" s="293">
        <f t="shared" ca="1" si="39"/>
        <v>0.99662489313701363</v>
      </c>
      <c r="T173" s="289">
        <f t="shared" ca="1" si="41"/>
        <v>1</v>
      </c>
      <c r="U173" s="290">
        <f t="shared" ca="1" si="41"/>
        <v>1.002430637947469</v>
      </c>
      <c r="V173" s="290">
        <f t="shared" ca="1" si="41"/>
        <v>1.0044484612725992</v>
      </c>
      <c r="W173" s="290">
        <f t="shared" ca="1" si="41"/>
        <v>1.0060651754612735</v>
      </c>
      <c r="X173" s="290">
        <f t="shared" ca="1" si="41"/>
        <v>1.0072929523452896</v>
      </c>
      <c r="Y173" s="290">
        <f t="shared" ca="1" si="41"/>
        <v>1.0081443783737865</v>
      </c>
      <c r="Z173" s="290">
        <f t="shared" ca="1" si="41"/>
        <v>1.0086324041818557</v>
      </c>
      <c r="AA173" s="290">
        <f t="shared" ca="1" si="41"/>
        <v>1.0087702956209992</v>
      </c>
      <c r="AB173" s="290">
        <f t="shared" ca="1" si="41"/>
        <v>1.0085715863976941</v>
      </c>
      <c r="AC173" s="290">
        <f t="shared" ca="1" si="41"/>
        <v>1.0080500324472719</v>
      </c>
      <c r="AD173" s="290">
        <f t="shared" ca="1" si="41"/>
        <v>1.0072195681518088</v>
      </c>
    </row>
    <row r="174" spans="1:30">
      <c r="A174" s="90">
        <v>88</v>
      </c>
      <c r="B174" s="90">
        <f t="shared" si="35"/>
        <v>0.35199999999999998</v>
      </c>
      <c r="C174" s="291">
        <f t="shared" ca="1" si="36"/>
        <v>-5.2747436486947153E-3</v>
      </c>
      <c r="D174" s="292">
        <f t="shared" ca="1" si="37"/>
        <v>0.73563909758742185</v>
      </c>
      <c r="E174" s="291">
        <f t="shared" ca="1" si="38"/>
        <v>-4.7992795483531485E-3</v>
      </c>
      <c r="F174" s="293">
        <f t="shared" ca="1" si="39"/>
        <v>0.99660479954898096</v>
      </c>
      <c r="T174" s="289">
        <f t="shared" ca="1" si="41"/>
        <v>1</v>
      </c>
      <c r="U174" s="290">
        <f t="shared" ca="1" si="41"/>
        <v>1.0021892522447919</v>
      </c>
      <c r="V174" s="290">
        <f t="shared" ca="1" si="41"/>
        <v>1.0039654793200328</v>
      </c>
      <c r="W174" s="290">
        <f t="shared" ca="1" si="41"/>
        <v>1.005340677581082</v>
      </c>
      <c r="X174" s="290">
        <f t="shared" ca="1" si="41"/>
        <v>1.0063272962338148</v>
      </c>
      <c r="Y174" s="290">
        <f t="shared" ca="1" si="41"/>
        <v>1.0069381852118435</v>
      </c>
      <c r="Z174" s="290">
        <f t="shared" ca="1" si="41"/>
        <v>1.0071865444272114</v>
      </c>
      <c r="AA174" s="290">
        <f t="shared" ca="1" si="41"/>
        <v>1.0070858745559592</v>
      </c>
      <c r="AB174" s="290">
        <f t="shared" ca="1" si="41"/>
        <v>1.0066499295013123</v>
      </c>
      <c r="AC174" s="290">
        <f t="shared" ca="1" si="41"/>
        <v>1.0058926706579963</v>
      </c>
      <c r="AD174" s="290">
        <f t="shared" ca="1" si="41"/>
        <v>1.0048282230825147</v>
      </c>
    </row>
    <row r="175" spans="1:30">
      <c r="A175" s="90">
        <v>89</v>
      </c>
      <c r="B175" s="90">
        <f t="shared" si="35"/>
        <v>0.35599999999999998</v>
      </c>
      <c r="C175" s="291">
        <f t="shared" ca="1" si="36"/>
        <v>-4.7923945032933768E-3</v>
      </c>
      <c r="D175" s="292">
        <f t="shared" ca="1" si="37"/>
        <v>-1.9158832709031945</v>
      </c>
      <c r="E175" s="291">
        <f t="shared" ca="1" si="38"/>
        <v>-6.0306833853646458E-3</v>
      </c>
      <c r="F175" s="293">
        <f t="shared" ca="1" si="39"/>
        <v>0.99658321339668166</v>
      </c>
      <c r="T175" s="289">
        <f t="shared" ca="1" si="41"/>
        <v>1</v>
      </c>
      <c r="U175" s="290">
        <f t="shared" ca="1" si="41"/>
        <v>1.0028055940550948</v>
      </c>
      <c r="V175" s="290">
        <f t="shared" ca="1" si="41"/>
        <v>1.005198930539331</v>
      </c>
      <c r="W175" s="290">
        <f t="shared" ca="1" si="41"/>
        <v>1.0071912622504899</v>
      </c>
      <c r="X175" s="290">
        <f t="shared" ca="1" si="41"/>
        <v>1.0087943287644368</v>
      </c>
      <c r="Y175" s="290">
        <f t="shared" ca="1" si="41"/>
        <v>1.0100203053550771</v>
      </c>
      <c r="Z175" s="290">
        <f t="shared" ca="1" si="41"/>
        <v>1.0108817530936669</v>
      </c>
      <c r="AA175" s="290">
        <f t="shared" ca="1" si="41"/>
        <v>1.0113915702969578</v>
      </c>
      <c r="AB175" s="290">
        <f t="shared" ca="1" si="41"/>
        <v>1.0115629454756527</v>
      </c>
      <c r="AC175" s="290">
        <f t="shared" ca="1" si="41"/>
        <v>1.0114093119159158</v>
      </c>
      <c r="AD175" s="290">
        <f t="shared" ca="1" si="41"/>
        <v>1.0109443040084209</v>
      </c>
    </row>
    <row r="176" spans="1:30">
      <c r="A176" s="90">
        <v>90</v>
      </c>
      <c r="B176" s="90">
        <f t="shared" si="35"/>
        <v>0.36</v>
      </c>
      <c r="C176" s="291">
        <f t="shared" ca="1" si="36"/>
        <v>-6.0237696561617551E-3</v>
      </c>
      <c r="D176" s="292">
        <f t="shared" ca="1" si="37"/>
        <v>0.54679723185944029</v>
      </c>
      <c r="E176" s="291">
        <f t="shared" ca="1" si="38"/>
        <v>-5.6703593293208655E-3</v>
      </c>
      <c r="F176" s="293">
        <f t="shared" ca="1" si="39"/>
        <v>0.99655989154407543</v>
      </c>
      <c r="T176" s="289">
        <f t="shared" ref="T176:AD185" ca="1" si="42">EXP(T$82-$E176*T$83)</f>
        <v>1</v>
      </c>
      <c r="U176" s="290">
        <f t="shared" ca="1" si="42"/>
        <v>1.002625205567593</v>
      </c>
      <c r="V176" s="290">
        <f t="shared" ca="1" si="42"/>
        <v>1.0048378506409077</v>
      </c>
      <c r="W176" s="290">
        <f t="shared" ca="1" si="42"/>
        <v>1.006649405918981</v>
      </c>
      <c r="X176" s="290">
        <f t="shared" ca="1" si="42"/>
        <v>1.0080718191299864</v>
      </c>
      <c r="Y176" s="290">
        <f t="shared" ca="1" si="42"/>
        <v>1.0091174636337459</v>
      </c>
      <c r="Z176" s="290">
        <f t="shared" ca="1" si="42"/>
        <v>1.0097990882601744</v>
      </c>
      <c r="AA176" s="290">
        <f t="shared" ca="1" si="42"/>
        <v>1.0101297685508623</v>
      </c>
      <c r="AB176" s="290">
        <f t="shared" ca="1" si="42"/>
        <v>1.0101228595527911</v>
      </c>
      <c r="AC176" s="290">
        <f t="shared" ca="1" si="42"/>
        <v>1.0097919502943034</v>
      </c>
      <c r="AD176" s="290">
        <f t="shared" ca="1" si="42"/>
        <v>1.0091508200550503</v>
      </c>
    </row>
    <row r="177" spans="1:30">
      <c r="A177" s="90">
        <v>91</v>
      </c>
      <c r="B177" s="90">
        <f t="shared" si="35"/>
        <v>0.36399999999999999</v>
      </c>
      <c r="C177" s="291">
        <f t="shared" ca="1" si="36"/>
        <v>-5.663453993454492E-3</v>
      </c>
      <c r="D177" s="292">
        <f t="shared" ca="1" si="37"/>
        <v>0.45974806334430279</v>
      </c>
      <c r="E177" s="291">
        <f t="shared" ca="1" si="38"/>
        <v>-5.3663059761200824E-3</v>
      </c>
      <c r="F177" s="293">
        <f t="shared" ca="1" si="39"/>
        <v>0.99653789439089191</v>
      </c>
      <c r="T177" s="289">
        <f t="shared" ca="1" si="42"/>
        <v>1</v>
      </c>
      <c r="U177" s="290">
        <f t="shared" ca="1" si="42"/>
        <v>1.0024730130407002</v>
      </c>
      <c r="V177" s="290">
        <f t="shared" ca="1" si="42"/>
        <v>1.0045332603874919</v>
      </c>
      <c r="W177" s="290">
        <f t="shared" ca="1" si="42"/>
        <v>1.0061923964152981</v>
      </c>
      <c r="X177" s="290">
        <f t="shared" ca="1" si="42"/>
        <v>1.0074625441864906</v>
      </c>
      <c r="Y177" s="290">
        <f t="shared" ca="1" si="42"/>
        <v>1.0083562437934173</v>
      </c>
      <c r="Z177" s="290">
        <f t="shared" ca="1" si="42"/>
        <v>1.0088864019847525</v>
      </c>
      <c r="AA177" s="290">
        <f t="shared" ca="1" si="42"/>
        <v>1.0090662432408986</v>
      </c>
      <c r="AB177" s="290">
        <f t="shared" ca="1" si="42"/>
        <v>1.0089092624452962</v>
      </c>
      <c r="AC177" s="290">
        <f t="shared" ca="1" si="42"/>
        <v>1.0084291792794964</v>
      </c>
      <c r="AD177" s="290">
        <f t="shared" ca="1" si="42"/>
        <v>1.0076398944513496</v>
      </c>
    </row>
    <row r="178" spans="1:30">
      <c r="A178" s="90">
        <v>92</v>
      </c>
      <c r="B178" s="90">
        <f t="shared" si="35"/>
        <v>0.36799999999999999</v>
      </c>
      <c r="C178" s="291">
        <f t="shared" ca="1" si="36"/>
        <v>-5.3594077228286017E-3</v>
      </c>
      <c r="D178" s="292">
        <f t="shared" ca="1" si="37"/>
        <v>-0.5147023753193597</v>
      </c>
      <c r="E178" s="291">
        <f t="shared" ca="1" si="38"/>
        <v>-5.6920742472526984E-3</v>
      </c>
      <c r="F178" s="293">
        <f t="shared" ca="1" si="39"/>
        <v>0.99651585444473256</v>
      </c>
      <c r="T178" s="289">
        <f t="shared" ca="1" si="42"/>
        <v>1</v>
      </c>
      <c r="U178" s="290">
        <f t="shared" ca="1" si="42"/>
        <v>1.0026360757552311</v>
      </c>
      <c r="V178" s="290">
        <f t="shared" ca="1" si="42"/>
        <v>1.00485960743641</v>
      </c>
      <c r="W178" s="290">
        <f t="shared" ca="1" si="42"/>
        <v>1.0066820526176152</v>
      </c>
      <c r="X178" s="290">
        <f t="shared" ca="1" si="42"/>
        <v>1.0081153464937784</v>
      </c>
      <c r="Y178" s="290">
        <f t="shared" ca="1" si="42"/>
        <v>1.0091718505020431</v>
      </c>
      <c r="Z178" s="290">
        <f t="shared" ca="1" si="42"/>
        <v>1.0098643021756371</v>
      </c>
      <c r="AA178" s="290">
        <f t="shared" ca="1" si="42"/>
        <v>1.010205766397609</v>
      </c>
      <c r="AB178" s="290">
        <f t="shared" ca="1" si="42"/>
        <v>1.0102095882035731</v>
      </c>
      <c r="AC178" s="290">
        <f t="shared" ca="1" si="42"/>
        <v>1.0098893472637425</v>
      </c>
      <c r="AD178" s="290">
        <f t="shared" ca="1" si="42"/>
        <v>1.0092588141561449</v>
      </c>
    </row>
    <row r="179" spans="1:30">
      <c r="A179" s="90">
        <v>93</v>
      </c>
      <c r="B179" s="90">
        <f t="shared" si="35"/>
        <v>0.372</v>
      </c>
      <c r="C179" s="291">
        <f t="shared" ca="1" si="36"/>
        <v>-5.6851684055621628E-3</v>
      </c>
      <c r="D179" s="292">
        <f t="shared" ca="1" si="37"/>
        <v>0.70251362036715903</v>
      </c>
      <c r="E179" s="291">
        <f t="shared" ca="1" si="38"/>
        <v>-5.2311142265754704E-3</v>
      </c>
      <c r="F179" s="293">
        <f t="shared" ca="1" si="39"/>
        <v>0.99649408442154097</v>
      </c>
      <c r="T179" s="289">
        <f t="shared" ca="1" si="42"/>
        <v>1</v>
      </c>
      <c r="U179" s="290">
        <f t="shared" ca="1" si="42"/>
        <v>1.0024053508433601</v>
      </c>
      <c r="V179" s="290">
        <f t="shared" ca="1" si="42"/>
        <v>1.0043978595694256</v>
      </c>
      <c r="W179" s="290">
        <f t="shared" ca="1" si="42"/>
        <v>1.0059892621576527</v>
      </c>
      <c r="X179" s="290">
        <f t="shared" ca="1" si="42"/>
        <v>1.0071917595321864</v>
      </c>
      <c r="Y179" s="290">
        <f t="shared" ca="1" si="42"/>
        <v>1.0080179657911277</v>
      </c>
      <c r="Z179" s="290">
        <f t="shared" ca="1" si="42"/>
        <v>1.008480857740961</v>
      </c>
      <c r="AA179" s="290">
        <f t="shared" ca="1" si="42"/>
        <v>1.0085937259004705</v>
      </c>
      <c r="AB179" s="290">
        <f t="shared" ca="1" si="42"/>
        <v>1.0083701271200407</v>
      </c>
      <c r="AC179" s="290">
        <f t="shared" ca="1" si="42"/>
        <v>1.0078238389431684</v>
      </c>
      <c r="AD179" s="290">
        <f t="shared" ca="1" si="42"/>
        <v>1.0069688158184815</v>
      </c>
    </row>
    <row r="180" spans="1:30">
      <c r="A180" s="90">
        <v>94</v>
      </c>
      <c r="B180" s="90">
        <f t="shared" si="35"/>
        <v>0.376</v>
      </c>
      <c r="C180" s="291">
        <f t="shared" ca="1" si="36"/>
        <v>-5.2242191224210763E-3</v>
      </c>
      <c r="D180" s="292">
        <f t="shared" ca="1" si="37"/>
        <v>-0.11670693772422058</v>
      </c>
      <c r="E180" s="291">
        <f t="shared" ca="1" si="38"/>
        <v>-5.2996500767173455E-3</v>
      </c>
      <c r="F180" s="293">
        <f t="shared" ca="1" si="39"/>
        <v>0.99647309695389052</v>
      </c>
      <c r="T180" s="289">
        <f t="shared" ca="1" si="42"/>
        <v>1</v>
      </c>
      <c r="U180" s="290">
        <f t="shared" ca="1" si="42"/>
        <v>1.0024396518200807</v>
      </c>
      <c r="V180" s="290">
        <f t="shared" ca="1" si="42"/>
        <v>1.0044664991264178</v>
      </c>
      <c r="W180" s="290">
        <f t="shared" ca="1" si="42"/>
        <v>1.0060922365339124</v>
      </c>
      <c r="X180" s="290">
        <f t="shared" ca="1" si="42"/>
        <v>1.0073290255021532</v>
      </c>
      <c r="Y180" s="290">
        <f t="shared" ca="1" si="42"/>
        <v>1.0081894426219205</v>
      </c>
      <c r="Z180" s="290">
        <f t="shared" ca="1" si="42"/>
        <v>1.0086864291960305</v>
      </c>
      <c r="AA180" s="290">
        <f t="shared" ca="1" si="42"/>
        <v>1.0088332422793065</v>
      </c>
      <c r="AB180" s="290">
        <f t="shared" ca="1" si="42"/>
        <v>1.0086434073240584</v>
      </c>
      <c r="AC180" s="290">
        <f t="shared" ca="1" si="42"/>
        <v>1.0081306725584234</v>
      </c>
      <c r="AD180" s="290">
        <f t="shared" ca="1" si="42"/>
        <v>1.0073089652063962</v>
      </c>
    </row>
    <row r="181" spans="1:30">
      <c r="A181" s="90">
        <v>95</v>
      </c>
      <c r="B181" s="90">
        <f t="shared" si="35"/>
        <v>0.38</v>
      </c>
      <c r="C181" s="291">
        <f t="shared" ca="1" si="36"/>
        <v>-5.2927533760987579E-3</v>
      </c>
      <c r="D181" s="292">
        <f t="shared" ca="1" si="37"/>
        <v>-0.1705787655551193</v>
      </c>
      <c r="E181" s="291">
        <f t="shared" ca="1" si="38"/>
        <v>-5.4030031977409547E-3</v>
      </c>
      <c r="F181" s="293">
        <f t="shared" ca="1" si="39"/>
        <v>0.99645176737006647</v>
      </c>
      <c r="T181" s="289">
        <f t="shared" ca="1" si="42"/>
        <v>1</v>
      </c>
      <c r="U181" s="290">
        <f t="shared" ca="1" si="42"/>
        <v>1.0024913804426081</v>
      </c>
      <c r="V181" s="290">
        <f t="shared" ca="1" si="42"/>
        <v>1.0045700175095984</v>
      </c>
      <c r="W181" s="290">
        <f t="shared" ca="1" si="42"/>
        <v>1.0062475434177314</v>
      </c>
      <c r="X181" s="290">
        <f t="shared" ca="1" si="42"/>
        <v>1.007536060083587</v>
      </c>
      <c r="Y181" s="290">
        <f t="shared" ca="1" si="42"/>
        <v>1.0084480874970843</v>
      </c>
      <c r="Z181" s="290">
        <f t="shared" ca="1" si="42"/>
        <v>1.0089965133730394</v>
      </c>
      <c r="AA181" s="290">
        <f t="shared" ca="1" si="42"/>
        <v>1.0091945442462251</v>
      </c>
      <c r="AB181" s="290">
        <f t="shared" ca="1" si="42"/>
        <v>1.0090556581570584</v>
      </c>
      <c r="AC181" s="290">
        <f t="shared" ca="1" si="42"/>
        <v>1.0085935590560355</v>
      </c>
      <c r="AD181" s="290">
        <f t="shared" ca="1" si="42"/>
        <v>1.0078221330365689</v>
      </c>
    </row>
    <row r="182" spans="1:30">
      <c r="A182" s="90">
        <v>96</v>
      </c>
      <c r="B182" s="90">
        <f t="shared" si="35"/>
        <v>0.38400000000000001</v>
      </c>
      <c r="C182" s="291">
        <f t="shared" ca="1" si="36"/>
        <v>-5.3961040896296939E-3</v>
      </c>
      <c r="D182" s="292">
        <f t="shared" ca="1" si="37"/>
        <v>0.17748993149503817</v>
      </c>
      <c r="E182" s="291">
        <f t="shared" ca="1" si="38"/>
        <v>-5.2813873883630841E-3</v>
      </c>
      <c r="F182" s="293">
        <f t="shared" ca="1" si="39"/>
        <v>0.99643047463780154</v>
      </c>
      <c r="T182" s="289">
        <f t="shared" ca="1" si="42"/>
        <v>1</v>
      </c>
      <c r="U182" s="290">
        <f t="shared" ca="1" si="42"/>
        <v>1.0024305115539498</v>
      </c>
      <c r="V182" s="290">
        <f t="shared" ca="1" si="42"/>
        <v>1.0044482083449668</v>
      </c>
      <c r="W182" s="290">
        <f t="shared" ca="1" si="42"/>
        <v>1.0060647960113633</v>
      </c>
      <c r="X182" s="290">
        <f t="shared" ca="1" si="42"/>
        <v>1.0072924465303703</v>
      </c>
      <c r="Y182" s="290">
        <f t="shared" ca="1" si="42"/>
        <v>1.0081437464893523</v>
      </c>
      <c r="Z182" s="290">
        <f t="shared" ca="1" si="42"/>
        <v>1.0086316466542471</v>
      </c>
      <c r="AA182" s="290">
        <f t="shared" ca="1" si="42"/>
        <v>1.0087694129998908</v>
      </c>
      <c r="AB182" s="290">
        <f t="shared" ca="1" si="42"/>
        <v>1.0085705793484847</v>
      </c>
      <c r="AC182" s="290">
        <f t="shared" ca="1" si="42"/>
        <v>1.0080489017434147</v>
      </c>
      <c r="AD182" s="290">
        <f t="shared" ca="1" si="42"/>
        <v>1.007218314667109</v>
      </c>
    </row>
    <row r="183" spans="1:30">
      <c r="A183" s="90">
        <v>97</v>
      </c>
      <c r="B183" s="90">
        <f t="shared" si="35"/>
        <v>0.38800000000000001</v>
      </c>
      <c r="C183" s="291">
        <f t="shared" ca="1" si="36"/>
        <v>-5.2744911131529211E-3</v>
      </c>
      <c r="D183" s="292">
        <f t="shared" ca="1" si="37"/>
        <v>0.34310128629848835</v>
      </c>
      <c r="E183" s="291">
        <f t="shared" ca="1" si="38"/>
        <v>-5.052735166587617E-3</v>
      </c>
      <c r="F183" s="293">
        <f t="shared" ca="1" si="39"/>
        <v>0.99640988038134104</v>
      </c>
      <c r="T183" s="289">
        <f t="shared" ca="1" si="42"/>
        <v>1</v>
      </c>
      <c r="U183" s="290">
        <f t="shared" ca="1" si="42"/>
        <v>1.0023160807921068</v>
      </c>
      <c r="V183" s="290">
        <f t="shared" ca="1" si="42"/>
        <v>1.0042192325803019</v>
      </c>
      <c r="W183" s="290">
        <f t="shared" ca="1" si="42"/>
        <v>1.0057212989531841</v>
      </c>
      <c r="X183" s="290">
        <f t="shared" ca="1" si="42"/>
        <v>1.006834583473891</v>
      </c>
      <c r="Y183" s="290">
        <f t="shared" ca="1" si="42"/>
        <v>1.0075717977621421</v>
      </c>
      <c r="Z183" s="290">
        <f t="shared" ca="1" si="42"/>
        <v>1.0079460109096323</v>
      </c>
      <c r="AA183" s="290">
        <f t="shared" ca="1" si="42"/>
        <v>1.0079706003919042</v>
      </c>
      <c r="AB183" s="290">
        <f t="shared" ca="1" si="42"/>
        <v>1.0076592046213084</v>
      </c>
      <c r="AC183" s="290">
        <f t="shared" ca="1" si="42"/>
        <v>1.0070256772665169</v>
      </c>
      <c r="AD183" s="290">
        <f t="shared" ca="1" si="42"/>
        <v>1.0060840434454654</v>
      </c>
    </row>
    <row r="184" spans="1:30">
      <c r="A184" s="90">
        <v>98</v>
      </c>
      <c r="B184" s="90">
        <f t="shared" si="35"/>
        <v>0.39200000000000002</v>
      </c>
      <c r="C184" s="291">
        <f t="shared" ca="1" si="36"/>
        <v>-5.0458442175692819E-3</v>
      </c>
      <c r="D184" s="292">
        <f t="shared" ca="1" si="37"/>
        <v>-0.43079417474804682</v>
      </c>
      <c r="E184" s="291">
        <f t="shared" ca="1" si="38"/>
        <v>-5.3242785278183056E-3</v>
      </c>
      <c r="F184" s="293">
        <f t="shared" ca="1" si="39"/>
        <v>0.99638920107798323</v>
      </c>
      <c r="T184" s="289">
        <f t="shared" ca="1" si="42"/>
        <v>1</v>
      </c>
      <c r="U184" s="290">
        <f t="shared" ca="1" si="42"/>
        <v>1.0024519782094599</v>
      </c>
      <c r="V184" s="290">
        <f t="shared" ca="1" si="42"/>
        <v>1.0044911659903821</v>
      </c>
      <c r="W184" s="290">
        <f t="shared" ca="1" si="42"/>
        <v>1.0061292430906852</v>
      </c>
      <c r="X184" s="290">
        <f t="shared" ca="1" si="42"/>
        <v>1.007378356784439</v>
      </c>
      <c r="Y184" s="290">
        <f t="shared" ca="1" si="42"/>
        <v>1.0082510701790268</v>
      </c>
      <c r="Z184" s="290">
        <f t="shared" ca="1" si="42"/>
        <v>1.0087603118127637</v>
      </c>
      <c r="AA184" s="290">
        <f t="shared" ca="1" si="42"/>
        <v>1.0089193267079146</v>
      </c>
      <c r="AB184" s="290">
        <f t="shared" ca="1" si="42"/>
        <v>1.0087416290256781</v>
      </c>
      <c r="AC184" s="290">
        <f t="shared" ca="1" si="42"/>
        <v>1.0082409564506645</v>
      </c>
      <c r="AD184" s="290">
        <f t="shared" ca="1" si="42"/>
        <v>1.0074312264139011</v>
      </c>
    </row>
    <row r="185" spans="1:30">
      <c r="A185" s="90">
        <v>99</v>
      </c>
      <c r="B185" s="90">
        <f t="shared" si="35"/>
        <v>0.39600000000000002</v>
      </c>
      <c r="C185" s="291">
        <f t="shared" ca="1" si="36"/>
        <v>-5.317381253508135E-3</v>
      </c>
      <c r="D185" s="292">
        <f t="shared" ca="1" si="37"/>
        <v>-0.79089866032844314</v>
      </c>
      <c r="E185" s="291">
        <f t="shared" ca="1" si="38"/>
        <v>-5.8285611530372317E-3</v>
      </c>
      <c r="F185" s="293">
        <f t="shared" ca="1" si="39"/>
        <v>0.99636697618781611</v>
      </c>
      <c r="T185" s="289">
        <f t="shared" ca="1" si="42"/>
        <v>1</v>
      </c>
      <c r="U185" s="290">
        <f t="shared" ca="1" si="42"/>
        <v>1.0027044019112561</v>
      </c>
      <c r="V185" s="290">
        <f t="shared" ca="1" si="42"/>
        <v>1.0049963683455523</v>
      </c>
      <c r="W185" s="290">
        <f t="shared" ca="1" si="42"/>
        <v>1.0068872743607111</v>
      </c>
      <c r="X185" s="290">
        <f t="shared" ca="1" si="42"/>
        <v>1.0083889763422691</v>
      </c>
      <c r="Y185" s="290">
        <f t="shared" ca="1" si="42"/>
        <v>1.0095137607441249</v>
      </c>
      <c r="Z185" s="290">
        <f t="shared" ca="1" si="42"/>
        <v>1.0102742940402496</v>
      </c>
      <c r="AA185" s="290">
        <f t="shared" ca="1" si="42"/>
        <v>1.0106835740556823</v>
      </c>
      <c r="AB185" s="290">
        <f t="shared" ca="1" si="42"/>
        <v>1.0107548828268949</v>
      </c>
      <c r="AC185" s="290">
        <f t="shared" ca="1" si="42"/>
        <v>1.010501741122813</v>
      </c>
      <c r="AD185" s="290">
        <f t="shared" ca="1" si="42"/>
        <v>1.0099378647394313</v>
      </c>
    </row>
    <row r="186" spans="1:30">
      <c r="A186" s="90">
        <v>100</v>
      </c>
      <c r="B186" s="90">
        <f t="shared" si="35"/>
        <v>0.4</v>
      </c>
      <c r="C186" s="291">
        <f t="shared" ca="1" si="36"/>
        <v>-5.8216521320404264E-3</v>
      </c>
      <c r="D186" s="292">
        <f t="shared" ca="1" si="37"/>
        <v>-0.55436301824437784</v>
      </c>
      <c r="E186" s="291">
        <f t="shared" ca="1" si="38"/>
        <v>-6.1799524379874951E-3</v>
      </c>
      <c r="F186" s="293">
        <f t="shared" ca="1" si="39"/>
        <v>0.99634304670242435</v>
      </c>
      <c r="T186" s="289">
        <f t="shared" ref="T186:AD195" ca="1" si="43">EXP(T$82-$E186*T$83)</f>
        <v>1</v>
      </c>
      <c r="U186" s="290">
        <f t="shared" ca="1" si="43"/>
        <v>1.0028803319022064</v>
      </c>
      <c r="V186" s="290">
        <f t="shared" ca="1" si="43"/>
        <v>1.0053485507161759</v>
      </c>
      <c r="W186" s="290">
        <f t="shared" ca="1" si="43"/>
        <v>1.0074158189048594</v>
      </c>
      <c r="X186" s="290">
        <f t="shared" ca="1" si="43"/>
        <v>1.0090937897044354</v>
      </c>
      <c r="Y186" s="290">
        <f t="shared" ca="1" si="43"/>
        <v>1.010394556178718</v>
      </c>
      <c r="Z186" s="290">
        <f t="shared" ca="1" si="43"/>
        <v>1.0113306014295314</v>
      </c>
      <c r="AA186" s="290">
        <f t="shared" ca="1" si="43"/>
        <v>1.0119147501334682</v>
      </c>
      <c r="AB186" s="290">
        <f t="shared" ca="1" si="43"/>
        <v>1.0121601215575027</v>
      </c>
      <c r="AC186" s="290">
        <f t="shared" ca="1" si="43"/>
        <v>1.0120800841872806</v>
      </c>
      <c r="AD186" s="290">
        <f t="shared" ca="1" si="43"/>
        <v>1.0116882120836916</v>
      </c>
    </row>
    <row r="187" spans="1:30">
      <c r="A187" s="90">
        <v>101</v>
      </c>
      <c r="B187" s="90">
        <f t="shared" si="35"/>
        <v>0.40400000000000003</v>
      </c>
      <c r="C187" s="291">
        <f t="shared" ca="1" si="36"/>
        <v>-6.173035231732852E-3</v>
      </c>
      <c r="D187" s="292">
        <f t="shared" ca="1" si="37"/>
        <v>0.38024558375307649</v>
      </c>
      <c r="E187" s="291">
        <f t="shared" ca="1" si="38"/>
        <v>-5.9272718880213314E-3</v>
      </c>
      <c r="F187" s="293">
        <f t="shared" ca="1" si="39"/>
        <v>0.99631892109697551</v>
      </c>
      <c r="T187" s="289">
        <f t="shared" ca="1" si="43"/>
        <v>1</v>
      </c>
      <c r="U187" s="290">
        <f t="shared" ca="1" si="43"/>
        <v>1.0027538199931549</v>
      </c>
      <c r="V187" s="290">
        <f t="shared" ca="1" si="43"/>
        <v>1.0050952888450109</v>
      </c>
      <c r="W187" s="290">
        <f t="shared" ca="1" si="43"/>
        <v>1.0070357219140922</v>
      </c>
      <c r="X187" s="290">
        <f t="shared" ca="1" si="43"/>
        <v>1.0085869185542766</v>
      </c>
      <c r="Y187" s="290">
        <f t="shared" ca="1" si="43"/>
        <v>1.0097611109426163</v>
      </c>
      <c r="Z187" s="290">
        <f t="shared" ca="1" si="43"/>
        <v>1.0105709141027306</v>
      </c>
      <c r="AA187" s="290">
        <f t="shared" ca="1" si="43"/>
        <v>1.0110292772926039</v>
      </c>
      <c r="AB187" s="290">
        <f t="shared" ca="1" si="43"/>
        <v>1.0111494369075629</v>
      </c>
      <c r="AC187" s="290">
        <f t="shared" ca="1" si="43"/>
        <v>1.0109448710304263</v>
      </c>
      <c r="AD187" s="290">
        <f t="shared" ca="1" si="43"/>
        <v>1.0104292557425296</v>
      </c>
    </row>
    <row r="188" spans="1:30">
      <c r="A188" s="90">
        <v>102</v>
      </c>
      <c r="B188" s="90">
        <f t="shared" si="35"/>
        <v>0.40800000000000003</v>
      </c>
      <c r="C188" s="291">
        <f t="shared" ca="1" si="36"/>
        <v>-5.9203605676709228E-3</v>
      </c>
      <c r="D188" s="292">
        <f t="shared" ca="1" si="37"/>
        <v>-0.72572740572916894</v>
      </c>
      <c r="E188" s="291">
        <f t="shared" ca="1" si="38"/>
        <v>-6.3894184646612773E-3</v>
      </c>
      <c r="F188" s="293">
        <f t="shared" ca="1" si="39"/>
        <v>0.99629437869597048</v>
      </c>
      <c r="T188" s="289">
        <f t="shared" ca="1" si="43"/>
        <v>1</v>
      </c>
      <c r="U188" s="290">
        <f t="shared" ca="1" si="43"/>
        <v>1.0029852192960012</v>
      </c>
      <c r="V188" s="290">
        <f t="shared" ca="1" si="43"/>
        <v>1.0055585470217483</v>
      </c>
      <c r="W188" s="290">
        <f t="shared" ca="1" si="43"/>
        <v>1.0077310188164261</v>
      </c>
      <c r="X188" s="290">
        <f t="shared" ca="1" si="43"/>
        <v>1.0095141666557015</v>
      </c>
      <c r="Y188" s="290">
        <f t="shared" ca="1" si="43"/>
        <v>1.0109199680976808</v>
      </c>
      <c r="Z188" s="290">
        <f t="shared" ca="1" si="43"/>
        <v>1.0119607966520898</v>
      </c>
      <c r="AA188" s="290">
        <f t="shared" ca="1" si="43"/>
        <v>1.0126493734443569</v>
      </c>
      <c r="AB188" s="290">
        <f t="shared" ca="1" si="43"/>
        <v>1.0129987203284747</v>
      </c>
      <c r="AC188" s="290">
        <f t="shared" ca="1" si="43"/>
        <v>1.0130221145839393</v>
      </c>
      <c r="AD188" s="290">
        <f t="shared" ca="1" si="43"/>
        <v>1.0127330453139389</v>
      </c>
    </row>
    <row r="189" spans="1:30">
      <c r="A189" s="90">
        <v>103</v>
      </c>
      <c r="B189" s="90">
        <f t="shared" si="35"/>
        <v>0.41200000000000003</v>
      </c>
      <c r="C189" s="291">
        <f t="shared" ca="1" si="36"/>
        <v>-6.3824963791352636E-3</v>
      </c>
      <c r="D189" s="292">
        <f t="shared" ca="1" si="37"/>
        <v>-0.72622298940134733</v>
      </c>
      <c r="E189" s="291">
        <f t="shared" ca="1" si="38"/>
        <v>-6.8518745856980829E-3</v>
      </c>
      <c r="F189" s="293">
        <f t="shared" ca="1" si="39"/>
        <v>0.99626799459366622</v>
      </c>
      <c r="T189" s="289">
        <f t="shared" ca="1" si="43"/>
        <v>1</v>
      </c>
      <c r="U189" s="290">
        <f t="shared" ca="1" si="43"/>
        <v>1.0032168270416606</v>
      </c>
      <c r="V189" s="290">
        <f t="shared" ca="1" si="43"/>
        <v>1.0060223292222128</v>
      </c>
      <c r="W189" s="290">
        <f t="shared" ca="1" si="43"/>
        <v>1.0084272619692571</v>
      </c>
      <c r="X189" s="290">
        <f t="shared" ca="1" si="43"/>
        <v>1.0104428891509336</v>
      </c>
      <c r="Y189" s="290">
        <f t="shared" ca="1" si="43"/>
        <v>1.0120809327566003</v>
      </c>
      <c r="Z189" s="290">
        <f t="shared" ca="1" si="43"/>
        <v>1.0133535236286839</v>
      </c>
      <c r="AA189" s="290">
        <f t="shared" ca="1" si="43"/>
        <v>1.0142731534201237</v>
      </c>
      <c r="AB189" s="290">
        <f t="shared" ca="1" si="43"/>
        <v>1.0148526279342727</v>
      </c>
      <c r="AC189" s="290">
        <f t="shared" ca="1" si="43"/>
        <v>1.0151050219857662</v>
      </c>
      <c r="AD189" s="290">
        <f t="shared" ca="1" si="43"/>
        <v>1.015043635902908</v>
      </c>
    </row>
    <row r="190" spans="1:30">
      <c r="A190" s="90">
        <v>104</v>
      </c>
      <c r="B190" s="90">
        <f t="shared" si="35"/>
        <v>0.41600000000000004</v>
      </c>
      <c r="C190" s="291">
        <f t="shared" ca="1" si="36"/>
        <v>-6.8449417277859819E-3</v>
      </c>
      <c r="D190" s="292">
        <f t="shared" ca="1" si="37"/>
        <v>-0.63781666946900106</v>
      </c>
      <c r="E190" s="291">
        <f t="shared" ca="1" si="38"/>
        <v>-7.2571804599666006E-3</v>
      </c>
      <c r="F190" s="293">
        <f t="shared" ca="1" si="39"/>
        <v>0.99623988219035564</v>
      </c>
      <c r="T190" s="289">
        <f t="shared" ca="1" si="43"/>
        <v>1</v>
      </c>
      <c r="U190" s="290">
        <f t="shared" ca="1" si="43"/>
        <v>1.0034198567189414</v>
      </c>
      <c r="V190" s="290">
        <f t="shared" ca="1" si="43"/>
        <v>1.0064289731827067</v>
      </c>
      <c r="W190" s="290">
        <f t="shared" ca="1" si="43"/>
        <v>1.0090378590428215</v>
      </c>
      <c r="X190" s="290">
        <f t="shared" ca="1" si="43"/>
        <v>1.0112575427970794</v>
      </c>
      <c r="Y190" s="290">
        <f t="shared" ca="1" si="43"/>
        <v>1.0130995218644279</v>
      </c>
      <c r="Z190" s="290">
        <f t="shared" ca="1" si="43"/>
        <v>1.0145757136481839</v>
      </c>
      <c r="AA190" s="290">
        <f t="shared" ca="1" si="43"/>
        <v>1.0156984077643132</v>
      </c>
      <c r="AB190" s="290">
        <f t="shared" ca="1" si="43"/>
        <v>1.0164802195941671</v>
      </c>
      <c r="AC190" s="290">
        <f t="shared" ca="1" si="43"/>
        <v>1.0169340453029132</v>
      </c>
      <c r="AD190" s="290">
        <f t="shared" ca="1" si="43"/>
        <v>1.0170730184470984</v>
      </c>
    </row>
    <row r="191" spans="1:30">
      <c r="A191" s="90">
        <v>105</v>
      </c>
      <c r="B191" s="90">
        <f t="shared" si="35"/>
        <v>0.42</v>
      </c>
      <c r="C191" s="291">
        <f t="shared" ca="1" si="36"/>
        <v>-7.2502381609180055E-3</v>
      </c>
      <c r="D191" s="292">
        <f t="shared" ca="1" si="37"/>
        <v>0.22215490724642187</v>
      </c>
      <c r="E191" s="291">
        <f t="shared" ca="1" si="38"/>
        <v>-7.1066532380165527E-3</v>
      </c>
      <c r="F191" s="293">
        <f t="shared" ca="1" si="39"/>
        <v>0.99621126295345741</v>
      </c>
      <c r="T191" s="289">
        <f t="shared" ca="1" si="43"/>
        <v>1</v>
      </c>
      <c r="U191" s="290">
        <f t="shared" ca="1" si="43"/>
        <v>1.0033444483939591</v>
      </c>
      <c r="V191" s="290">
        <f t="shared" ca="1" si="43"/>
        <v>1.0062779298234006</v>
      </c>
      <c r="W191" s="290">
        <f t="shared" ca="1" si="43"/>
        <v>1.0088110452366779</v>
      </c>
      <c r="X191" s="290">
        <f t="shared" ca="1" si="43"/>
        <v>1.0109549105859319</v>
      </c>
      <c r="Y191" s="290">
        <f t="shared" ca="1" si="43"/>
        <v>1.0127211067541468</v>
      </c>
      <c r="Z191" s="290">
        <f t="shared" ca="1" si="43"/>
        <v>1.0141216304938345</v>
      </c>
      <c r="AA191" s="290">
        <f t="shared" ca="1" si="43"/>
        <v>1.0151688465532411</v>
      </c>
      <c r="AB191" s="290">
        <f t="shared" ca="1" si="43"/>
        <v>1.0158754411485369</v>
      </c>
      <c r="AC191" s="290">
        <f t="shared" ca="1" si="43"/>
        <v>1.0162543769222216</v>
      </c>
      <c r="AD191" s="290">
        <f t="shared" ca="1" si="43"/>
        <v>1.0163188495101219</v>
      </c>
    </row>
    <row r="192" spans="1:30">
      <c r="A192" s="90">
        <v>106</v>
      </c>
      <c r="B192" s="90">
        <f t="shared" si="35"/>
        <v>0.42399999999999999</v>
      </c>
      <c r="C192" s="291">
        <f t="shared" ca="1" si="36"/>
        <v>-7.0997144453273237E-3</v>
      </c>
      <c r="D192" s="292">
        <f t="shared" ca="1" si="37"/>
        <v>-0.22470178584439965</v>
      </c>
      <c r="E192" s="291">
        <f t="shared" ca="1" si="38"/>
        <v>-7.2449454870188706E-3</v>
      </c>
      <c r="F192" s="293">
        <f t="shared" ca="1" si="39"/>
        <v>0.99618266891524698</v>
      </c>
      <c r="T192" s="289">
        <f t="shared" ca="1" si="43"/>
        <v>1</v>
      </c>
      <c r="U192" s="290">
        <f t="shared" ca="1" si="43"/>
        <v>1.0034137272583963</v>
      </c>
      <c r="V192" s="290">
        <f t="shared" ca="1" si="43"/>
        <v>1.0064166954112495</v>
      </c>
      <c r="W192" s="290">
        <f t="shared" ca="1" si="43"/>
        <v>1.0090194215314601</v>
      </c>
      <c r="X192" s="290">
        <f t="shared" ca="1" si="43"/>
        <v>1.0112329412268541</v>
      </c>
      <c r="Y192" s="290">
        <f t="shared" ca="1" si="43"/>
        <v>1.0130687587029896</v>
      </c>
      <c r="Z192" s="290">
        <f t="shared" ca="1" si="43"/>
        <v>1.0145387978161868</v>
      </c>
      <c r="AA192" s="290">
        <f t="shared" ca="1" si="43"/>
        <v>1.0156553542934452</v>
      </c>
      <c r="AB192" s="290">
        <f t="shared" ca="1" si="43"/>
        <v>1.0164310492785666</v>
      </c>
      <c r="AC192" s="290">
        <f t="shared" ca="1" si="43"/>
        <v>1.0168787843456419</v>
      </c>
      <c r="AD192" s="290">
        <f t="shared" ca="1" si="43"/>
        <v>1.01701169810325</v>
      </c>
    </row>
    <row r="193" spans="1:30">
      <c r="A193" s="90">
        <v>107</v>
      </c>
      <c r="B193" s="90">
        <f t="shared" si="35"/>
        <v>0.42799999999999999</v>
      </c>
      <c r="C193" s="291">
        <f t="shared" ca="1" si="36"/>
        <v>-7.2380034729699677E-3</v>
      </c>
      <c r="D193" s="292">
        <f t="shared" ca="1" si="37"/>
        <v>0.38122375133063963</v>
      </c>
      <c r="E193" s="291">
        <f t="shared" ca="1" si="38"/>
        <v>-6.9916079122259722E-3</v>
      </c>
      <c r="F193" s="293">
        <f t="shared" ca="1" si="39"/>
        <v>0.99615430490353185</v>
      </c>
      <c r="T193" s="289">
        <f t="shared" ca="1" si="43"/>
        <v>1</v>
      </c>
      <c r="U193" s="290">
        <f t="shared" ca="1" si="43"/>
        <v>1.003286818949443</v>
      </c>
      <c r="V193" s="290">
        <f t="shared" ca="1" si="43"/>
        <v>1.0061625053061536</v>
      </c>
      <c r="W193" s="290">
        <f t="shared" ca="1" si="43"/>
        <v>1.0086377297815272</v>
      </c>
      <c r="X193" s="290">
        <f t="shared" ca="1" si="43"/>
        <v>1.0107236751363795</v>
      </c>
      <c r="Y193" s="290">
        <f t="shared" ca="1" si="43"/>
        <v>1.0124319859961484</v>
      </c>
      <c r="Z193" s="290">
        <f t="shared" ca="1" si="43"/>
        <v>1.013774719695568</v>
      </c>
      <c r="AA193" s="290">
        <f t="shared" ca="1" si="43"/>
        <v>1.0147642983280465</v>
      </c>
      <c r="AB193" s="290">
        <f t="shared" ca="1" si="43"/>
        <v>1.0154134621574886</v>
      </c>
      <c r="AC193" s="290">
        <f t="shared" ca="1" si="43"/>
        <v>1.0157352245320266</v>
      </c>
      <c r="AD193" s="290">
        <f t="shared" ca="1" si="43"/>
        <v>1.0157428284212091</v>
      </c>
    </row>
    <row r="194" spans="1:30">
      <c r="A194" s="90">
        <v>108</v>
      </c>
      <c r="B194" s="90">
        <f t="shared" si="35"/>
        <v>0.432</v>
      </c>
      <c r="C194" s="291">
        <f t="shared" ca="1" si="36"/>
        <v>-6.9846717993859459E-3</v>
      </c>
      <c r="D194" s="292">
        <f t="shared" ca="1" si="37"/>
        <v>-0.52326485496928687</v>
      </c>
      <c r="E194" s="291">
        <f t="shared" ca="1" si="38"/>
        <v>-7.322872493618033E-3</v>
      </c>
      <c r="F194" s="293">
        <f t="shared" ca="1" si="39"/>
        <v>0.99612578644920313</v>
      </c>
      <c r="T194" s="289">
        <f t="shared" ca="1" si="43"/>
        <v>1</v>
      </c>
      <c r="U194" s="290">
        <f t="shared" ca="1" si="43"/>
        <v>1.0034527676671918</v>
      </c>
      <c r="V194" s="290">
        <f t="shared" ca="1" si="43"/>
        <v>1.0064948975713162</v>
      </c>
      <c r="W194" s="290">
        <f t="shared" ca="1" si="43"/>
        <v>1.0091368595150716</v>
      </c>
      <c r="X194" s="290">
        <f t="shared" ca="1" si="43"/>
        <v>1.0113896438161307</v>
      </c>
      <c r="Y194" s="290">
        <f t="shared" ca="1" si="43"/>
        <v>1.0132647114470663</v>
      </c>
      <c r="Z194" s="290">
        <f t="shared" ca="1" si="43"/>
        <v>1.0147739451534545</v>
      </c>
      <c r="AA194" s="290">
        <f t="shared" ca="1" si="43"/>
        <v>1.0159296017272468</v>
      </c>
      <c r="AB194" s="290">
        <f t="shared" ca="1" si="43"/>
        <v>1.0167442655952137</v>
      </c>
      <c r="AC194" s="290">
        <f t="shared" ca="1" si="43"/>
        <v>1.0172308038641271</v>
      </c>
      <c r="AD194" s="290">
        <f t="shared" ca="1" si="43"/>
        <v>1.0174023229465834</v>
      </c>
    </row>
    <row r="195" spans="1:30">
      <c r="A195" s="90">
        <v>109</v>
      </c>
      <c r="B195" s="90">
        <f t="shared" si="35"/>
        <v>0.436</v>
      </c>
      <c r="C195" s="291">
        <f t="shared" ca="1" si="36"/>
        <v>-7.3159286643486943E-3</v>
      </c>
      <c r="D195" s="292">
        <f t="shared" ca="1" si="37"/>
        <v>-2.06754279224673</v>
      </c>
      <c r="E195" s="291">
        <f t="shared" ca="1" si="38"/>
        <v>-8.6522393319807388E-3</v>
      </c>
      <c r="F195" s="293">
        <f t="shared" ca="1" si="39"/>
        <v>0.99609396051596688</v>
      </c>
      <c r="T195" s="289">
        <f t="shared" ca="1" si="43"/>
        <v>1</v>
      </c>
      <c r="U195" s="290">
        <f t="shared" ca="1" si="43"/>
        <v>1.0041189970524107</v>
      </c>
      <c r="V195" s="290">
        <f t="shared" ca="1" si="43"/>
        <v>1.0078298946936384</v>
      </c>
      <c r="W195" s="290">
        <f t="shared" ca="1" si="43"/>
        <v>1.0111423559418422</v>
      </c>
      <c r="X195" s="290">
        <f t="shared" ca="1" si="43"/>
        <v>1.0140665970240077</v>
      </c>
      <c r="Y195" s="290">
        <f t="shared" ca="1" si="43"/>
        <v>1.0166133388994973</v>
      </c>
      <c r="Z195" s="290">
        <f t="shared" ca="1" si="43"/>
        <v>1.0187937595580783</v>
      </c>
      <c r="AA195" s="290">
        <f t="shared" ca="1" si="43"/>
        <v>1.0206194472764201</v>
      </c>
      <c r="AB195" s="290">
        <f t="shared" ca="1" si="43"/>
        <v>1.0221023550005419</v>
      </c>
      <c r="AC195" s="290">
        <f t="shared" ca="1" si="43"/>
        <v>1.0232547560042353</v>
      </c>
      <c r="AD195" s="290">
        <f t="shared" ca="1" si="43"/>
        <v>1.0240892009562779</v>
      </c>
    </row>
    <row r="196" spans="1:30">
      <c r="A196" s="90">
        <v>110</v>
      </c>
      <c r="B196" s="90">
        <f t="shared" si="35"/>
        <v>0.44</v>
      </c>
      <c r="C196" s="291">
        <f t="shared" ca="1" si="36"/>
        <v>-8.6452645366322765E-3</v>
      </c>
      <c r="D196" s="292">
        <f t="shared" ca="1" si="37"/>
        <v>-0.16585946612097779</v>
      </c>
      <c r="E196" s="291">
        <f t="shared" ca="1" si="38"/>
        <v>-8.7524641432069825E-3</v>
      </c>
      <c r="F196" s="293">
        <f t="shared" ca="1" si="39"/>
        <v>0.99605928767940843</v>
      </c>
      <c r="T196" s="289">
        <f t="shared" ref="T196:AD205" ca="1" si="44">EXP(T$82-$E196*T$83)</f>
        <v>1</v>
      </c>
      <c r="U196" s="290">
        <f t="shared" ca="1" si="44"/>
        <v>1.0041692439407726</v>
      </c>
      <c r="V196" s="290">
        <f t="shared" ca="1" si="44"/>
        <v>1.0079306157411145</v>
      </c>
      <c r="W196" s="290">
        <f t="shared" ca="1" si="44"/>
        <v>1.0112937175898302</v>
      </c>
      <c r="X196" s="290">
        <f t="shared" ca="1" si="44"/>
        <v>1.014268707266154</v>
      </c>
      <c r="Y196" s="290">
        <f t="shared" ca="1" si="44"/>
        <v>1.0168662497727299</v>
      </c>
      <c r="Z196" s="290">
        <f t="shared" ca="1" si="44"/>
        <v>1.0190974697278607</v>
      </c>
      <c r="AA196" s="290">
        <f t="shared" ca="1" si="44"/>
        <v>1.0209739047015014</v>
      </c>
      <c r="AB196" s="290">
        <f t="shared" ca="1" si="44"/>
        <v>1.0225074596630206</v>
      </c>
      <c r="AC196" s="290">
        <f t="shared" ca="1" si="44"/>
        <v>1.0237103626913489</v>
      </c>
      <c r="AD196" s="290">
        <f t="shared" ca="1" si="44"/>
        <v>1.024595122080973</v>
      </c>
    </row>
    <row r="197" spans="1:30">
      <c r="A197" s="90">
        <v>111</v>
      </c>
      <c r="B197" s="90">
        <f t="shared" si="35"/>
        <v>0.44400000000000001</v>
      </c>
      <c r="C197" s="291">
        <f t="shared" ca="1" si="36"/>
        <v>-8.7454870132362434E-3</v>
      </c>
      <c r="D197" s="292">
        <f t="shared" ca="1" si="37"/>
        <v>0.57661073168577337</v>
      </c>
      <c r="E197" s="291">
        <f t="shared" ca="1" si="38"/>
        <v>-8.3728073885569847E-3</v>
      </c>
      <c r="F197" s="293">
        <f t="shared" ca="1" si="39"/>
        <v>0.99602517269211377</v>
      </c>
      <c r="T197" s="289">
        <f t="shared" ca="1" si="44"/>
        <v>1</v>
      </c>
      <c r="U197" s="290">
        <f t="shared" ca="1" si="44"/>
        <v>1.0039789194124067</v>
      </c>
      <c r="V197" s="290">
        <f t="shared" ca="1" si="44"/>
        <v>1.0075491323639623</v>
      </c>
      <c r="W197" s="290">
        <f t="shared" ca="1" si="44"/>
        <v>1.0107204714794202</v>
      </c>
      <c r="X197" s="290">
        <f t="shared" ca="1" si="44"/>
        <v>1.013503315890538</v>
      </c>
      <c r="Y197" s="290">
        <f t="shared" ca="1" si="44"/>
        <v>1.0159085424582723</v>
      </c>
      <c r="Z197" s="290">
        <f t="shared" ca="1" si="44"/>
        <v>1.0179474778119646</v>
      </c>
      <c r="AA197" s="290">
        <f t="shared" ca="1" si="44"/>
        <v>1.0196318513881399</v>
      </c>
      <c r="AB197" s="290">
        <f t="shared" ca="1" si="44"/>
        <v>1.0209737496348559</v>
      </c>
      <c r="AC197" s="290">
        <f t="shared" ca="1" si="44"/>
        <v>1.0219855715299451</v>
      </c>
      <c r="AD197" s="290">
        <f t="shared" ca="1" si="44"/>
        <v>1.022679985544154</v>
      </c>
    </row>
    <row r="198" spans="1:30">
      <c r="A198" s="90">
        <v>112</v>
      </c>
      <c r="B198" s="90">
        <f t="shared" si="35"/>
        <v>0.44800000000000001</v>
      </c>
      <c r="C198" s="291">
        <f t="shared" ca="1" si="36"/>
        <v>-8.3658391022558513E-3</v>
      </c>
      <c r="D198" s="292">
        <f t="shared" ca="1" si="37"/>
        <v>-1.1521118588691881</v>
      </c>
      <c r="E198" s="291">
        <f t="shared" ca="1" si="38"/>
        <v>-9.1104811832254402E-3</v>
      </c>
      <c r="F198" s="293">
        <f t="shared" ca="1" si="39"/>
        <v>0.99599034570996958</v>
      </c>
      <c r="T198" s="289">
        <f t="shared" ca="1" si="44"/>
        <v>1</v>
      </c>
      <c r="U198" s="290">
        <f t="shared" ca="1" si="44"/>
        <v>1.0043487533857849</v>
      </c>
      <c r="V198" s="290">
        <f t="shared" ca="1" si="44"/>
        <v>1.0082904876133307</v>
      </c>
      <c r="W198" s="290">
        <f t="shared" ca="1" si="44"/>
        <v>1.0118345876128703</v>
      </c>
      <c r="X198" s="290">
        <f t="shared" ca="1" si="44"/>
        <v>1.0149910023168183</v>
      </c>
      <c r="Y198" s="290">
        <f t="shared" ca="1" si="44"/>
        <v>1.0177701966893689</v>
      </c>
      <c r="Z198" s="290">
        <f t="shared" ca="1" si="44"/>
        <v>1.0201831044612233</v>
      </c>
      <c r="AA198" s="290">
        <f t="shared" ca="1" si="44"/>
        <v>1.0222410817556027</v>
      </c>
      <c r="AB198" s="290">
        <f t="shared" ca="1" si="44"/>
        <v>1.0239558617754643</v>
      </c>
      <c r="AC198" s="290">
        <f t="shared" ca="1" si="44"/>
        <v>1.0253395107046317</v>
      </c>
      <c r="AD198" s="290">
        <f t="shared" ca="1" si="44"/>
        <v>1.0264043849585465</v>
      </c>
    </row>
    <row r="199" spans="1:30">
      <c r="A199" s="90">
        <v>113</v>
      </c>
      <c r="B199" s="90">
        <f t="shared" si="35"/>
        <v>0.45200000000000001</v>
      </c>
      <c r="C199" s="291">
        <f t="shared" ca="1" si="36"/>
        <v>-9.1034957136574817E-3</v>
      </c>
      <c r="D199" s="292">
        <f t="shared" ca="1" si="37"/>
        <v>3.719811008681316E-3</v>
      </c>
      <c r="E199" s="291">
        <f t="shared" ca="1" si="38"/>
        <v>-9.1010914958821031E-3</v>
      </c>
      <c r="F199" s="293">
        <f t="shared" ca="1" si="39"/>
        <v>0.99595406926948749</v>
      </c>
      <c r="T199" s="289">
        <f t="shared" ca="1" si="44"/>
        <v>1</v>
      </c>
      <c r="U199" s="290">
        <f t="shared" ca="1" si="44"/>
        <v>1.0043440449946415</v>
      </c>
      <c r="V199" s="290">
        <f t="shared" ca="1" si="44"/>
        <v>1.0082810476388939</v>
      </c>
      <c r="W199" s="290">
        <f t="shared" ca="1" si="44"/>
        <v>1.0118203985601859</v>
      </c>
      <c r="X199" s="290">
        <f t="shared" ca="1" si="44"/>
        <v>1.0149720521694248</v>
      </c>
      <c r="Y199" s="290">
        <f t="shared" ca="1" si="44"/>
        <v>1.0177464786800761</v>
      </c>
      <c r="Z199" s="290">
        <f t="shared" ca="1" si="44"/>
        <v>1.0201546168337943</v>
      </c>
      <c r="AA199" s="290">
        <f t="shared" ca="1" si="44"/>
        <v>1.0222078275187085</v>
      </c>
      <c r="AB199" s="290">
        <f t="shared" ca="1" si="44"/>
        <v>1.0239178484502358</v>
      </c>
      <c r="AC199" s="290">
        <f t="shared" ca="1" si="44"/>
        <v>1.0252967500670787</v>
      </c>
      <c r="AD199" s="290">
        <f t="shared" ca="1" si="44"/>
        <v>1.0263568927780582</v>
      </c>
    </row>
    <row r="200" spans="1:30">
      <c r="A200" s="90">
        <v>114</v>
      </c>
      <c r="B200" s="90">
        <f t="shared" si="35"/>
        <v>0.45600000000000002</v>
      </c>
      <c r="C200" s="291">
        <f t="shared" ca="1" si="36"/>
        <v>-9.0941062450361661E-3</v>
      </c>
      <c r="D200" s="292">
        <f t="shared" ca="1" si="37"/>
        <v>-0.97749921305851117</v>
      </c>
      <c r="E200" s="291">
        <f t="shared" ca="1" si="38"/>
        <v>-9.725891294859762E-3</v>
      </c>
      <c r="F200" s="293">
        <f t="shared" ca="1" si="39"/>
        <v>0.99591656835527598</v>
      </c>
      <c r="T200" s="289">
        <f t="shared" ca="1" si="44"/>
        <v>1</v>
      </c>
      <c r="U200" s="290">
        <f t="shared" ca="1" si="44"/>
        <v>1.0046573944944024</v>
      </c>
      <c r="V200" s="290">
        <f t="shared" ca="1" si="44"/>
        <v>1.0089093863563536</v>
      </c>
      <c r="W200" s="290">
        <f t="shared" ca="1" si="44"/>
        <v>1.0127649872597848</v>
      </c>
      <c r="X200" s="290">
        <f t="shared" ca="1" si="44"/>
        <v>1.0162337869901776</v>
      </c>
      <c r="Y200" s="290">
        <f t="shared" ca="1" si="44"/>
        <v>1.0193259061765323</v>
      </c>
      <c r="Z200" s="290">
        <f t="shared" ca="1" si="44"/>
        <v>1.0220519496361065</v>
      </c>
      <c r="AA200" s="290">
        <f t="shared" ca="1" si="44"/>
        <v>1.024422960520798</v>
      </c>
      <c r="AB200" s="290">
        <f t="shared" ca="1" si="44"/>
        <v>1.0264503754382008</v>
      </c>
      <c r="AC200" s="290">
        <f t="shared" ca="1" si="44"/>
        <v>1.0281459807034978</v>
      </c>
      <c r="AD200" s="290">
        <f t="shared" ca="1" si="44"/>
        <v>1.0295218698616255</v>
      </c>
    </row>
    <row r="201" spans="1:30">
      <c r="A201" s="90">
        <v>115</v>
      </c>
      <c r="B201" s="90">
        <f t="shared" si="35"/>
        <v>0.46</v>
      </c>
      <c r="C201" s="291">
        <f t="shared" ca="1" si="36"/>
        <v>-9.7188914900175512E-3</v>
      </c>
      <c r="D201" s="292">
        <f t="shared" ca="1" si="37"/>
        <v>-0.1100824264670747</v>
      </c>
      <c r="E201" s="291">
        <f t="shared" ca="1" si="38"/>
        <v>-9.7900408376191649E-3</v>
      </c>
      <c r="F201" s="293">
        <f t="shared" ca="1" si="39"/>
        <v>0.9958776966335835</v>
      </c>
      <c r="T201" s="289">
        <f t="shared" ca="1" si="44"/>
        <v>1</v>
      </c>
      <c r="U201" s="290">
        <f t="shared" ca="1" si="44"/>
        <v>1.004689572296843</v>
      </c>
      <c r="V201" s="290">
        <f t="shared" ca="1" si="44"/>
        <v>1.0089739214087525</v>
      </c>
      <c r="W201" s="290">
        <f t="shared" ca="1" si="44"/>
        <v>1.0128620201219802</v>
      </c>
      <c r="X201" s="290">
        <f t="shared" ca="1" si="44"/>
        <v>1.0163634207795664</v>
      </c>
      <c r="Y201" s="290">
        <f t="shared" ca="1" si="44"/>
        <v>1.0194882080880014</v>
      </c>
      <c r="Z201" s="290">
        <f t="shared" ca="1" si="44"/>
        <v>1.0222469525270843</v>
      </c>
      <c r="AA201" s="290">
        <f t="shared" ca="1" si="44"/>
        <v>1.0246506645521203</v>
      </c>
      <c r="AB201" s="290">
        <f t="shared" ca="1" si="44"/>
        <v>1.0267107497618038</v>
      </c>
      <c r="AC201" s="290">
        <f t="shared" ca="1" si="44"/>
        <v>1.0284389651882939</v>
      </c>
      <c r="AD201" s="290">
        <f t="shared" ca="1" si="44"/>
        <v>1.0298473768493055</v>
      </c>
    </row>
    <row r="202" spans="1:30">
      <c r="A202" s="90">
        <v>116</v>
      </c>
      <c r="B202" s="90">
        <f t="shared" si="35"/>
        <v>0.46400000000000002</v>
      </c>
      <c r="C202" s="291">
        <f t="shared" ca="1" si="36"/>
        <v>-9.7830395384867711E-3</v>
      </c>
      <c r="D202" s="292">
        <f t="shared" ca="1" si="37"/>
        <v>-0.46093163446310481</v>
      </c>
      <c r="E202" s="291">
        <f t="shared" ca="1" si="38"/>
        <v>-1.0080952530900723E-2</v>
      </c>
      <c r="F202" s="293">
        <f t="shared" ca="1" si="39"/>
        <v>0.99583811926181909</v>
      </c>
      <c r="T202" s="289">
        <f t="shared" ca="1" si="44"/>
        <v>1</v>
      </c>
      <c r="U202" s="290">
        <f t="shared" ca="1" si="44"/>
        <v>1.0048355083136948</v>
      </c>
      <c r="V202" s="290">
        <f t="shared" ca="1" si="44"/>
        <v>1.0092666331599602</v>
      </c>
      <c r="W202" s="290">
        <f t="shared" ca="1" si="44"/>
        <v>1.0133021710333967</v>
      </c>
      <c r="X202" s="290">
        <f t="shared" ca="1" si="44"/>
        <v>1.0169515044788977</v>
      </c>
      <c r="Y202" s="290">
        <f t="shared" ca="1" si="44"/>
        <v>1.0202245552404987</v>
      </c>
      <c r="Z202" s="290">
        <f t="shared" ca="1" si="44"/>
        <v>1.0231317379701306</v>
      </c>
      <c r="AA202" s="290">
        <f t="shared" ca="1" si="44"/>
        <v>1.0256839146866239</v>
      </c>
      <c r="AB202" s="290">
        <f t="shared" ca="1" si="44"/>
        <v>1.0278923501597066</v>
      </c>
      <c r="AC202" s="290">
        <f t="shared" ca="1" si="44"/>
        <v>1.0297686683770597</v>
      </c>
      <c r="AD202" s="290">
        <f t="shared" ca="1" si="44"/>
        <v>1.0313248102359516</v>
      </c>
    </row>
    <row r="203" spans="1:30">
      <c r="A203" s="90">
        <v>117</v>
      </c>
      <c r="B203" s="90">
        <f t="shared" si="35"/>
        <v>0.46800000000000003</v>
      </c>
      <c r="C203" s="291">
        <f t="shared" ca="1" si="36"/>
        <v>-1.0073944455313365E-2</v>
      </c>
      <c r="D203" s="292">
        <f t="shared" ca="1" si="37"/>
        <v>0.47410343697892171</v>
      </c>
      <c r="E203" s="291">
        <f t="shared" ca="1" si="38"/>
        <v>-9.7675181589524113E-3</v>
      </c>
      <c r="F203" s="293">
        <f t="shared" ca="1" si="39"/>
        <v>0.99579858831900903</v>
      </c>
      <c r="T203" s="289">
        <f t="shared" ca="1" si="44"/>
        <v>1</v>
      </c>
      <c r="U203" s="290">
        <f t="shared" ca="1" si="44"/>
        <v>1.0046782746662675</v>
      </c>
      <c r="V203" s="290">
        <f t="shared" ca="1" si="44"/>
        <v>1.008951262908786</v>
      </c>
      <c r="W203" s="290">
        <f t="shared" ca="1" si="44"/>
        <v>1.0128279511666256</v>
      </c>
      <c r="X203" s="290">
        <f t="shared" ca="1" si="44"/>
        <v>1.0163179049287769</v>
      </c>
      <c r="Y203" s="290">
        <f t="shared" ca="1" si="44"/>
        <v>1.0194312215145553</v>
      </c>
      <c r="Z203" s="290">
        <f t="shared" ca="1" si="44"/>
        <v>1.0221784834605629</v>
      </c>
      <c r="AA203" s="290">
        <f t="shared" ca="1" si="44"/>
        <v>1.0245707127032582</v>
      </c>
      <c r="AB203" s="290">
        <f t="shared" ca="1" si="44"/>
        <v>1.0266193257303615</v>
      </c>
      <c r="AC203" s="290">
        <f t="shared" ca="1" si="44"/>
        <v>1.0283360898574916</v>
      </c>
      <c r="AD203" s="290">
        <f t="shared" ca="1" si="44"/>
        <v>1.0297330807697143</v>
      </c>
    </row>
    <row r="204" spans="1:30">
      <c r="A204" s="90">
        <v>118</v>
      </c>
      <c r="B204" s="90">
        <f t="shared" si="35"/>
        <v>0.47200000000000003</v>
      </c>
      <c r="C204" s="291">
        <f t="shared" ca="1" si="36"/>
        <v>-9.7605173844600417E-3</v>
      </c>
      <c r="D204" s="292">
        <f t="shared" ca="1" si="37"/>
        <v>-0.43767370534603534</v>
      </c>
      <c r="E204" s="291">
        <f t="shared" ca="1" si="38"/>
        <v>-1.0043398127528191E-2</v>
      </c>
      <c r="F204" s="293">
        <f t="shared" ca="1" si="39"/>
        <v>0.99575913373570279</v>
      </c>
      <c r="T204" s="289">
        <f t="shared" ca="1" si="44"/>
        <v>1</v>
      </c>
      <c r="U204" s="290">
        <f t="shared" ca="1" si="44"/>
        <v>1.0048166679342772</v>
      </c>
      <c r="V204" s="290">
        <f t="shared" ca="1" si="44"/>
        <v>1.0092288416102797</v>
      </c>
      <c r="W204" s="290">
        <f t="shared" ca="1" si="44"/>
        <v>1.0132453402745607</v>
      </c>
      <c r="X204" s="290">
        <f t="shared" ca="1" si="44"/>
        <v>1.0168755683912813</v>
      </c>
      <c r="Y204" s="290">
        <f t="shared" ca="1" si="44"/>
        <v>1.0201294687465698</v>
      </c>
      <c r="Z204" s="290">
        <f t="shared" ca="1" si="44"/>
        <v>1.0230174761183592</v>
      </c>
      <c r="AA204" s="290">
        <f t="shared" ca="1" si="44"/>
        <v>1.0255504717019031</v>
      </c>
      <c r="AB204" s="290">
        <f t="shared" ca="1" si="44"/>
        <v>1.0277397384655274</v>
      </c>
      <c r="AC204" s="290">
        <f t="shared" ca="1" si="44"/>
        <v>1.0295969175944888</v>
      </c>
      <c r="AD204" s="290">
        <f t="shared" ca="1" si="44"/>
        <v>1.0311339661642436</v>
      </c>
    </row>
    <row r="205" spans="1:30">
      <c r="A205" s="90">
        <v>119</v>
      </c>
      <c r="B205" s="90">
        <f t="shared" si="35"/>
        <v>0.47600000000000003</v>
      </c>
      <c r="C205" s="291">
        <f t="shared" ca="1" si="36"/>
        <v>-1.003639092672768E-2</v>
      </c>
      <c r="D205" s="292">
        <f t="shared" ca="1" si="37"/>
        <v>0.58082198902905957</v>
      </c>
      <c r="E205" s="291">
        <f t="shared" ca="1" si="38"/>
        <v>-9.6609894487774371E-3</v>
      </c>
      <c r="F205" s="293">
        <f t="shared" ca="1" si="39"/>
        <v>0.99571989286111773</v>
      </c>
      <c r="T205" s="289">
        <f t="shared" ca="1" si="44"/>
        <v>1</v>
      </c>
      <c r="U205" s="290">
        <f t="shared" ca="1" si="44"/>
        <v>1.004624840380798</v>
      </c>
      <c r="V205" s="290">
        <f t="shared" ca="1" si="44"/>
        <v>1.0088440986802549</v>
      </c>
      <c r="W205" s="290">
        <f t="shared" ca="1" si="44"/>
        <v>1.0126668259204608</v>
      </c>
      <c r="X205" s="290">
        <f t="shared" ca="1" si="44"/>
        <v>1.0161026497679659</v>
      </c>
      <c r="Y205" s="290">
        <f t="shared" ca="1" si="44"/>
        <v>1.0191617271904601</v>
      </c>
      <c r="Z205" s="290">
        <f t="shared" ca="1" si="44"/>
        <v>1.0218546977359226</v>
      </c>
      <c r="AA205" s="290">
        <f t="shared" ca="1" si="44"/>
        <v>1.0241926376228347</v>
      </c>
      <c r="AB205" s="290">
        <f t="shared" ca="1" si="44"/>
        <v>1.0261870148141679</v>
      </c>
      <c r="AC205" s="290">
        <f t="shared" ca="1" si="44"/>
        <v>1.0278496452309525</v>
      </c>
      <c r="AD205" s="290">
        <f t="shared" ca="1" si="44"/>
        <v>1.0291926502444815</v>
      </c>
    </row>
    <row r="206" spans="1:30">
      <c r="A206" s="90">
        <v>120</v>
      </c>
      <c r="B206" s="90">
        <f t="shared" si="35"/>
        <v>0.48</v>
      </c>
      <c r="C206" s="291">
        <f t="shared" ca="1" si="36"/>
        <v>-9.6539911557494557E-3</v>
      </c>
      <c r="D206" s="292">
        <f t="shared" ca="1" si="37"/>
        <v>-0.27677587030980594</v>
      </c>
      <c r="E206" s="291">
        <f t="shared" ca="1" si="38"/>
        <v>-9.8328791330262039E-3</v>
      </c>
      <c r="F206" s="293">
        <f t="shared" ca="1" si="39"/>
        <v>0.99568107275240525</v>
      </c>
      <c r="T206" s="289">
        <f t="shared" ref="T206:AD215" ca="1" si="45">EXP(T$82-$E206*T$83)</f>
        <v>1</v>
      </c>
      <c r="U206" s="290">
        <f t="shared" ca="1" si="45"/>
        <v>1.0047110608213619</v>
      </c>
      <c r="V206" s="290">
        <f t="shared" ca="1" si="45"/>
        <v>1.0090170194415915</v>
      </c>
      <c r="W206" s="290">
        <f t="shared" ca="1" si="45"/>
        <v>1.0129268226807362</v>
      </c>
      <c r="X206" s="290">
        <f t="shared" ca="1" si="45"/>
        <v>1.0164499978780612</v>
      </c>
      <c r="Y206" s="290">
        <f t="shared" ca="1" si="45"/>
        <v>1.0195966057487453</v>
      </c>
      <c r="Z206" s="290">
        <f t="shared" ca="1" si="45"/>
        <v>1.0223771938373827</v>
      </c>
      <c r="AA206" s="290">
        <f t="shared" ca="1" si="45"/>
        <v>1.0248027507576185</v>
      </c>
      <c r="AB206" s="290">
        <f t="shared" ca="1" si="45"/>
        <v>1.0268846613914695</v>
      </c>
      <c r="AC206" s="290">
        <f t="shared" ca="1" si="45"/>
        <v>1.0286346632050676</v>
      </c>
      <c r="AD206" s="290">
        <f t="shared" ca="1" si="45"/>
        <v>1.0300648038209055</v>
      </c>
    </row>
    <row r="207" spans="1:30">
      <c r="A207" s="90">
        <v>121</v>
      </c>
      <c r="B207" s="90">
        <f t="shared" si="35"/>
        <v>0.48399999999999999</v>
      </c>
      <c r="C207" s="291">
        <f t="shared" ca="1" si="36"/>
        <v>-9.825876836024745E-3</v>
      </c>
      <c r="D207" s="292">
        <f t="shared" ca="1" si="37"/>
        <v>0.7502968556099664</v>
      </c>
      <c r="E207" s="291">
        <f t="shared" ca="1" si="38"/>
        <v>-9.3409390171789973E-3</v>
      </c>
      <c r="F207" s="293">
        <f t="shared" ca="1" si="39"/>
        <v>0.99564289146884177</v>
      </c>
      <c r="T207" s="289">
        <f t="shared" ca="1" si="45"/>
        <v>1</v>
      </c>
      <c r="U207" s="290">
        <f t="shared" ca="1" si="45"/>
        <v>1.0044643217275555</v>
      </c>
      <c r="V207" s="290">
        <f t="shared" ca="1" si="45"/>
        <v>1.0085222073863052</v>
      </c>
      <c r="W207" s="290">
        <f t="shared" ca="1" si="45"/>
        <v>1.012182902094162</v>
      </c>
      <c r="X207" s="290">
        <f t="shared" ca="1" si="45"/>
        <v>1.015456220306745</v>
      </c>
      <c r="Y207" s="290">
        <f t="shared" ca="1" si="45"/>
        <v>1.0183524981069692</v>
      </c>
      <c r="Z207" s="290">
        <f t="shared" ca="1" si="45"/>
        <v>1.0208825461650766</v>
      </c>
      <c r="AA207" s="290">
        <f t="shared" ca="1" si="45"/>
        <v>1.0230576035562999</v>
      </c>
      <c r="AB207" s="290">
        <f t="shared" ca="1" si="45"/>
        <v>1.0248892926072681</v>
      </c>
      <c r="AC207" s="290">
        <f t="shared" ca="1" si="45"/>
        <v>1.0263895749251748</v>
      </c>
      <c r="AD207" s="290">
        <f t="shared" ca="1" si="45"/>
        <v>1.0275707087468384</v>
      </c>
    </row>
    <row r="208" spans="1:30">
      <c r="A208" s="90">
        <v>122</v>
      </c>
      <c r="B208" s="90">
        <f t="shared" si="35"/>
        <v>0.48799999999999999</v>
      </c>
      <c r="C208" s="291">
        <f t="shared" ca="1" si="36"/>
        <v>-9.333948179359541E-3</v>
      </c>
      <c r="D208" s="292">
        <f t="shared" ca="1" si="37"/>
        <v>-0.30695994419239814</v>
      </c>
      <c r="E208" s="291">
        <f t="shared" ca="1" si="38"/>
        <v>-9.5323449668399569E-3</v>
      </c>
      <c r="F208" s="293">
        <f t="shared" ca="1" si="39"/>
        <v>0.9956053100760559</v>
      </c>
      <c r="T208" s="289">
        <f t="shared" ca="1" si="45"/>
        <v>1</v>
      </c>
      <c r="U208" s="290">
        <f t="shared" ca="1" si="45"/>
        <v>1.0045603167193926</v>
      </c>
      <c r="V208" s="290">
        <f t="shared" ca="1" si="45"/>
        <v>1.0087147019158644</v>
      </c>
      <c r="W208" s="290">
        <f t="shared" ca="1" si="45"/>
        <v>1.0124722846173984</v>
      </c>
      <c r="X208" s="290">
        <f t="shared" ca="1" si="45"/>
        <v>1.0158427675738855</v>
      </c>
      <c r="Y208" s="290">
        <f t="shared" ca="1" si="45"/>
        <v>1.0188363797654181</v>
      </c>
      <c r="Z208" s="290">
        <f t="shared" ca="1" si="45"/>
        <v>1.0214638295523013</v>
      </c>
      <c r="AA208" s="290">
        <f t="shared" ca="1" si="45"/>
        <v>1.0237362586548271</v>
      </c>
      <c r="AB208" s="290">
        <f t="shared" ca="1" si="45"/>
        <v>1.0256651971348776</v>
      </c>
      <c r="AC208" s="290">
        <f t="shared" ca="1" si="45"/>
        <v>1.0272625195344585</v>
      </c>
      <c r="AD208" s="290">
        <f t="shared" ca="1" si="45"/>
        <v>1.0285404023094429</v>
      </c>
    </row>
    <row r="209" spans="1:30">
      <c r="A209" s="90">
        <v>123</v>
      </c>
      <c r="B209" s="90">
        <f t="shared" si="35"/>
        <v>0.49199999999999999</v>
      </c>
      <c r="C209" s="291">
        <f t="shared" ca="1" si="36"/>
        <v>-9.5253496704379558E-3</v>
      </c>
      <c r="D209" s="292">
        <f t="shared" ca="1" si="37"/>
        <v>-9.9715262550746822E-2</v>
      </c>
      <c r="E209" s="291">
        <f t="shared" ca="1" si="38"/>
        <v>-9.5897984303726872E-3</v>
      </c>
      <c r="F209" s="293">
        <f t="shared" ca="1" si="39"/>
        <v>0.99556723458913288</v>
      </c>
      <c r="T209" s="289">
        <f t="shared" ca="1" si="45"/>
        <v>1</v>
      </c>
      <c r="U209" s="290">
        <f t="shared" ca="1" si="45"/>
        <v>1.0045891328947121</v>
      </c>
      <c r="V209" s="290">
        <f t="shared" ca="1" si="45"/>
        <v>1.0087724893025787</v>
      </c>
      <c r="W209" s="290">
        <f t="shared" ca="1" si="45"/>
        <v>1.0125591634116802</v>
      </c>
      <c r="X209" s="290">
        <f t="shared" ca="1" si="45"/>
        <v>1.0159588244396296</v>
      </c>
      <c r="Y209" s="290">
        <f t="shared" ca="1" si="45"/>
        <v>1.0189816692079967</v>
      </c>
      <c r="Z209" s="290">
        <f t="shared" ca="1" si="45"/>
        <v>1.0216383753498508</v>
      </c>
      <c r="AA209" s="290">
        <f t="shared" ca="1" si="45"/>
        <v>1.0239400553387097</v>
      </c>
      <c r="AB209" s="290">
        <f t="shared" ca="1" si="45"/>
        <v>1.0258982115112532</v>
      </c>
      <c r="AC209" s="290">
        <f t="shared" ca="1" si="45"/>
        <v>1.0275246922392141</v>
      </c>
      <c r="AD209" s="290">
        <f t="shared" ca="1" si="45"/>
        <v>1.0288316493890795</v>
      </c>
    </row>
    <row r="210" spans="1:30">
      <c r="A210" s="90">
        <v>124</v>
      </c>
      <c r="B210" s="90">
        <f t="shared" si="35"/>
        <v>0.496</v>
      </c>
      <c r="C210" s="291">
        <f t="shared" ca="1" si="36"/>
        <v>-9.5828017956580049E-3</v>
      </c>
      <c r="D210" s="292">
        <f t="shared" ca="1" si="37"/>
        <v>-9.6118187345263659E-2</v>
      </c>
      <c r="E210" s="291">
        <f t="shared" ca="1" si="38"/>
        <v>-9.6449256653958378E-3</v>
      </c>
      <c r="F210" s="293">
        <f t="shared" ca="1" si="39"/>
        <v>0.99552893640364049</v>
      </c>
      <c r="T210" s="289">
        <f t="shared" ca="1" si="45"/>
        <v>1</v>
      </c>
      <c r="U210" s="290">
        <f t="shared" ca="1" si="45"/>
        <v>1.0046167831113815</v>
      </c>
      <c r="V210" s="290">
        <f t="shared" ca="1" si="45"/>
        <v>1.0088279400527786</v>
      </c>
      <c r="W210" s="290">
        <f t="shared" ca="1" si="45"/>
        <v>1.0126425315859651</v>
      </c>
      <c r="X210" s="290">
        <f t="shared" ca="1" si="45"/>
        <v>1.0160701947532946</v>
      </c>
      <c r="Y210" s="290">
        <f t="shared" ca="1" si="45"/>
        <v>1.0191210955157919</v>
      </c>
      <c r="Z210" s="290">
        <f t="shared" ca="1" si="45"/>
        <v>1.0218058820161113</v>
      </c>
      <c r="AA210" s="290">
        <f t="shared" ca="1" si="45"/>
        <v>1.0241356386548961</v>
      </c>
      <c r="AB210" s="290">
        <f t="shared" ca="1" si="45"/>
        <v>1.026121841153163</v>
      </c>
      <c r="AC210" s="290">
        <f t="shared" ca="1" si="45"/>
        <v>1.0277763127564343</v>
      </c>
      <c r="AD210" s="290">
        <f t="shared" ca="1" si="45"/>
        <v>1.0291111817195744</v>
      </c>
    </row>
    <row r="211" spans="1:30">
      <c r="A211" s="90">
        <v>125</v>
      </c>
      <c r="B211" s="90">
        <f t="shared" si="35"/>
        <v>0.5</v>
      </c>
      <c r="C211" s="291">
        <f t="shared" ca="1" si="36"/>
        <v>-9.6379277465553047E-3</v>
      </c>
      <c r="D211" s="292">
        <f t="shared" ca="1" si="37"/>
        <v>-1.8406408484787633</v>
      </c>
      <c r="E211" s="291">
        <f t="shared" ca="1" si="38"/>
        <v>-1.0827585348963924E-2</v>
      </c>
      <c r="F211" s="293">
        <f t="shared" ca="1" si="39"/>
        <v>0.99548817528389733</v>
      </c>
      <c r="T211" s="289">
        <f t="shared" ca="1" si="45"/>
        <v>1</v>
      </c>
      <c r="U211" s="290">
        <f t="shared" ca="1" si="45"/>
        <v>1.0052101541185636</v>
      </c>
      <c r="V211" s="290">
        <f t="shared" ca="1" si="45"/>
        <v>1.0100182745876363</v>
      </c>
      <c r="W211" s="290">
        <f t="shared" ca="1" si="45"/>
        <v>1.0144327060013849</v>
      </c>
      <c r="X211" s="290">
        <f t="shared" ca="1" si="45"/>
        <v>1.0184623952156628</v>
      </c>
      <c r="Y211" s="290">
        <f t="shared" ca="1" si="45"/>
        <v>1.0221168454006595</v>
      </c>
      <c r="Z211" s="290">
        <f t="shared" ca="1" si="45"/>
        <v>1.0254060705433306</v>
      </c>
      <c r="AA211" s="290">
        <f t="shared" ca="1" si="45"/>
        <v>1.0283405505928511</v>
      </c>
      <c r="AB211" s="290">
        <f t="shared" ca="1" si="45"/>
        <v>1.0309311874272185</v>
      </c>
      <c r="AC211" s="290">
        <f t="shared" ca="1" si="45"/>
        <v>1.0331892618028824</v>
      </c>
      <c r="AD211" s="290">
        <f t="shared" ca="1" si="45"/>
        <v>1.0351263914331155</v>
      </c>
    </row>
    <row r="212" spans="1:30">
      <c r="A212" s="90">
        <v>126</v>
      </c>
      <c r="B212" s="90">
        <f t="shared" si="35"/>
        <v>0.504</v>
      </c>
      <c r="C212" s="291">
        <f t="shared" ca="1" si="36"/>
        <v>-1.0820559881419544E-2</v>
      </c>
      <c r="D212" s="292">
        <f t="shared" ca="1" si="37"/>
        <v>1.3038129286876532</v>
      </c>
      <c r="E212" s="291">
        <f t="shared" ca="1" si="38"/>
        <v>-9.9778691609490912E-3</v>
      </c>
      <c r="F212" s="293">
        <f t="shared" ca="1" si="39"/>
        <v>0.99544675297782115</v>
      </c>
      <c r="T212" s="289">
        <f t="shared" ca="1" si="45"/>
        <v>1</v>
      </c>
      <c r="U212" s="290">
        <f t="shared" ca="1" si="45"/>
        <v>1.0047837940576445</v>
      </c>
      <c r="V212" s="290">
        <f t="shared" ca="1" si="45"/>
        <v>1.0091629022341175</v>
      </c>
      <c r="W212" s="290">
        <f t="shared" ca="1" si="45"/>
        <v>1.013146183480381</v>
      </c>
      <c r="X212" s="290">
        <f t="shared" ca="1" si="45"/>
        <v>1.0167430805080884</v>
      </c>
      <c r="Y212" s="290">
        <f t="shared" ca="1" si="45"/>
        <v>1.0199635728165355</v>
      </c>
      <c r="Z212" s="290">
        <f t="shared" ca="1" si="45"/>
        <v>1.0228181302948296</v>
      </c>
      <c r="AA212" s="290">
        <f t="shared" ca="1" si="45"/>
        <v>1.0253176675892071</v>
      </c>
      <c r="AB212" s="290">
        <f t="shared" ca="1" si="45"/>
        <v>1.0274734994097465</v>
      </c>
      <c r="AC212" s="290">
        <f t="shared" ca="1" si="45"/>
        <v>1.0292972969339995</v>
      </c>
      <c r="AD212" s="290">
        <f t="shared" ca="1" si="45"/>
        <v>1.0308010454484593</v>
      </c>
    </row>
    <row r="213" spans="1:30">
      <c r="A213" s="90">
        <v>127</v>
      </c>
      <c r="B213" s="90">
        <f t="shared" si="35"/>
        <v>0.50800000000000001</v>
      </c>
      <c r="C213" s="291">
        <f t="shared" ca="1" si="36"/>
        <v>-9.9708634865708634E-3</v>
      </c>
      <c r="D213" s="292">
        <f t="shared" ca="1" si="37"/>
        <v>0.27441871479601426</v>
      </c>
      <c r="E213" s="291">
        <f t="shared" ca="1" si="38"/>
        <v>-9.7934990047546019E-3</v>
      </c>
      <c r="F213" s="293">
        <f t="shared" ca="1" si="39"/>
        <v>0.99540739106758014</v>
      </c>
      <c r="T213" s="289">
        <f t="shared" ca="1" si="45"/>
        <v>1</v>
      </c>
      <c r="U213" s="290">
        <f t="shared" ca="1" si="45"/>
        <v>1.004691306963875</v>
      </c>
      <c r="V213" s="290">
        <f t="shared" ca="1" si="45"/>
        <v>1.0089774004751646</v>
      </c>
      <c r="W213" s="290">
        <f t="shared" ca="1" si="45"/>
        <v>1.0128672512238945</v>
      </c>
      <c r="X213" s="290">
        <f t="shared" ca="1" si="45"/>
        <v>1.0163704095346522</v>
      </c>
      <c r="Y213" s="290">
        <f t="shared" ca="1" si="45"/>
        <v>1.019496958177283</v>
      </c>
      <c r="Z213" s="290">
        <f t="shared" ca="1" si="45"/>
        <v>1.0222574657802659</v>
      </c>
      <c r="AA213" s="290">
        <f t="shared" ca="1" si="45"/>
        <v>1.0246629410359298</v>
      </c>
      <c r="AB213" s="290">
        <f t="shared" ca="1" si="45"/>
        <v>1.0267247878708687</v>
      </c>
      <c r="AC213" s="290">
        <f t="shared" ca="1" si="45"/>
        <v>1.0284547617380844</v>
      </c>
      <c r="AD213" s="290">
        <f t="shared" ca="1" si="45"/>
        <v>1.029864927170699</v>
      </c>
    </row>
    <row r="214" spans="1:30">
      <c r="A214" s="90">
        <v>128</v>
      </c>
      <c r="B214" s="90">
        <f t="shared" si="35"/>
        <v>0.51200000000000001</v>
      </c>
      <c r="C214" s="291">
        <f t="shared" ca="1" si="36"/>
        <v>-9.7864976250681621E-3</v>
      </c>
      <c r="D214" s="292">
        <f t="shared" ca="1" si="37"/>
        <v>0.41871966077320977</v>
      </c>
      <c r="E214" s="291">
        <f t="shared" ca="1" si="38"/>
        <v>-9.5158674105271235E-3</v>
      </c>
      <c r="F214" s="293">
        <f t="shared" ca="1" si="39"/>
        <v>0.99536895043775597</v>
      </c>
      <c r="T214" s="289">
        <f t="shared" ca="1" si="45"/>
        <v>1</v>
      </c>
      <c r="U214" s="290">
        <f t="shared" ca="1" si="45"/>
        <v>1.0045520524415024</v>
      </c>
      <c r="V214" s="290">
        <f t="shared" ca="1" si="45"/>
        <v>1.0086981292017989</v>
      </c>
      <c r="W214" s="290">
        <f t="shared" ca="1" si="45"/>
        <v>1.0124473693014602</v>
      </c>
      <c r="X214" s="290">
        <f t="shared" ca="1" si="45"/>
        <v>1.0158094851072281</v>
      </c>
      <c r="Y214" s="290">
        <f t="shared" ca="1" si="45"/>
        <v>1.018794714821383</v>
      </c>
      <c r="Z214" s="290">
        <f t="shared" ca="1" si="45"/>
        <v>1.0214137756152994</v>
      </c>
      <c r="AA214" s="290">
        <f t="shared" ca="1" si="45"/>
        <v>1.0236778175951597</v>
      </c>
      <c r="AB214" s="290">
        <f t="shared" ca="1" si="45"/>
        <v>1.025598378771813</v>
      </c>
      <c r="AC214" s="290">
        <f t="shared" ca="1" si="45"/>
        <v>1.0271873411897858</v>
      </c>
      <c r="AD214" s="290">
        <f t="shared" ca="1" si="45"/>
        <v>1.0284568883536276</v>
      </c>
    </row>
    <row r="215" spans="1:30">
      <c r="A215" s="90">
        <v>129</v>
      </c>
      <c r="B215" s="90">
        <f t="shared" ref="B215:B278" si="46">A215*$B$81</f>
        <v>0.51600000000000001</v>
      </c>
      <c r="C215" s="291">
        <f t="shared" ca="1" si="36"/>
        <v>-9.508872497950939E-3</v>
      </c>
      <c r="D215" s="292">
        <f t="shared" ca="1" si="37"/>
        <v>-0.5042679189814554</v>
      </c>
      <c r="E215" s="291">
        <f t="shared" ca="1" si="38"/>
        <v>-9.8347949417361396E-3</v>
      </c>
      <c r="F215" s="293">
        <f t="shared" ca="1" si="39"/>
        <v>0.99533042908622282</v>
      </c>
      <c r="T215" s="289">
        <f t="shared" ca="1" si="45"/>
        <v>1</v>
      </c>
      <c r="U215" s="290">
        <f t="shared" ca="1" si="45"/>
        <v>1.0047120218391146</v>
      </c>
      <c r="V215" s="290">
        <f t="shared" ca="1" si="45"/>
        <v>1.0090189469092503</v>
      </c>
      <c r="W215" s="290">
        <f t="shared" ca="1" si="45"/>
        <v>1.012929720869246</v>
      </c>
      <c r="X215" s="290">
        <f t="shared" ca="1" si="45"/>
        <v>1.0164538699401497</v>
      </c>
      <c r="Y215" s="290">
        <f t="shared" ca="1" si="45"/>
        <v>1.019601453764154</v>
      </c>
      <c r="Z215" s="290">
        <f t="shared" ca="1" si="45"/>
        <v>1.0223830188600544</v>
      </c>
      <c r="AA215" s="290">
        <f t="shared" ca="1" si="45"/>
        <v>1.024809552864562</v>
      </c>
      <c r="AB215" s="290">
        <f t="shared" ca="1" si="45"/>
        <v>1.026892439733031</v>
      </c>
      <c r="AC215" s="290">
        <f t="shared" ca="1" si="45"/>
        <v>1.0286434160563567</v>
      </c>
      <c r="AD215" s="290">
        <f t="shared" ca="1" si="45"/>
        <v>1.0300745286341226</v>
      </c>
    </row>
    <row r="216" spans="1:30">
      <c r="A216" s="90">
        <v>130</v>
      </c>
      <c r="B216" s="90">
        <f t="shared" si="46"/>
        <v>0.52</v>
      </c>
      <c r="C216" s="291">
        <f t="shared" ref="C216:C279" ca="1" si="47">E215*EXP(-$B$78*$B$81)+$B$77*(1-EXP(-$B$78*$B$81))</f>
        <v>-9.8277926001081092E-3</v>
      </c>
      <c r="D216" s="292">
        <f t="shared" ref="D216:D279" ca="1" si="48">NORMSINV(RAND())</f>
        <v>-0.17741119260845728</v>
      </c>
      <c r="E216" s="291">
        <f t="shared" ref="E216:E279" ca="1" si="49">C216+($B$82^0.5)*D216</f>
        <v>-9.9424584102325905E-3</v>
      </c>
      <c r="F216" s="293">
        <f t="shared" ref="F216:F279" ca="1" si="50">F215*EXP($B$81*(E215+E216)/2)</f>
        <v>0.99529106006070922</v>
      </c>
      <c r="T216" s="289">
        <f t="shared" ref="T216:AD225" ca="1" si="51">EXP(T$82-$E216*T$83)</f>
        <v>1</v>
      </c>
      <c r="U216" s="290">
        <f t="shared" ca="1" si="51"/>
        <v>1.0047660300155934</v>
      </c>
      <c r="V216" s="290">
        <f t="shared" ca="1" si="51"/>
        <v>1.009127271498071</v>
      </c>
      <c r="W216" s="290">
        <f t="shared" ca="1" si="51"/>
        <v>1.0130926048562314</v>
      </c>
      <c r="X216" s="290">
        <f t="shared" ca="1" si="51"/>
        <v>1.0166714934701757</v>
      </c>
      <c r="Y216" s="290">
        <f t="shared" ca="1" si="51"/>
        <v>1.019873936676549</v>
      </c>
      <c r="Z216" s="290">
        <f t="shared" ca="1" si="51"/>
        <v>1.0227104233342652</v>
      </c>
      <c r="AA216" s="290">
        <f t="shared" ca="1" si="51"/>
        <v>1.0251918861605034</v>
      </c>
      <c r="AB216" s="290">
        <f t="shared" ca="1" si="51"/>
        <v>1.0273296570110504</v>
      </c>
      <c r="AC216" s="290">
        <f t="shared" ca="1" si="51"/>
        <v>1.0291354232623251</v>
      </c>
      <c r="AD216" s="290">
        <f t="shared" ca="1" si="51"/>
        <v>1.0306211854357956</v>
      </c>
    </row>
    <row r="217" spans="1:30">
      <c r="A217" s="90">
        <v>131</v>
      </c>
      <c r="B217" s="90">
        <f t="shared" si="46"/>
        <v>0.52400000000000002</v>
      </c>
      <c r="C217" s="291">
        <f t="shared" ca="1" si="47"/>
        <v>-9.9354535607072744E-3</v>
      </c>
      <c r="D217" s="292">
        <f t="shared" ca="1" si="48"/>
        <v>-1.1022316308567324</v>
      </c>
      <c r="E217" s="291">
        <f t="shared" ca="1" si="49"/>
        <v>-1.0647856656807037E-2</v>
      </c>
      <c r="F217" s="293">
        <f t="shared" ca="1" si="50"/>
        <v>0.99525007419160683</v>
      </c>
      <c r="T217" s="289">
        <f t="shared" ca="1" si="51"/>
        <v>1</v>
      </c>
      <c r="U217" s="290">
        <f t="shared" ca="1" si="51"/>
        <v>1.0051199569983802</v>
      </c>
      <c r="V217" s="290">
        <f t="shared" ca="1" si="51"/>
        <v>1.0098372890876071</v>
      </c>
      <c r="W217" s="290">
        <f t="shared" ca="1" si="51"/>
        <v>1.0141604495586913</v>
      </c>
      <c r="X217" s="290">
        <f t="shared" ca="1" si="51"/>
        <v>1.0180984901217538</v>
      </c>
      <c r="Y217" s="290">
        <f t="shared" ca="1" si="51"/>
        <v>1.0216610147377911</v>
      </c>
      <c r="Z217" s="290">
        <f t="shared" ca="1" si="51"/>
        <v>1.0248581339265961</v>
      </c>
      <c r="AA217" s="290">
        <f t="shared" ca="1" si="51"/>
        <v>1.0277004197434063</v>
      </c>
      <c r="AB217" s="290">
        <f t="shared" ca="1" si="51"/>
        <v>1.0301988616016169</v>
      </c>
      <c r="AC217" s="290">
        <f t="shared" ca="1" si="51"/>
        <v>1.0323648231025444</v>
      </c>
      <c r="AD217" s="290">
        <f t="shared" ca="1" si="51"/>
        <v>1.0342100000169634</v>
      </c>
    </row>
    <row r="218" spans="1:30">
      <c r="A218" s="90">
        <v>132</v>
      </c>
      <c r="B218" s="90">
        <f t="shared" si="46"/>
        <v>0.52800000000000002</v>
      </c>
      <c r="C218" s="291">
        <f t="shared" ca="1" si="47"/>
        <v>-1.0640835375836851E-2</v>
      </c>
      <c r="D218" s="292">
        <f t="shared" ca="1" si="48"/>
        <v>-0.80894892818786213</v>
      </c>
      <c r="E218" s="291">
        <f t="shared" ca="1" si="49"/>
        <v>-1.1163681667754347E-2</v>
      </c>
      <c r="F218" s="293">
        <f t="shared" ca="1" si="50"/>
        <v>0.99520665926828855</v>
      </c>
      <c r="T218" s="289">
        <f t="shared" ca="1" si="51"/>
        <v>1</v>
      </c>
      <c r="U218" s="290">
        <f t="shared" ca="1" si="51"/>
        <v>1.0053788462933331</v>
      </c>
      <c r="V218" s="290">
        <f t="shared" ca="1" si="51"/>
        <v>1.0103568082110261</v>
      </c>
      <c r="W218" s="290">
        <f t="shared" ca="1" si="51"/>
        <v>1.0149420272486247</v>
      </c>
      <c r="X218" s="290">
        <f t="shared" ca="1" si="51"/>
        <v>1.0191432542471823</v>
      </c>
      <c r="Y218" s="290">
        <f t="shared" ca="1" si="51"/>
        <v>1.0229698038645356</v>
      </c>
      <c r="Z218" s="290">
        <f t="shared" ca="1" si="51"/>
        <v>1.0264315094472729</v>
      </c>
      <c r="AA218" s="290">
        <f t="shared" ca="1" si="51"/>
        <v>1.029538678497848</v>
      </c>
      <c r="AB218" s="290">
        <f t="shared" ca="1" si="51"/>
        <v>1.0323020489163974</v>
      </c>
      <c r="AC218" s="290">
        <f t="shared" ca="1" si="51"/>
        <v>1.0347327461807707</v>
      </c>
      <c r="AD218" s="290">
        <f t="shared" ca="1" si="51"/>
        <v>1.0368422416122851</v>
      </c>
    </row>
    <row r="219" spans="1:30">
      <c r="A219" s="90">
        <v>133</v>
      </c>
      <c r="B219" s="90">
        <f t="shared" si="46"/>
        <v>0.53200000000000003</v>
      </c>
      <c r="C219" s="291">
        <f t="shared" ca="1" si="47"/>
        <v>-1.115664837123086E-2</v>
      </c>
      <c r="D219" s="292">
        <f t="shared" ca="1" si="48"/>
        <v>-1.1938979135258116</v>
      </c>
      <c r="E219" s="291">
        <f t="shared" ca="1" si="49"/>
        <v>-1.1928297946703246E-2</v>
      </c>
      <c r="F219" s="293">
        <f t="shared" ca="1" si="50"/>
        <v>0.99516069774586335</v>
      </c>
      <c r="T219" s="289">
        <f t="shared" ca="1" si="51"/>
        <v>1</v>
      </c>
      <c r="U219" s="290">
        <f t="shared" ca="1" si="51"/>
        <v>1.0057627250311167</v>
      </c>
      <c r="V219" s="290">
        <f t="shared" ca="1" si="51"/>
        <v>1.0111273920995658</v>
      </c>
      <c r="W219" s="290">
        <f t="shared" ca="1" si="51"/>
        <v>1.0161016815974431</v>
      </c>
      <c r="X219" s="290">
        <f t="shared" ca="1" si="51"/>
        <v>1.0206938988829821</v>
      </c>
      <c r="Y219" s="290">
        <f t="shared" ca="1" si="51"/>
        <v>1.0249129297307289</v>
      </c>
      <c r="Z219" s="290">
        <f t="shared" ca="1" si="51"/>
        <v>1.0287681960719208</v>
      </c>
      <c r="AA219" s="290">
        <f t="shared" ca="1" si="51"/>
        <v>1.0322696122220516</v>
      </c>
      <c r="AB219" s="290">
        <f t="shared" ca="1" si="51"/>
        <v>1.0354275417782242</v>
      </c>
      <c r="AC219" s="290">
        <f t="shared" ca="1" si="51"/>
        <v>1.0382527553533154</v>
      </c>
      <c r="AD219" s="290">
        <f t="shared" ca="1" si="51"/>
        <v>1.0407563892983758</v>
      </c>
    </row>
    <row r="220" spans="1:30">
      <c r="A220" s="90">
        <v>134</v>
      </c>
      <c r="B220" s="90">
        <f t="shared" si="46"/>
        <v>0.53600000000000003</v>
      </c>
      <c r="C220" s="291">
        <f t="shared" ca="1" si="47"/>
        <v>-1.1921246839318597E-2</v>
      </c>
      <c r="D220" s="292">
        <f t="shared" ca="1" si="48"/>
        <v>-8.9321129563316143E-2</v>
      </c>
      <c r="E220" s="291">
        <f t="shared" ca="1" si="49"/>
        <v>-1.1978977580722357E-2</v>
      </c>
      <c r="F220" s="293">
        <f t="shared" ca="1" si="50"/>
        <v>0.99511311572143879</v>
      </c>
      <c r="T220" s="289">
        <f t="shared" ca="1" si="51"/>
        <v>1</v>
      </c>
      <c r="U220" s="290">
        <f t="shared" ca="1" si="51"/>
        <v>1.0057881741280741</v>
      </c>
      <c r="V220" s="290">
        <f t="shared" ca="1" si="51"/>
        <v>1.0111784880366863</v>
      </c>
      <c r="W220" s="290">
        <f t="shared" ca="1" si="51"/>
        <v>1.0161785916077917</v>
      </c>
      <c r="X220" s="290">
        <f t="shared" ca="1" si="51"/>
        <v>1.0207967607005193</v>
      </c>
      <c r="Y220" s="290">
        <f t="shared" ca="1" si="51"/>
        <v>1.0250418526675076</v>
      </c>
      <c r="Z220" s="290">
        <f t="shared" ca="1" si="51"/>
        <v>1.0289232621541853</v>
      </c>
      <c r="AA220" s="290">
        <f t="shared" ca="1" si="51"/>
        <v>1.0324508773781285</v>
      </c>
      <c r="AB220" s="290">
        <f t="shared" ca="1" si="51"/>
        <v>1.0356350370712912</v>
      </c>
      <c r="AC220" s="290">
        <f t="shared" ca="1" si="51"/>
        <v>1.0384864882523561</v>
      </c>
      <c r="AD220" s="290">
        <f t="shared" ca="1" si="51"/>
        <v>1.0410163449808765</v>
      </c>
    </row>
    <row r="221" spans="1:30">
      <c r="A221" s="90">
        <v>135</v>
      </c>
      <c r="B221" s="90">
        <f t="shared" si="46"/>
        <v>0.54</v>
      </c>
      <c r="C221" s="291">
        <f t="shared" ca="1" si="47"/>
        <v>-1.1971925292813634E-2</v>
      </c>
      <c r="D221" s="292">
        <f t="shared" ca="1" si="48"/>
        <v>-0.30751677682931533</v>
      </c>
      <c r="E221" s="291">
        <f t="shared" ca="1" si="49"/>
        <v>-1.2170681976783539E-2</v>
      </c>
      <c r="F221" s="293">
        <f t="shared" ca="1" si="50"/>
        <v>0.99506505359620034</v>
      </c>
      <c r="T221" s="289">
        <f t="shared" ca="1" si="51"/>
        <v>1</v>
      </c>
      <c r="U221" s="290">
        <f t="shared" ca="1" si="51"/>
        <v>1.0058844455212594</v>
      </c>
      <c r="V221" s="290">
        <f t="shared" ca="1" si="51"/>
        <v>1.0113717905280319</v>
      </c>
      <c r="W221" s="290">
        <f t="shared" ca="1" si="51"/>
        <v>1.0164695695571495</v>
      </c>
      <c r="X221" s="290">
        <f t="shared" ca="1" si="51"/>
        <v>1.0211859469196716</v>
      </c>
      <c r="Y221" s="290">
        <f t="shared" ca="1" si="51"/>
        <v>1.0255296724689154</v>
      </c>
      <c r="Z221" s="290">
        <f t="shared" ca="1" si="51"/>
        <v>1.0295100376240216</v>
      </c>
      <c r="AA221" s="290">
        <f t="shared" ca="1" si="51"/>
        <v>1.0331368318467702</v>
      </c>
      <c r="AB221" s="290">
        <f t="shared" ca="1" si="51"/>
        <v>1.0364202997551595</v>
      </c>
      <c r="AC221" s="290">
        <f t="shared" ca="1" si="51"/>
        <v>1.0393710990418246</v>
      </c>
      <c r="AD221" s="290">
        <f t="shared" ca="1" si="51"/>
        <v>1.0420002593499025</v>
      </c>
    </row>
    <row r="222" spans="1:30">
      <c r="A222" s="90">
        <v>136</v>
      </c>
      <c r="B222" s="90">
        <f t="shared" si="46"/>
        <v>0.54400000000000004</v>
      </c>
      <c r="C222" s="291">
        <f t="shared" ca="1" si="47"/>
        <v>-1.2163625223340302E-2</v>
      </c>
      <c r="D222" s="292">
        <f t="shared" ca="1" si="48"/>
        <v>-0.42118859440111617</v>
      </c>
      <c r="E222" s="291">
        <f t="shared" ca="1" si="49"/>
        <v>-1.2435851178659727E-2</v>
      </c>
      <c r="F222" s="293">
        <f t="shared" ca="1" si="50"/>
        <v>0.99501608459870128</v>
      </c>
      <c r="T222" s="289">
        <f t="shared" ca="1" si="51"/>
        <v>1</v>
      </c>
      <c r="U222" s="290">
        <f t="shared" ca="1" si="51"/>
        <v>1.0060176251496049</v>
      </c>
      <c r="V222" s="290">
        <f t="shared" ca="1" si="51"/>
        <v>1.0116392311551647</v>
      </c>
      <c r="W222" s="290">
        <f t="shared" ca="1" si="51"/>
        <v>1.0168721931823572</v>
      </c>
      <c r="X222" s="290">
        <f t="shared" ca="1" si="51"/>
        <v>1.0217245213519046</v>
      </c>
      <c r="Y222" s="290">
        <f t="shared" ca="1" si="51"/>
        <v>1.02620481685942</v>
      </c>
      <c r="Z222" s="290">
        <f t="shared" ca="1" si="51"/>
        <v>1.0303222283130609</v>
      </c>
      <c r="AA222" s="290">
        <f t="shared" ca="1" si="51"/>
        <v>1.0340864084874783</v>
      </c>
      <c r="AB222" s="290">
        <f t="shared" ca="1" si="51"/>
        <v>1.0375074716785293</v>
      </c>
      <c r="AC222" s="290">
        <f t="shared" ca="1" si="51"/>
        <v>1.0405959518279531</v>
      </c>
      <c r="AD222" s="290">
        <f t="shared" ca="1" si="51"/>
        <v>1.0433627615718863</v>
      </c>
    </row>
    <row r="223" spans="1:30">
      <c r="A223" s="90">
        <v>137</v>
      </c>
      <c r="B223" s="90">
        <f t="shared" si="46"/>
        <v>0.54800000000000004</v>
      </c>
      <c r="C223" s="291">
        <f t="shared" ca="1" si="47"/>
        <v>-1.2428788248403402E-2</v>
      </c>
      <c r="D223" s="292">
        <f t="shared" ca="1" si="48"/>
        <v>1.3970304971948382</v>
      </c>
      <c r="E223" s="291">
        <f t="shared" ca="1" si="49"/>
        <v>-1.1525848409184839E-2</v>
      </c>
      <c r="F223" s="293">
        <f t="shared" ca="1" si="50"/>
        <v>0.99496840118827756</v>
      </c>
      <c r="T223" s="289">
        <f t="shared" ca="1" si="51"/>
        <v>1</v>
      </c>
      <c r="U223" s="290">
        <f t="shared" ca="1" si="51"/>
        <v>1.0055606553233485</v>
      </c>
      <c r="V223" s="290">
        <f t="shared" ca="1" si="51"/>
        <v>1.0107217283276788</v>
      </c>
      <c r="W223" s="290">
        <f t="shared" ca="1" si="51"/>
        <v>1.0154911419268517</v>
      </c>
      <c r="X223" s="290">
        <f t="shared" ca="1" si="51"/>
        <v>1.0198774358648368</v>
      </c>
      <c r="Y223" s="290">
        <f t="shared" ca="1" si="51"/>
        <v>1.0238897216461047</v>
      </c>
      <c r="Z223" s="290">
        <f t="shared" ca="1" si="51"/>
        <v>1.0275376378141676</v>
      </c>
      <c r="AA223" s="290">
        <f t="shared" ca="1" si="51"/>
        <v>1.030831305773962</v>
      </c>
      <c r="AB223" s="290">
        <f t="shared" ca="1" si="51"/>
        <v>1.0337812863391029</v>
      </c>
      <c r="AC223" s="290">
        <f t="shared" ca="1" si="51"/>
        <v>1.0363985371692261</v>
      </c>
      <c r="AD223" s="290">
        <f t="shared" ca="1" si="51"/>
        <v>1.0386943712468082</v>
      </c>
    </row>
    <row r="224" spans="1:30">
      <c r="A224" s="90">
        <v>138</v>
      </c>
      <c r="B224" s="90">
        <f t="shared" si="46"/>
        <v>0.55200000000000005</v>
      </c>
      <c r="C224" s="291">
        <f t="shared" ca="1" si="47"/>
        <v>-1.1518806676401587E-2</v>
      </c>
      <c r="D224" s="292">
        <f t="shared" ca="1" si="48"/>
        <v>0.68790571066384554</v>
      </c>
      <c r="E224" s="291">
        <f t="shared" ca="1" si="49"/>
        <v>-1.1074193997557743E-2</v>
      </c>
      <c r="F224" s="293">
        <f t="shared" ca="1" si="50"/>
        <v>0.99492342954852575</v>
      </c>
      <c r="T224" s="289">
        <f t="shared" ca="1" si="51"/>
        <v>1</v>
      </c>
      <c r="U224" s="290">
        <f t="shared" ca="1" si="51"/>
        <v>1.0053339282201261</v>
      </c>
      <c r="V224" s="290">
        <f t="shared" ca="1" si="51"/>
        <v>1.010266660511568</v>
      </c>
      <c r="W224" s="290">
        <f t="shared" ca="1" si="51"/>
        <v>1.0148063924237063</v>
      </c>
      <c r="X224" s="290">
        <f t="shared" ca="1" si="51"/>
        <v>1.0189619269782924</v>
      </c>
      <c r="Y224" s="290">
        <f t="shared" ca="1" si="51"/>
        <v>1.0227426290285564</v>
      </c>
      <c r="Z224" s="290">
        <f t="shared" ca="1" si="51"/>
        <v>1.0261583800320497</v>
      </c>
      <c r="AA224" s="290">
        <f t="shared" ca="1" si="51"/>
        <v>1.0292195334313567</v>
      </c>
      <c r="AB224" s="290">
        <f t="shared" ca="1" si="51"/>
        <v>1.0319368708218548</v>
      </c>
      <c r="AC224" s="290">
        <f t="shared" ca="1" si="51"/>
        <v>1.0343215590696078</v>
      </c>
      <c r="AD224" s="290">
        <f t="shared" ca="1" si="51"/>
        <v>1.0363851085264286</v>
      </c>
    </row>
    <row r="225" spans="1:30">
      <c r="A225" s="90">
        <v>139</v>
      </c>
      <c r="B225" s="90">
        <f t="shared" si="46"/>
        <v>0.55600000000000005</v>
      </c>
      <c r="C225" s="291">
        <f t="shared" ca="1" si="47"/>
        <v>-1.1067162785547121E-2</v>
      </c>
      <c r="D225" s="292">
        <f t="shared" ca="1" si="48"/>
        <v>3.3297041377356958E-2</v>
      </c>
      <c r="E225" s="291">
        <f t="shared" ca="1" si="49"/>
        <v>-1.1045641977484524E-2</v>
      </c>
      <c r="F225" s="293">
        <f t="shared" ca="1" si="50"/>
        <v>0.99487941543597924</v>
      </c>
      <c r="T225" s="289">
        <f t="shared" ca="1" si="51"/>
        <v>1</v>
      </c>
      <c r="U225" s="290">
        <f t="shared" ca="1" si="51"/>
        <v>1.0053195970398192</v>
      </c>
      <c r="V225" s="290">
        <f t="shared" ca="1" si="51"/>
        <v>1.0102378995945291</v>
      </c>
      <c r="W225" s="290">
        <f t="shared" ca="1" si="51"/>
        <v>1.0147631204634904</v>
      </c>
      <c r="X225" s="290">
        <f t="shared" ca="1" si="51"/>
        <v>1.0189040793188073</v>
      </c>
      <c r="Y225" s="290">
        <f t="shared" ca="1" si="51"/>
        <v>1.0226701570287564</v>
      </c>
      <c r="Z225" s="290">
        <f t="shared" ca="1" si="51"/>
        <v>1.0260712503991127</v>
      </c>
      <c r="AA225" s="290">
        <f t="shared" ca="1" si="51"/>
        <v>1.0291177275264094</v>
      </c>
      <c r="AB225" s="290">
        <f t="shared" ca="1" si="51"/>
        <v>1.0318203839421876</v>
      </c>
      <c r="AC225" s="290">
        <f t="shared" ca="1" si="51"/>
        <v>1.0341903997111865</v>
      </c>
      <c r="AD225" s="290">
        <f t="shared" ca="1" si="51"/>
        <v>1.0362392976303523</v>
      </c>
    </row>
    <row r="226" spans="1:30">
      <c r="A226" s="90">
        <v>140</v>
      </c>
      <c r="B226" s="90">
        <f t="shared" si="46"/>
        <v>0.56000000000000005</v>
      </c>
      <c r="C226" s="291">
        <f t="shared" ca="1" si="47"/>
        <v>-1.1038611430560534E-2</v>
      </c>
      <c r="D226" s="292">
        <f t="shared" ca="1" si="48"/>
        <v>1.0658610353018194</v>
      </c>
      <c r="E226" s="291">
        <f t="shared" ca="1" si="49"/>
        <v>-1.0349715666454295E-2</v>
      </c>
      <c r="F226" s="293">
        <f t="shared" ca="1" si="50"/>
        <v>0.99483684474498923</v>
      </c>
      <c r="T226" s="289">
        <f t="shared" ref="T226:AD235" ca="1" si="52">EXP(T$82-$E226*T$83)</f>
        <v>1</v>
      </c>
      <c r="U226" s="290">
        <f t="shared" ca="1" si="52"/>
        <v>1.0049703523323561</v>
      </c>
      <c r="V226" s="290">
        <f t="shared" ca="1" si="52"/>
        <v>1.0095371347718753</v>
      </c>
      <c r="W226" s="290">
        <f t="shared" ca="1" si="52"/>
        <v>1.0137089810426285</v>
      </c>
      <c r="X226" s="290">
        <f t="shared" ca="1" si="52"/>
        <v>1.01749511682992</v>
      </c>
      <c r="Y226" s="290">
        <f t="shared" ca="1" si="52"/>
        <v>1.0209053132502701</v>
      </c>
      <c r="Z226" s="290">
        <f t="shared" ca="1" si="52"/>
        <v>1.0239498408414922</v>
      </c>
      <c r="AA226" s="290">
        <f t="shared" ca="1" si="52"/>
        <v>1.0266394242642911</v>
      </c>
      <c r="AB226" s="290">
        <f t="shared" ca="1" si="52"/>
        <v>1.0289851978913689</v>
      </c>
      <c r="AC226" s="290">
        <f t="shared" ca="1" si="52"/>
        <v>1.0309986624435141</v>
      </c>
      <c r="AD226" s="290">
        <f t="shared" ca="1" si="52"/>
        <v>1.0326916428157267</v>
      </c>
    </row>
    <row r="227" spans="1:30">
      <c r="A227" s="90">
        <v>141</v>
      </c>
      <c r="B227" s="90">
        <f t="shared" si="46"/>
        <v>0.56400000000000006</v>
      </c>
      <c r="C227" s="291">
        <f t="shared" ca="1" si="47"/>
        <v>-1.0342701330337276E-2</v>
      </c>
      <c r="D227" s="292">
        <f t="shared" ca="1" si="48"/>
        <v>-0.7353038885593709</v>
      </c>
      <c r="E227" s="291">
        <f t="shared" ca="1" si="49"/>
        <v>-1.0817948775719269E-2</v>
      </c>
      <c r="F227" s="293">
        <f t="shared" ca="1" si="50"/>
        <v>0.99479472889148124</v>
      </c>
      <c r="T227" s="289">
        <f t="shared" ca="1" si="52"/>
        <v>1</v>
      </c>
      <c r="U227" s="290">
        <f t="shared" ca="1" si="52"/>
        <v>1.0052053177841305</v>
      </c>
      <c r="V227" s="290">
        <f t="shared" ca="1" si="52"/>
        <v>1.0100085698047976</v>
      </c>
      <c r="W227" s="290">
        <f t="shared" ca="1" si="52"/>
        <v>1.0144181064826976</v>
      </c>
      <c r="X227" s="290">
        <f t="shared" ca="1" si="52"/>
        <v>1.0184428802951482</v>
      </c>
      <c r="Y227" s="290">
        <f t="shared" ca="1" si="52"/>
        <v>1.022092399816841</v>
      </c>
      <c r="Z227" s="290">
        <f t="shared" ca="1" si="52"/>
        <v>1.0253766842117873</v>
      </c>
      <c r="AA227" s="290">
        <f t="shared" ca="1" si="52"/>
        <v>1.0283062183696652</v>
      </c>
      <c r="AB227" s="290">
        <f t="shared" ca="1" si="52"/>
        <v>1.0308919088646462</v>
      </c>
      <c r="AC227" s="290">
        <f t="shared" ca="1" si="52"/>
        <v>1.0331450408985432</v>
      </c>
      <c r="AD227" s="290">
        <f t="shared" ca="1" si="52"/>
        <v>1.0350772363739253</v>
      </c>
    </row>
    <row r="228" spans="1:30">
      <c r="A228" s="90">
        <v>142</v>
      </c>
      <c r="B228" s="90">
        <f t="shared" si="46"/>
        <v>0.56800000000000006</v>
      </c>
      <c r="C228" s="291">
        <f t="shared" ca="1" si="47"/>
        <v>-1.0810923532647834E-2</v>
      </c>
      <c r="D228" s="292">
        <f t="shared" ca="1" si="48"/>
        <v>-1.8700098508913781</v>
      </c>
      <c r="E228" s="291">
        <f t="shared" ca="1" si="49"/>
        <v>-1.20195631417984E-2</v>
      </c>
      <c r="F228" s="293">
        <f t="shared" ca="1" si="50"/>
        <v>0.99474929265618661</v>
      </c>
      <c r="T228" s="289">
        <f t="shared" ca="1" si="52"/>
        <v>1</v>
      </c>
      <c r="U228" s="290">
        <f t="shared" ca="1" si="52"/>
        <v>1.0058085548871509</v>
      </c>
      <c r="V228" s="290">
        <f t="shared" ca="1" si="52"/>
        <v>1.0112194088459001</v>
      </c>
      <c r="W228" s="290">
        <f t="shared" ca="1" si="52"/>
        <v>1.0162401873299816</v>
      </c>
      <c r="X228" s="290">
        <f t="shared" ca="1" si="52"/>
        <v>1.0208791425777848</v>
      </c>
      <c r="Y228" s="290">
        <f t="shared" ca="1" si="52"/>
        <v>1.0251451091817905</v>
      </c>
      <c r="Z228" s="290">
        <f t="shared" ca="1" si="52"/>
        <v>1.0290474599351374</v>
      </c>
      <c r="AA228" s="290">
        <f t="shared" ca="1" si="52"/>
        <v>1.03259606215258</v>
      </c>
      <c r="AB228" s="290">
        <f t="shared" ca="1" si="52"/>
        <v>1.0358012346487859</v>
      </c>
      <c r="AC228" s="290">
        <f t="shared" ca="1" si="52"/>
        <v>1.0386737055413948</v>
      </c>
      <c r="AD228" s="290">
        <f t="shared" ca="1" si="52"/>
        <v>1.0412245710307153</v>
      </c>
    </row>
    <row r="229" spans="1:30">
      <c r="A229" s="90">
        <v>143</v>
      </c>
      <c r="B229" s="90">
        <f t="shared" si="46"/>
        <v>0.57200000000000006</v>
      </c>
      <c r="C229" s="291">
        <f t="shared" ca="1" si="47"/>
        <v>-1.2012509908495478E-2</v>
      </c>
      <c r="D229" s="292">
        <f t="shared" ca="1" si="48"/>
        <v>1.3802853872941729</v>
      </c>
      <c r="E229" s="291">
        <f t="shared" ca="1" si="49"/>
        <v>-1.1120392901614337E-2</v>
      </c>
      <c r="F229" s="293">
        <f t="shared" ca="1" si="50"/>
        <v>0.99470325681164962</v>
      </c>
      <c r="T229" s="289">
        <f t="shared" ca="1" si="52"/>
        <v>1</v>
      </c>
      <c r="U229" s="290">
        <f t="shared" ca="1" si="52"/>
        <v>1.0053571173737241</v>
      </c>
      <c r="V229" s="290">
        <f t="shared" ca="1" si="52"/>
        <v>1.0103131991579319</v>
      </c>
      <c r="W229" s="290">
        <f t="shared" ca="1" si="52"/>
        <v>1.0148764129940686</v>
      </c>
      <c r="X229" s="290">
        <f t="shared" ca="1" si="52"/>
        <v>1.0190555349641517</v>
      </c>
      <c r="Y229" s="290">
        <f t="shared" ca="1" si="52"/>
        <v>1.0228599040077231</v>
      </c>
      <c r="Z229" s="290">
        <f t="shared" ca="1" si="52"/>
        <v>1.0262993767457995</v>
      </c>
      <c r="AA229" s="290">
        <f t="shared" ca="1" si="52"/>
        <v>1.0293842829061224</v>
      </c>
      <c r="AB229" s="290">
        <f t="shared" ca="1" si="52"/>
        <v>1.0321253815290803</v>
      </c>
      <c r="AC229" s="290">
        <f t="shared" ca="1" si="52"/>
        <v>1.0345338181176083</v>
      </c>
      <c r="AD229" s="290">
        <f t="shared" ca="1" si="52"/>
        <v>1.0366210828783504</v>
      </c>
    </row>
    <row r="230" spans="1:30">
      <c r="A230" s="90">
        <v>144</v>
      </c>
      <c r="B230" s="90">
        <f t="shared" si="46"/>
        <v>0.57600000000000007</v>
      </c>
      <c r="C230" s="291">
        <f t="shared" ca="1" si="47"/>
        <v>-1.1113360613453116E-2</v>
      </c>
      <c r="D230" s="292">
        <f t="shared" ca="1" si="48"/>
        <v>-0.20176742241164161</v>
      </c>
      <c r="E230" s="291">
        <f t="shared" ca="1" si="49"/>
        <v>-1.1243768535340095E-2</v>
      </c>
      <c r="F230" s="293">
        <f t="shared" ca="1" si="50"/>
        <v>0.99465876639821338</v>
      </c>
      <c r="T230" s="289">
        <f t="shared" ca="1" si="52"/>
        <v>1</v>
      </c>
      <c r="U230" s="290">
        <f t="shared" ca="1" si="52"/>
        <v>1.005419047363036</v>
      </c>
      <c r="V230" s="290">
        <f t="shared" ca="1" si="52"/>
        <v>1.0104374925917272</v>
      </c>
      <c r="W230" s="290">
        <f t="shared" ca="1" si="52"/>
        <v>1.0150634288207034</v>
      </c>
      <c r="X230" s="290">
        <f t="shared" ca="1" si="52"/>
        <v>1.0193055601984802</v>
      </c>
      <c r="Y230" s="290">
        <f t="shared" ca="1" si="52"/>
        <v>1.0231731564595454</v>
      </c>
      <c r="Z230" s="290">
        <f t="shared" ca="1" si="52"/>
        <v>1.0266760078854915</v>
      </c>
      <c r="AA230" s="290">
        <f t="shared" ca="1" si="52"/>
        <v>1.0298243808499219</v>
      </c>
      <c r="AB230" s="290">
        <f t="shared" ca="1" si="52"/>
        <v>1.0326289741270198</v>
      </c>
      <c r="AC230" s="290">
        <f t="shared" ca="1" si="52"/>
        <v>1.0351008761276734</v>
      </c>
      <c r="AD230" s="290">
        <f t="shared" ca="1" si="52"/>
        <v>1.037251523211091</v>
      </c>
    </row>
    <row r="231" spans="1:30">
      <c r="A231" s="90">
        <v>145</v>
      </c>
      <c r="B231" s="90">
        <f t="shared" si="46"/>
        <v>0.57999999999999996</v>
      </c>
      <c r="C231" s="291">
        <f t="shared" ca="1" si="47"/>
        <v>-1.1236733373284681E-2</v>
      </c>
      <c r="D231" s="292">
        <f t="shared" ca="1" si="48"/>
        <v>1.1739773008879892</v>
      </c>
      <c r="E231" s="291">
        <f t="shared" ca="1" si="49"/>
        <v>-1.0477959046282853E-2</v>
      </c>
      <c r="F231" s="293">
        <f t="shared" ca="1" si="50"/>
        <v>0.99461555592330564</v>
      </c>
      <c r="T231" s="289">
        <f t="shared" ca="1" si="52"/>
        <v>1</v>
      </c>
      <c r="U231" s="290">
        <f t="shared" ca="1" si="52"/>
        <v>1.0050347010630312</v>
      </c>
      <c r="V231" s="290">
        <f t="shared" ca="1" si="52"/>
        <v>1.0096662332345916</v>
      </c>
      <c r="W231" s="290">
        <f t="shared" ca="1" si="52"/>
        <v>1.0139031526088833</v>
      </c>
      <c r="X231" s="290">
        <f t="shared" ca="1" si="52"/>
        <v>1.017754610031945</v>
      </c>
      <c r="Y231" s="290">
        <f t="shared" ca="1" si="52"/>
        <v>1.0212303047265419</v>
      </c>
      <c r="Z231" s="290">
        <f t="shared" ca="1" si="52"/>
        <v>1.0243404384182204</v>
      </c>
      <c r="AA231" s="290">
        <f t="shared" ca="1" si="52"/>
        <v>1.027095670154456</v>
      </c>
      <c r="AB231" s="290">
        <f t="shared" ca="1" si="52"/>
        <v>1.0295070719934625</v>
      </c>
      <c r="AC231" s="290">
        <f t="shared" ca="1" si="52"/>
        <v>1.0315860857227972</v>
      </c>
      <c r="AD231" s="290">
        <f t="shared" ca="1" si="52"/>
        <v>1.0333444807515348</v>
      </c>
    </row>
    <row r="232" spans="1:30">
      <c r="A232" s="90">
        <v>146</v>
      </c>
      <c r="B232" s="90">
        <f t="shared" si="46"/>
        <v>0.58399999999999996</v>
      </c>
      <c r="C232" s="291">
        <f t="shared" ca="1" si="47"/>
        <v>-1.0470941722883067E-2</v>
      </c>
      <c r="D232" s="292">
        <f t="shared" ca="1" si="48"/>
        <v>0.49832404232615402</v>
      </c>
      <c r="E232" s="291">
        <f t="shared" ca="1" si="49"/>
        <v>-1.0148860972634443E-2</v>
      </c>
      <c r="F232" s="293">
        <f t="shared" ca="1" si="50"/>
        <v>0.99457452525752355</v>
      </c>
      <c r="T232" s="289">
        <f t="shared" ca="1" si="52"/>
        <v>1</v>
      </c>
      <c r="U232" s="290">
        <f t="shared" ca="1" si="52"/>
        <v>1.0048695776738041</v>
      </c>
      <c r="V232" s="290">
        <f t="shared" ca="1" si="52"/>
        <v>1.0093349740190263</v>
      </c>
      <c r="W232" s="290">
        <f t="shared" ca="1" si="52"/>
        <v>1.0134049443933986</v>
      </c>
      <c r="X232" s="290">
        <f t="shared" ca="1" si="52"/>
        <v>1.017088831706463</v>
      </c>
      <c r="Y232" s="290">
        <f t="shared" ca="1" si="52"/>
        <v>1.0203965196491129</v>
      </c>
      <c r="Z232" s="290">
        <f t="shared" ca="1" si="52"/>
        <v>1.0233383864729573</v>
      </c>
      <c r="AA232" s="290">
        <f t="shared" ca="1" si="52"/>
        <v>1.025925259510142</v>
      </c>
      <c r="AB232" s="290">
        <f t="shared" ca="1" si="52"/>
        <v>1.0281683706086775</v>
      </c>
      <c r="AC232" s="290">
        <f t="shared" ca="1" si="52"/>
        <v>1.030079312641706</v>
      </c>
      <c r="AD232" s="290">
        <f t="shared" ca="1" si="52"/>
        <v>1.0316699972326135</v>
      </c>
    </row>
    <row r="233" spans="1:30">
      <c r="A233" s="90">
        <v>147</v>
      </c>
      <c r="B233" s="90">
        <f t="shared" si="46"/>
        <v>0.58799999999999997</v>
      </c>
      <c r="C233" s="291">
        <f t="shared" ca="1" si="47"/>
        <v>-1.0141851315197651E-2</v>
      </c>
      <c r="D233" s="292">
        <f t="shared" ca="1" si="48"/>
        <v>1.1565023582954033</v>
      </c>
      <c r="E233" s="291">
        <f t="shared" ca="1" si="49"/>
        <v>-9.394371531791389E-3</v>
      </c>
      <c r="F233" s="293">
        <f t="shared" ca="1" si="50"/>
        <v>0.9945356516148649</v>
      </c>
      <c r="T233" s="289">
        <f t="shared" ca="1" si="52"/>
        <v>1</v>
      </c>
      <c r="U233" s="290">
        <f t="shared" ca="1" si="52"/>
        <v>1.0044911185807699</v>
      </c>
      <c r="V233" s="290">
        <f t="shared" ca="1" si="52"/>
        <v>1.0085759400905034</v>
      </c>
      <c r="W233" s="290">
        <f t="shared" ca="1" si="52"/>
        <v>1.0122636772366089</v>
      </c>
      <c r="X233" s="290">
        <f t="shared" ca="1" si="52"/>
        <v>1.0155641132923976</v>
      </c>
      <c r="Y233" s="290">
        <f t="shared" ca="1" si="52"/>
        <v>1.0184875544474745</v>
      </c>
      <c r="Z233" s="290">
        <f t="shared" ca="1" si="52"/>
        <v>1.0210447828205429</v>
      </c>
      <c r="AA233" s="290">
        <f t="shared" ca="1" si="52"/>
        <v>1.0232470103220572</v>
      </c>
      <c r="AB233" s="290">
        <f t="shared" ca="1" si="52"/>
        <v>1.0251058335380965</v>
      </c>
      <c r="AC233" s="290">
        <f t="shared" ca="1" si="52"/>
        <v>1.0266331897897889</v>
      </c>
      <c r="AD233" s="290">
        <f t="shared" ca="1" si="52"/>
        <v>1.0278413145057352</v>
      </c>
    </row>
    <row r="234" spans="1:30">
      <c r="A234" s="90">
        <v>148</v>
      </c>
      <c r="B234" s="90">
        <f t="shared" si="46"/>
        <v>0.59199999999999997</v>
      </c>
      <c r="C234" s="291">
        <f t="shared" ca="1" si="47"/>
        <v>-9.387379449322655E-3</v>
      </c>
      <c r="D234" s="292">
        <f t="shared" ca="1" si="48"/>
        <v>-0.41151070927567174</v>
      </c>
      <c r="E234" s="291">
        <f t="shared" ca="1" si="49"/>
        <v>-9.6533503171141472E-3</v>
      </c>
      <c r="F234" s="293">
        <f t="shared" ca="1" si="50"/>
        <v>0.99449776505960052</v>
      </c>
      <c r="T234" s="289">
        <f t="shared" ca="1" si="52"/>
        <v>1</v>
      </c>
      <c r="U234" s="290">
        <f t="shared" ca="1" si="52"/>
        <v>1.0046210087385314</v>
      </c>
      <c r="V234" s="290">
        <f t="shared" ca="1" si="52"/>
        <v>1.0088364144132109</v>
      </c>
      <c r="W234" s="290">
        <f t="shared" ca="1" si="52"/>
        <v>1.0126552726778029</v>
      </c>
      <c r="X234" s="290">
        <f t="shared" ca="1" si="52"/>
        <v>1.0160872156575258</v>
      </c>
      <c r="Y234" s="290">
        <f t="shared" ca="1" si="52"/>
        <v>1.0191424045968902</v>
      </c>
      <c r="Z234" s="290">
        <f t="shared" ca="1" si="52"/>
        <v>1.021831483131147</v>
      </c>
      <c r="AA234" s="290">
        <f t="shared" ca="1" si="52"/>
        <v>1.0241655313699096</v>
      </c>
      <c r="AB234" s="290">
        <f t="shared" ca="1" si="52"/>
        <v>1.0261560209656213</v>
      </c>
      <c r="AC234" s="290">
        <f t="shared" ca="1" si="52"/>
        <v>1.0278147713226338</v>
      </c>
      <c r="AD234" s="290">
        <f t="shared" ca="1" si="52"/>
        <v>1.0291539070859061</v>
      </c>
    </row>
    <row r="235" spans="1:30">
      <c r="A235" s="90">
        <v>149</v>
      </c>
      <c r="B235" s="90">
        <f t="shared" si="46"/>
        <v>0.59599999999999997</v>
      </c>
      <c r="C235" s="291">
        <f t="shared" ca="1" si="47"/>
        <v>-9.6463522020309948E-3</v>
      </c>
      <c r="D235" s="292">
        <f t="shared" ca="1" si="48"/>
        <v>-1.0061519950940281</v>
      </c>
      <c r="E235" s="291">
        <f t="shared" ca="1" si="49"/>
        <v>-1.0296656345357749E-2</v>
      </c>
      <c r="F235" s="293">
        <f t="shared" ca="1" si="50"/>
        <v>0.9944580853771382</v>
      </c>
      <c r="T235" s="289">
        <f t="shared" ca="1" si="52"/>
        <v>1</v>
      </c>
      <c r="U235" s="290">
        <f t="shared" ca="1" si="52"/>
        <v>1.0049437299410853</v>
      </c>
      <c r="V235" s="290">
        <f t="shared" ca="1" si="52"/>
        <v>1.0094837264971279</v>
      </c>
      <c r="W235" s="290">
        <f t="shared" ca="1" si="52"/>
        <v>1.0136286555181504</v>
      </c>
      <c r="X235" s="290">
        <f t="shared" ca="1" si="52"/>
        <v>1.0173877736551817</v>
      </c>
      <c r="Y235" s="290">
        <f t="shared" ca="1" si="52"/>
        <v>1.020770881766464</v>
      </c>
      <c r="Z235" s="290">
        <f t="shared" ca="1" si="52"/>
        <v>1.0237882788515986</v>
      </c>
      <c r="AA235" s="290">
        <f t="shared" ca="1" si="52"/>
        <v>1.0264507167048473</v>
      </c>
      <c r="AB235" s="290">
        <f t="shared" ca="1" si="52"/>
        <v>1.0287693554633333</v>
      </c>
      <c r="AC235" s="290">
        <f t="shared" ca="1" si="52"/>
        <v>1.03075572020934</v>
      </c>
      <c r="AD235" s="290">
        <f t="shared" ca="1" si="52"/>
        <v>1.0324216587694641</v>
      </c>
    </row>
    <row r="236" spans="1:30">
      <c r="A236" s="90">
        <v>150</v>
      </c>
      <c r="B236" s="90">
        <f t="shared" si="46"/>
        <v>0.6</v>
      </c>
      <c r="C236" s="291">
        <f t="shared" ca="1" si="47"/>
        <v>-1.0289643245196892E-2</v>
      </c>
      <c r="D236" s="292">
        <f t="shared" ca="1" si="48"/>
        <v>1.2109434700959194</v>
      </c>
      <c r="E236" s="291">
        <f t="shared" ca="1" si="49"/>
        <v>-9.5069766503110362E-3</v>
      </c>
      <c r="F236" s="293">
        <f t="shared" ca="1" si="50"/>
        <v>0.99441869839124397</v>
      </c>
      <c r="T236" s="289">
        <f t="shared" ref="T236:AD245" ca="1" si="53">EXP(T$82-$E236*T$83)</f>
        <v>1</v>
      </c>
      <c r="U236" s="290">
        <f t="shared" ca="1" si="53"/>
        <v>1.0045475933307957</v>
      </c>
      <c r="V236" s="290">
        <f t="shared" ca="1" si="53"/>
        <v>1.0086891872106083</v>
      </c>
      <c r="W236" s="290">
        <f t="shared" ca="1" si="53"/>
        <v>1.0124339260517887</v>
      </c>
      <c r="X236" s="290">
        <f t="shared" ca="1" si="53"/>
        <v>1.0157915274099933</v>
      </c>
      <c r="Y236" s="290">
        <f t="shared" ca="1" si="53"/>
        <v>1.0187722344633443</v>
      </c>
      <c r="Z236" s="290">
        <f t="shared" ca="1" si="53"/>
        <v>1.0213867691371155</v>
      </c>
      <c r="AA236" s="290">
        <f t="shared" ca="1" si="53"/>
        <v>1.0236462860618676</v>
      </c>
      <c r="AB236" s="290">
        <f t="shared" ca="1" si="53"/>
        <v>1.0255623275369781</v>
      </c>
      <c r="AC236" s="290">
        <f t="shared" ca="1" si="53"/>
        <v>1.0271467796545222</v>
      </c>
      <c r="AD236" s="290">
        <f t="shared" ca="1" si="53"/>
        <v>1.0284118297216354</v>
      </c>
    </row>
    <row r="237" spans="1:30">
      <c r="A237" s="90">
        <v>151</v>
      </c>
      <c r="B237" s="90">
        <f t="shared" si="46"/>
        <v>0.60399999999999998</v>
      </c>
      <c r="C237" s="291">
        <f t="shared" ca="1" si="47"/>
        <v>-9.4999819448349371E-3</v>
      </c>
      <c r="D237" s="292">
        <f t="shared" ca="1" si="48"/>
        <v>-1.0201642504114563</v>
      </c>
      <c r="E237" s="291">
        <f t="shared" ca="1" si="49"/>
        <v>-1.0159342600234128E-2</v>
      </c>
      <c r="F237" s="293">
        <f t="shared" ca="1" si="50"/>
        <v>0.99437958604926224</v>
      </c>
      <c r="T237" s="289">
        <f t="shared" ca="1" si="53"/>
        <v>1</v>
      </c>
      <c r="U237" s="290">
        <f t="shared" ca="1" si="53"/>
        <v>1.0048748363621838</v>
      </c>
      <c r="V237" s="290">
        <f t="shared" ca="1" si="53"/>
        <v>1.0093455228022326</v>
      </c>
      <c r="W237" s="290">
        <f t="shared" ca="1" si="53"/>
        <v>1.013420808328986</v>
      </c>
      <c r="X237" s="290">
        <f t="shared" ca="1" si="53"/>
        <v>1.0171100297343711</v>
      </c>
      <c r="Y237" s="290">
        <f t="shared" ca="1" si="53"/>
        <v>1.0204230648354231</v>
      </c>
      <c r="Z237" s="290">
        <f t="shared" ca="1" si="53"/>
        <v>1.0233702862645797</v>
      </c>
      <c r="AA237" s="290">
        <f t="shared" ca="1" si="53"/>
        <v>1.0259625159989167</v>
      </c>
      <c r="AB237" s="290">
        <f t="shared" ca="1" si="53"/>
        <v>1.028210980803429</v>
      </c>
      <c r="AC237" s="290">
        <f t="shared" ca="1" si="53"/>
        <v>1.0301272687468424</v>
      </c>
      <c r="AD237" s="290">
        <f t="shared" ca="1" si="53"/>
        <v>1.0317232869319239</v>
      </c>
    </row>
    <row r="238" spans="1:30">
      <c r="A238" s="90">
        <v>152</v>
      </c>
      <c r="B238" s="90">
        <f t="shared" si="46"/>
        <v>0.60799999999999998</v>
      </c>
      <c r="C238" s="291">
        <f t="shared" ca="1" si="47"/>
        <v>-1.0152332698639816E-2</v>
      </c>
      <c r="D238" s="292">
        <f t="shared" ca="1" si="48"/>
        <v>-5.5332726884605228E-2</v>
      </c>
      <c r="E238" s="291">
        <f t="shared" ca="1" si="49"/>
        <v>-1.0188095785857334E-2</v>
      </c>
      <c r="F238" s="293">
        <f t="shared" ca="1" si="50"/>
        <v>0.99433912071791453</v>
      </c>
      <c r="T238" s="289">
        <f t="shared" ca="1" si="53"/>
        <v>1</v>
      </c>
      <c r="U238" s="290">
        <f t="shared" ca="1" si="53"/>
        <v>1.004889262129808</v>
      </c>
      <c r="V238" s="290">
        <f t="shared" ca="1" si="53"/>
        <v>1.0093744607750514</v>
      </c>
      <c r="W238" s="290">
        <f t="shared" ca="1" si="53"/>
        <v>1.01346432752908</v>
      </c>
      <c r="X238" s="290">
        <f t="shared" ca="1" si="53"/>
        <v>1.0171681824021073</v>
      </c>
      <c r="Y238" s="290">
        <f t="shared" ca="1" si="53"/>
        <v>1.0204958870975078</v>
      </c>
      <c r="Z238" s="290">
        <f t="shared" ca="1" si="53"/>
        <v>1.0234577988321281</v>
      </c>
      <c r="AA238" s="290">
        <f t="shared" ca="1" si="53"/>
        <v>1.0260647248913881</v>
      </c>
      <c r="AB238" s="290">
        <f t="shared" ca="1" si="53"/>
        <v>1.0283278780944232</v>
      </c>
      <c r="AC238" s="290">
        <f t="shared" ca="1" si="53"/>
        <v>1.030258833327889</v>
      </c>
      <c r="AD238" s="290">
        <f t="shared" ca="1" si="53"/>
        <v>1.0318694852905737</v>
      </c>
    </row>
    <row r="239" spans="1:30">
      <c r="A239" s="90">
        <v>153</v>
      </c>
      <c r="B239" s="90">
        <f t="shared" si="46"/>
        <v>0.61199999999999999</v>
      </c>
      <c r="C239" s="291">
        <f t="shared" ca="1" si="47"/>
        <v>-1.018108521449047E-2</v>
      </c>
      <c r="D239" s="292">
        <f t="shared" ca="1" si="48"/>
        <v>-0.45676081108430161</v>
      </c>
      <c r="E239" s="291">
        <f t="shared" ca="1" si="49"/>
        <v>-1.0476302487234287E-2</v>
      </c>
      <c r="F239" s="293">
        <f t="shared" ca="1" si="50"/>
        <v>0.99429802672788492</v>
      </c>
      <c r="T239" s="289">
        <f t="shared" ca="1" si="53"/>
        <v>1</v>
      </c>
      <c r="U239" s="290">
        <f t="shared" ca="1" si="53"/>
        <v>1.0050338698244845</v>
      </c>
      <c r="V239" s="290">
        <f t="shared" ca="1" si="53"/>
        <v>1.0096645655249312</v>
      </c>
      <c r="W239" s="290">
        <f t="shared" ca="1" si="53"/>
        <v>1.0139006441981446</v>
      </c>
      <c r="X239" s="290">
        <f t="shared" ca="1" si="53"/>
        <v>1.017751257656841</v>
      </c>
      <c r="Y239" s="290">
        <f t="shared" ca="1" si="53"/>
        <v>1.0212261060525323</v>
      </c>
      <c r="Z239" s="290">
        <f t="shared" ca="1" si="53"/>
        <v>1.0243353919998159</v>
      </c>
      <c r="AA239" s="290">
        <f t="shared" ca="1" si="53"/>
        <v>1.0270897753939967</v>
      </c>
      <c r="AB239" s="290">
        <f t="shared" ca="1" si="53"/>
        <v>1.0295003290986018</v>
      </c>
      <c r="AC239" s="290">
        <f t="shared" ca="1" si="53"/>
        <v>1.0315784956629108</v>
      </c>
      <c r="AD239" s="290">
        <f t="shared" ca="1" si="53"/>
        <v>1.0333360452132712</v>
      </c>
    </row>
    <row r="240" spans="1:30">
      <c r="A240" s="90">
        <v>154</v>
      </c>
      <c r="B240" s="90">
        <f t="shared" si="46"/>
        <v>0.61599999999999999</v>
      </c>
      <c r="C240" s="291">
        <f t="shared" ca="1" si="47"/>
        <v>-1.0469285202422149E-2</v>
      </c>
      <c r="D240" s="292">
        <f t="shared" ca="1" si="48"/>
        <v>0.23276304290998037</v>
      </c>
      <c r="E240" s="291">
        <f t="shared" ca="1" si="49"/>
        <v>-1.0318843945081544E-2</v>
      </c>
      <c r="F240" s="293">
        <f t="shared" ca="1" si="50"/>
        <v>0.99425667444169141</v>
      </c>
      <c r="T240" s="289">
        <f t="shared" ca="1" si="53"/>
        <v>1</v>
      </c>
      <c r="U240" s="290">
        <f t="shared" ca="1" si="53"/>
        <v>1.0049548624319795</v>
      </c>
      <c r="V240" s="290">
        <f t="shared" ca="1" si="53"/>
        <v>1.0095060596736407</v>
      </c>
      <c r="W240" s="290">
        <f t="shared" ca="1" si="53"/>
        <v>1.013662244140513</v>
      </c>
      <c r="X240" s="290">
        <f t="shared" ca="1" si="53"/>
        <v>1.0174326595347012</v>
      </c>
      <c r="Y240" s="290">
        <f t="shared" ca="1" si="53"/>
        <v>1.0208270942777389</v>
      </c>
      <c r="Z240" s="290">
        <f t="shared" ca="1" si="53"/>
        <v>1.0238558354681002</v>
      </c>
      <c r="AA240" s="290">
        <f t="shared" ca="1" si="53"/>
        <v>1.0265296235546715</v>
      </c>
      <c r="AB240" s="290">
        <f t="shared" ca="1" si="53"/>
        <v>1.028859607902034</v>
      </c>
      <c r="AC240" s="290">
        <f t="shared" ca="1" si="53"/>
        <v>1.030857303406868</v>
      </c>
      <c r="AD240" s="290">
        <f t="shared" ca="1" si="53"/>
        <v>1.0325345483083577</v>
      </c>
    </row>
    <row r="241" spans="1:30">
      <c r="A241" s="90">
        <v>155</v>
      </c>
      <c r="B241" s="90">
        <f t="shared" si="46"/>
        <v>0.62</v>
      </c>
      <c r="C241" s="291">
        <f t="shared" ca="1" si="47"/>
        <v>-1.0311830328085943E-2</v>
      </c>
      <c r="D241" s="292">
        <f t="shared" ca="1" si="48"/>
        <v>0.38122559328206113</v>
      </c>
      <c r="E241" s="291">
        <f t="shared" ca="1" si="49"/>
        <v>-1.0065433576837285E-2</v>
      </c>
      <c r="F241" s="293">
        <f t="shared" ca="1" si="50"/>
        <v>0.99421614085998511</v>
      </c>
      <c r="T241" s="289">
        <f t="shared" ca="1" si="53"/>
        <v>1</v>
      </c>
      <c r="U241" s="290">
        <f t="shared" ca="1" si="53"/>
        <v>1.0048277226863165</v>
      </c>
      <c r="V241" s="290">
        <f t="shared" ca="1" si="53"/>
        <v>1.0092510160361672</v>
      </c>
      <c r="W241" s="290">
        <f t="shared" ca="1" si="53"/>
        <v>1.0132786859459291</v>
      </c>
      <c r="X241" s="290">
        <f t="shared" ca="1" si="53"/>
        <v>1.0169201240183736</v>
      </c>
      <c r="Y241" s="290">
        <f t="shared" ca="1" si="53"/>
        <v>1.0201852606931208</v>
      </c>
      <c r="Z241" s="290">
        <f t="shared" ca="1" si="53"/>
        <v>1.0230845189392987</v>
      </c>
      <c r="AA241" s="290">
        <f t="shared" ca="1" si="53"/>
        <v>1.0256287687006971</v>
      </c>
      <c r="AB241" s="290">
        <f t="shared" ca="1" si="53"/>
        <v>1.0278292822680792</v>
      </c>
      <c r="AC241" s="290">
        <f t="shared" ca="1" si="53"/>
        <v>1.0296976907366411</v>
      </c>
      <c r="AD241" s="290">
        <f t="shared" ca="1" si="53"/>
        <v>1.0312459416900419</v>
      </c>
    </row>
    <row r="242" spans="1:30">
      <c r="A242" s="90">
        <v>156</v>
      </c>
      <c r="B242" s="90">
        <f t="shared" si="46"/>
        <v>0.624</v>
      </c>
      <c r="C242" s="291">
        <f t="shared" ca="1" si="47"/>
        <v>-1.00584258627462E-2</v>
      </c>
      <c r="D242" s="292">
        <f t="shared" ca="1" si="48"/>
        <v>-0.53618208639973208</v>
      </c>
      <c r="E242" s="291">
        <f t="shared" ca="1" si="49"/>
        <v>-1.0404975324520853E-2</v>
      </c>
      <c r="F242" s="293">
        <f t="shared" ca="1" si="50"/>
        <v>0.99417543767132222</v>
      </c>
      <c r="T242" s="289">
        <f t="shared" ca="1" si="53"/>
        <v>1</v>
      </c>
      <c r="U242" s="290">
        <f t="shared" ca="1" si="53"/>
        <v>1.0049980794873394</v>
      </c>
      <c r="V242" s="290">
        <f t="shared" ca="1" si="53"/>
        <v>1.0095927608583277</v>
      </c>
      <c r="W242" s="290">
        <f t="shared" ca="1" si="53"/>
        <v>1.0137926443834082</v>
      </c>
      <c r="X242" s="290">
        <f t="shared" ca="1" si="53"/>
        <v>1.0176069234990854</v>
      </c>
      <c r="Y242" s="290">
        <f t="shared" ca="1" si="53"/>
        <v>1.0210453383445264</v>
      </c>
      <c r="Z242" s="290">
        <f t="shared" ca="1" si="53"/>
        <v>1.0241181298100919</v>
      </c>
      <c r="AA242" s="290">
        <f t="shared" ca="1" si="53"/>
        <v>1.0268359942894441</v>
      </c>
      <c r="AB242" s="290">
        <f t="shared" ca="1" si="53"/>
        <v>1.0292100393114716</v>
      </c>
      <c r="AC242" s="290">
        <f t="shared" ca="1" si="53"/>
        <v>1.0312517402117858</v>
      </c>
      <c r="AD242" s="290">
        <f t="shared" ca="1" si="53"/>
        <v>1.0329728979871584</v>
      </c>
    </row>
    <row r="243" spans="1:30">
      <c r="A243" s="90">
        <v>157</v>
      </c>
      <c r="B243" s="90">
        <f t="shared" si="46"/>
        <v>0.628</v>
      </c>
      <c r="C243" s="291">
        <f t="shared" ca="1" si="47"/>
        <v>-1.0397959701193341E-2</v>
      </c>
      <c r="D243" s="292">
        <f t="shared" ca="1" si="48"/>
        <v>0.23155464505263984</v>
      </c>
      <c r="E243" s="291">
        <f t="shared" ca="1" si="49"/>
        <v>-1.0248299465146982E-2</v>
      </c>
      <c r="F243" s="293">
        <f t="shared" ca="1" si="50"/>
        <v>0.9941343725624503</v>
      </c>
      <c r="T243" s="289">
        <f t="shared" ca="1" si="53"/>
        <v>1</v>
      </c>
      <c r="U243" s="290">
        <f t="shared" ca="1" si="53"/>
        <v>1.0049194676028816</v>
      </c>
      <c r="V243" s="290">
        <f t="shared" ca="1" si="53"/>
        <v>1.0094350540506465</v>
      </c>
      <c r="W243" s="290">
        <f t="shared" ca="1" si="53"/>
        <v>1.0135554544757166</v>
      </c>
      <c r="X243" s="290">
        <f t="shared" ca="1" si="53"/>
        <v>1.0172899537512423</v>
      </c>
      <c r="Y243" s="290">
        <f t="shared" ca="1" si="53"/>
        <v>1.0206483798393475</v>
      </c>
      <c r="Z243" s="290">
        <f t="shared" ca="1" si="53"/>
        <v>1.023641057674469</v>
      </c>
      <c r="AA243" s="290">
        <f t="shared" ca="1" si="53"/>
        <v>1.0262787637728139</v>
      </c>
      <c r="AB243" s="290">
        <f t="shared" ca="1" si="53"/>
        <v>1.0285726817434566</v>
      </c>
      <c r="AC243" s="290">
        <f t="shared" ca="1" si="53"/>
        <v>1.0305343588600233</v>
      </c>
      <c r="AD243" s="290">
        <f t="shared" ca="1" si="53"/>
        <v>1.0321756638354413</v>
      </c>
    </row>
    <row r="244" spans="1:30">
      <c r="A244" s="90">
        <v>158</v>
      </c>
      <c r="B244" s="90">
        <f t="shared" si="46"/>
        <v>0.63200000000000001</v>
      </c>
      <c r="C244" s="291">
        <f t="shared" ca="1" si="47"/>
        <v>-1.0241287491404308E-2</v>
      </c>
      <c r="D244" s="292">
        <f t="shared" ca="1" si="48"/>
        <v>0.49987706258439124</v>
      </c>
      <c r="E244" s="291">
        <f t="shared" ca="1" si="49"/>
        <v>-9.9182029807760134E-3</v>
      </c>
      <c r="F244" s="293">
        <f t="shared" ca="1" si="50"/>
        <v>0.99409427694453245</v>
      </c>
      <c r="T244" s="289">
        <f t="shared" ca="1" si="53"/>
        <v>1</v>
      </c>
      <c r="U244" s="290">
        <f t="shared" ca="1" si="53"/>
        <v>1.0047538622969667</v>
      </c>
      <c r="V244" s="290">
        <f t="shared" ca="1" si="53"/>
        <v>1.0091028661104544</v>
      </c>
      <c r="W244" s="290">
        <f t="shared" ca="1" si="53"/>
        <v>1.0130559065481972</v>
      </c>
      <c r="X244" s="290">
        <f t="shared" ca="1" si="53"/>
        <v>1.0166224611476748</v>
      </c>
      <c r="Y244" s="290">
        <f t="shared" ca="1" si="53"/>
        <v>1.01981254283283</v>
      </c>
      <c r="Z244" s="290">
        <f t="shared" ca="1" si="53"/>
        <v>1.022636653454881</v>
      </c>
      <c r="AA244" s="290">
        <f t="shared" ca="1" si="53"/>
        <v>1.0251057381069151</v>
      </c>
      <c r="AB244" s="290">
        <f t="shared" ca="1" si="53"/>
        <v>1.0272311403862218</v>
      </c>
      <c r="AC244" s="290">
        <f t="shared" ca="1" si="53"/>
        <v>1.0290245587615678</v>
      </c>
      <c r="AD244" s="290">
        <f t="shared" ca="1" si="53"/>
        <v>1.0304980041859915</v>
      </c>
    </row>
    <row r="245" spans="1:30">
      <c r="A245" s="90">
        <v>159</v>
      </c>
      <c r="B245" s="90">
        <f t="shared" si="46"/>
        <v>0.63600000000000001</v>
      </c>
      <c r="C245" s="291">
        <f t="shared" ca="1" si="47"/>
        <v>-9.9111986962531675E-3</v>
      </c>
      <c r="D245" s="292">
        <f t="shared" ca="1" si="48"/>
        <v>1.2317955443876005</v>
      </c>
      <c r="E245" s="291">
        <f t="shared" ca="1" si="49"/>
        <v>-9.1150548232075933E-3</v>
      </c>
      <c r="F245" s="293">
        <f t="shared" ca="1" si="50"/>
        <v>0.99405643595946513</v>
      </c>
      <c r="T245" s="289">
        <f t="shared" ca="1" si="53"/>
        <v>1</v>
      </c>
      <c r="U245" s="290">
        <f t="shared" ca="1" si="53"/>
        <v>1.0043510468126331</v>
      </c>
      <c r="V245" s="290">
        <f t="shared" ca="1" si="53"/>
        <v>1.0082950857797546</v>
      </c>
      <c r="W245" s="290">
        <f t="shared" ca="1" si="53"/>
        <v>1.0118414990565587</v>
      </c>
      <c r="X245" s="290">
        <f t="shared" ca="1" si="53"/>
        <v>1.0150002329069139</v>
      </c>
      <c r="Y245" s="290">
        <f t="shared" ca="1" si="53"/>
        <v>1.0177817497380826</v>
      </c>
      <c r="Z245" s="290">
        <f t="shared" ca="1" si="53"/>
        <v>1.0201969808398856</v>
      </c>
      <c r="AA245" s="290">
        <f t="shared" ca="1" si="53"/>
        <v>1.0222572800144805</v>
      </c>
      <c r="AB245" s="290">
        <f t="shared" ca="1" si="53"/>
        <v>1.023974378266697</v>
      </c>
      <c r="AC245" s="290">
        <f t="shared" ca="1" si="53"/>
        <v>1.0253603397076718</v>
      </c>
      <c r="AD245" s="290">
        <f t="shared" ca="1" si="53"/>
        <v>1.0264275188075103</v>
      </c>
    </row>
    <row r="246" spans="1:30">
      <c r="A246" s="90">
        <v>160</v>
      </c>
      <c r="B246" s="90">
        <f t="shared" si="46"/>
        <v>0.64</v>
      </c>
      <c r="C246" s="291">
        <f t="shared" ca="1" si="47"/>
        <v>-9.1080692471019256E-3</v>
      </c>
      <c r="D246" s="292">
        <f t="shared" ca="1" si="48"/>
        <v>-2.1479367145998962</v>
      </c>
      <c r="E246" s="291">
        <f t="shared" ca="1" si="49"/>
        <v>-1.0496340752718162E-2</v>
      </c>
      <c r="F246" s="293">
        <f t="shared" ca="1" si="50"/>
        <v>0.99401744705611605</v>
      </c>
      <c r="T246" s="289">
        <f t="shared" ref="T246:AD255" ca="1" si="54">EXP(T$82-$E246*T$83)</f>
        <v>1</v>
      </c>
      <c r="U246" s="290">
        <f t="shared" ca="1" si="54"/>
        <v>1.005043924796641</v>
      </c>
      <c r="V246" s="290">
        <f t="shared" ca="1" si="54"/>
        <v>1.0096847388566328</v>
      </c>
      <c r="W246" s="290">
        <f t="shared" ca="1" si="54"/>
        <v>1.0139309871492836</v>
      </c>
      <c r="X246" s="290">
        <f t="shared" ca="1" si="54"/>
        <v>1.0177918097941465</v>
      </c>
      <c r="Y246" s="290">
        <f t="shared" ca="1" si="54"/>
        <v>1.0212768957082001</v>
      </c>
      <c r="Z246" s="290">
        <f t="shared" ca="1" si="54"/>
        <v>1.0243964367514871</v>
      </c>
      <c r="AA246" s="290">
        <f t="shared" ca="1" si="54"/>
        <v>1.0271610825632032</v>
      </c>
      <c r="AB246" s="290">
        <f t="shared" ca="1" si="54"/>
        <v>1.0295818962648953</v>
      </c>
      <c r="AC246" s="290">
        <f t="shared" ca="1" si="54"/>
        <v>1.0316703111909926</v>
      </c>
      <c r="AD246" s="290">
        <f t="shared" ca="1" si="54"/>
        <v>1.0334380887905457</v>
      </c>
    </row>
    <row r="247" spans="1:30">
      <c r="A247" s="90">
        <v>161</v>
      </c>
      <c r="B247" s="90">
        <f t="shared" si="46"/>
        <v>0.64400000000000002</v>
      </c>
      <c r="C247" s="291">
        <f t="shared" ca="1" si="47"/>
        <v>-1.0489323001137562E-2</v>
      </c>
      <c r="D247" s="292">
        <f t="shared" ca="1" si="48"/>
        <v>0.77461323993891829</v>
      </c>
      <c r="E247" s="291">
        <f t="shared" ca="1" si="49"/>
        <v>-9.9886688237724782E-3</v>
      </c>
      <c r="F247" s="293">
        <f t="shared" ca="1" si="50"/>
        <v>0.99397672297651063</v>
      </c>
      <c r="T247" s="289">
        <f t="shared" ca="1" si="54"/>
        <v>1</v>
      </c>
      <c r="U247" s="290">
        <f t="shared" ca="1" si="54"/>
        <v>1.0047892118438748</v>
      </c>
      <c r="V247" s="290">
        <f t="shared" ca="1" si="54"/>
        <v>1.0091737692389902</v>
      </c>
      <c r="W247" s="290">
        <f t="shared" ca="1" si="54"/>
        <v>1.0131625245923506</v>
      </c>
      <c r="X247" s="290">
        <f t="shared" ca="1" si="54"/>
        <v>1.0167649143121102</v>
      </c>
      <c r="Y247" s="290">
        <f t="shared" ca="1" si="54"/>
        <v>1.0199909118472592</v>
      </c>
      <c r="Z247" s="290">
        <f t="shared" ca="1" si="54"/>
        <v>1.0228509813009272</v>
      </c>
      <c r="AA247" s="290">
        <f t="shared" ca="1" si="54"/>
        <v>1.0253560318072692</v>
      </c>
      <c r="AB247" s="290">
        <f t="shared" ca="1" si="54"/>
        <v>1.0275173728462406</v>
      </c>
      <c r="AC247" s="290">
        <f t="shared" ca="1" si="54"/>
        <v>1.029346670653835</v>
      </c>
      <c r="AD247" s="290">
        <f t="shared" ca="1" si="54"/>
        <v>1.0308559058687732</v>
      </c>
    </row>
    <row r="248" spans="1:30">
      <c r="A248" s="90">
        <v>162</v>
      </c>
      <c r="B248" s="90">
        <f t="shared" si="46"/>
        <v>0.64800000000000002</v>
      </c>
      <c r="C248" s="291">
        <f t="shared" ca="1" si="47"/>
        <v>-9.9816628978284649E-3</v>
      </c>
      <c r="D248" s="292">
        <f t="shared" ca="1" si="48"/>
        <v>1.5697033203409685</v>
      </c>
      <c r="E248" s="291">
        <f t="shared" ca="1" si="49"/>
        <v>-8.9671197890448875E-3</v>
      </c>
      <c r="F248" s="293">
        <f t="shared" ca="1" si="50"/>
        <v>0.99393904046552328</v>
      </c>
      <c r="T248" s="289">
        <f t="shared" ca="1" si="54"/>
        <v>1</v>
      </c>
      <c r="U248" s="290">
        <f t="shared" ca="1" si="54"/>
        <v>1.0042768682505698</v>
      </c>
      <c r="V248" s="290">
        <f t="shared" ca="1" si="54"/>
        <v>1.0081463680638072</v>
      </c>
      <c r="W248" s="290">
        <f t="shared" ca="1" si="54"/>
        <v>1.0116179713598961</v>
      </c>
      <c r="X248" s="290">
        <f t="shared" ca="1" si="54"/>
        <v>1.0147017107108256</v>
      </c>
      <c r="Y248" s="290">
        <f t="shared" ca="1" si="54"/>
        <v>1.017408131210098</v>
      </c>
      <c r="Z248" s="290">
        <f t="shared" ca="1" si="54"/>
        <v>1.0197482430692144</v>
      </c>
      <c r="AA248" s="290">
        <f t="shared" ca="1" si="54"/>
        <v>1.0217334751264229</v>
      </c>
      <c r="AB248" s="290">
        <f t="shared" ca="1" si="54"/>
        <v>1.0233756294369001</v>
      </c>
      <c r="AC248" s="290">
        <f t="shared" ca="1" si="54"/>
        <v>1.0246868370962452</v>
      </c>
      <c r="AD248" s="290">
        <f t="shared" ca="1" si="54"/>
        <v>1.0256795154320992</v>
      </c>
    </row>
    <row r="249" spans="1:30">
      <c r="A249" s="90">
        <v>163</v>
      </c>
      <c r="B249" s="90">
        <f t="shared" si="46"/>
        <v>0.65200000000000002</v>
      </c>
      <c r="C249" s="291">
        <f t="shared" ca="1" si="47"/>
        <v>-8.9601376589165393E-3</v>
      </c>
      <c r="D249" s="292">
        <f t="shared" ca="1" si="48"/>
        <v>3.1834550558340548E-3</v>
      </c>
      <c r="E249" s="291">
        <f t="shared" ca="1" si="49"/>
        <v>-8.9580801029776769E-3</v>
      </c>
      <c r="F249" s="293">
        <f t="shared" ca="1" si="50"/>
        <v>0.9939034079922846</v>
      </c>
      <c r="T249" s="289">
        <f t="shared" ca="1" si="54"/>
        <v>1</v>
      </c>
      <c r="U249" s="290">
        <f t="shared" ca="1" si="54"/>
        <v>1.0042723356890875</v>
      </c>
      <c r="V249" s="290">
        <f t="shared" ca="1" si="54"/>
        <v>1.0081372812625191</v>
      </c>
      <c r="W249" s="290">
        <f t="shared" ca="1" si="54"/>
        <v>1.0116043141260118</v>
      </c>
      <c r="X249" s="290">
        <f t="shared" ca="1" si="54"/>
        <v>1.0146834721250244</v>
      </c>
      <c r="Y249" s="290">
        <f t="shared" ca="1" si="54"/>
        <v>1.0173853054044324</v>
      </c>
      <c r="Z249" s="290">
        <f t="shared" ca="1" si="54"/>
        <v>1.0197208289963446</v>
      </c>
      <c r="AA249" s="290">
        <f t="shared" ca="1" si="54"/>
        <v>1.0217014763215102</v>
      </c>
      <c r="AB249" s="290">
        <f t="shared" ca="1" si="54"/>
        <v>1.0233390537734304</v>
      </c>
      <c r="AC249" s="290">
        <f t="shared" ca="1" si="54"/>
        <v>1.0246456965370101</v>
      </c>
      <c r="AD249" s="290">
        <f t="shared" ca="1" si="54"/>
        <v>1.0256338257765014</v>
      </c>
    </row>
    <row r="250" spans="1:30">
      <c r="A250" s="90">
        <v>164</v>
      </c>
      <c r="B250" s="90">
        <f t="shared" si="46"/>
        <v>0.65600000000000003</v>
      </c>
      <c r="C250" s="291">
        <f t="shared" ca="1" si="47"/>
        <v>-8.951098183418469E-3</v>
      </c>
      <c r="D250" s="292">
        <f t="shared" ca="1" si="48"/>
        <v>0.16258857746346828</v>
      </c>
      <c r="E250" s="291">
        <f t="shared" ca="1" si="49"/>
        <v>-8.8460126435620234E-3</v>
      </c>
      <c r="F250" s="293">
        <f t="shared" ca="1" si="50"/>
        <v>0.99386801752546949</v>
      </c>
      <c r="T250" s="289">
        <f t="shared" ca="1" si="54"/>
        <v>1</v>
      </c>
      <c r="U250" s="290">
        <f t="shared" ca="1" si="54"/>
        <v>1.0042161459840826</v>
      </c>
      <c r="V250" s="290">
        <f t="shared" ca="1" si="54"/>
        <v>1.0080246365041989</v>
      </c>
      <c r="W250" s="290">
        <f t="shared" ca="1" si="54"/>
        <v>1.0114350169748281</v>
      </c>
      <c r="X250" s="290">
        <f t="shared" ca="1" si="54"/>
        <v>1.0144573906132706</v>
      </c>
      <c r="Y250" s="290">
        <f t="shared" ca="1" si="54"/>
        <v>1.0171023701754016</v>
      </c>
      <c r="Z250" s="290">
        <f t="shared" ca="1" si="54"/>
        <v>1.0193810304365192</v>
      </c>
      <c r="AA250" s="290">
        <f t="shared" ca="1" si="54"/>
        <v>1.0213048616022096</v>
      </c>
      <c r="AB250" s="290">
        <f t="shared" ca="1" si="54"/>
        <v>1.02288572381775</v>
      </c>
      <c r="AC250" s="290">
        <f t="shared" ca="1" si="54"/>
        <v>1.0241358029272272</v>
      </c>
      <c r="AD250" s="290">
        <f t="shared" ca="1" si="54"/>
        <v>1.0250675676164169</v>
      </c>
    </row>
    <row r="251" spans="1:30">
      <c r="A251" s="90">
        <v>165</v>
      </c>
      <c r="B251" s="90">
        <f t="shared" si="46"/>
        <v>0.66</v>
      </c>
      <c r="C251" s="291">
        <f t="shared" ca="1" si="47"/>
        <v>-8.8390333344860288E-3</v>
      </c>
      <c r="D251" s="292">
        <f t="shared" ca="1" si="48"/>
        <v>1.2496960172330223</v>
      </c>
      <c r="E251" s="291">
        <f t="shared" ca="1" si="49"/>
        <v>-8.0313198857544302E-3</v>
      </c>
      <c r="F251" s="293">
        <f t="shared" ca="1" si="50"/>
        <v>0.99383447040961448</v>
      </c>
      <c r="T251" s="289">
        <f t="shared" ca="1" si="54"/>
        <v>1</v>
      </c>
      <c r="U251" s="290">
        <f t="shared" ca="1" si="54"/>
        <v>1.0038077602066713</v>
      </c>
      <c r="V251" s="290">
        <f t="shared" ca="1" si="54"/>
        <v>1.0072061252223157</v>
      </c>
      <c r="W251" s="290">
        <f t="shared" ca="1" si="54"/>
        <v>1.0102051349475119</v>
      </c>
      <c r="X251" s="290">
        <f t="shared" ca="1" si="54"/>
        <v>1.0128153674763691</v>
      </c>
      <c r="Y251" s="290">
        <f t="shared" ca="1" si="54"/>
        <v>1.0150478899579776</v>
      </c>
      <c r="Z251" s="290">
        <f t="shared" ca="1" si="54"/>
        <v>1.0169142103270301</v>
      </c>
      <c r="AA251" s="290">
        <f t="shared" ca="1" si="54"/>
        <v>1.0184262300845039</v>
      </c>
      <c r="AB251" s="290">
        <f t="shared" ca="1" si="54"/>
        <v>1.0195961982924084</v>
      </c>
      <c r="AC251" s="290">
        <f t="shared" ca="1" si="54"/>
        <v>1.0204366669288218</v>
      </c>
      <c r="AD251" s="290">
        <f t="shared" ca="1" si="54"/>
        <v>1.0209604477319709</v>
      </c>
    </row>
    <row r="252" spans="1:30">
      <c r="A252" s="90">
        <v>166</v>
      </c>
      <c r="B252" s="90">
        <f t="shared" si="46"/>
        <v>0.66400000000000003</v>
      </c>
      <c r="C252" s="291">
        <f t="shared" ca="1" si="47"/>
        <v>-8.0243595540138643E-3</v>
      </c>
      <c r="D252" s="292">
        <f t="shared" ca="1" si="48"/>
        <v>-5.2532112332532591E-2</v>
      </c>
      <c r="E252" s="291">
        <f t="shared" ca="1" si="49"/>
        <v>-8.0583125258055274E-3</v>
      </c>
      <c r="F252" s="293">
        <f t="shared" ca="1" si="50"/>
        <v>0.99380249006155563</v>
      </c>
      <c r="T252" s="289">
        <f t="shared" ca="1" si="54"/>
        <v>1</v>
      </c>
      <c r="U252" s="290">
        <f t="shared" ca="1" si="54"/>
        <v>1.0038212883038529</v>
      </c>
      <c r="V252" s="290">
        <f t="shared" ca="1" si="54"/>
        <v>1.0072332337303342</v>
      </c>
      <c r="W252" s="290">
        <f t="shared" ca="1" si="54"/>
        <v>1.01024585979654</v>
      </c>
      <c r="X252" s="290">
        <f t="shared" ca="1" si="54"/>
        <v>1.0128697288751611</v>
      </c>
      <c r="Y252" s="290">
        <f t="shared" ca="1" si="54"/>
        <v>1.0151158930841451</v>
      </c>
      <c r="Z252" s="290">
        <f t="shared" ca="1" si="54"/>
        <v>1.0169958460413944</v>
      </c>
      <c r="AA252" s="290">
        <f t="shared" ca="1" si="54"/>
        <v>1.0185214756655334</v>
      </c>
      <c r="AB252" s="290">
        <f t="shared" ca="1" si="54"/>
        <v>1.0197050181868976</v>
      </c>
      <c r="AC252" s="290">
        <f t="shared" ca="1" si="54"/>
        <v>1.020559013515147</v>
      </c>
      <c r="AD252" s="290">
        <f t="shared" ca="1" si="54"/>
        <v>1.0210962620924293</v>
      </c>
    </row>
    <row r="253" spans="1:30">
      <c r="A253" s="90">
        <v>167</v>
      </c>
      <c r="B253" s="90">
        <f t="shared" si="46"/>
        <v>0.66800000000000004</v>
      </c>
      <c r="C253" s="291">
        <f t="shared" ca="1" si="47"/>
        <v>-8.0513515653023032E-3</v>
      </c>
      <c r="D253" s="292">
        <f t="shared" ca="1" si="48"/>
        <v>-0.52003411349413975</v>
      </c>
      <c r="E253" s="291">
        <f t="shared" ca="1" si="49"/>
        <v>-8.3874641410616839E-3</v>
      </c>
      <c r="F253" s="293">
        <f t="shared" ca="1" si="50"/>
        <v>0.99376980289151939</v>
      </c>
      <c r="T253" s="289">
        <f t="shared" ca="1" si="54"/>
        <v>1</v>
      </c>
      <c r="U253" s="290">
        <f t="shared" ca="1" si="54"/>
        <v>1.0039862662732377</v>
      </c>
      <c r="V253" s="290">
        <f t="shared" ca="1" si="54"/>
        <v>1.0075638569539669</v>
      </c>
      <c r="W253" s="290">
        <f t="shared" ca="1" si="54"/>
        <v>1.0107425957705083</v>
      </c>
      <c r="X253" s="290">
        <f t="shared" ca="1" si="54"/>
        <v>1.0135328533119701</v>
      </c>
      <c r="Y253" s="290">
        <f t="shared" ca="1" si="54"/>
        <v>1.0159454982661111</v>
      </c>
      <c r="Z253" s="290">
        <f t="shared" ca="1" si="54"/>
        <v>1.0179918494719618</v>
      </c>
      <c r="AA253" s="290">
        <f t="shared" ca="1" si="54"/>
        <v>1.0196836289698972</v>
      </c>
      <c r="AB253" s="290">
        <f t="shared" ca="1" si="54"/>
        <v>1.0210329162151814</v>
      </c>
      <c r="AC253" s="290">
        <f t="shared" ca="1" si="54"/>
        <v>1.0220521036034143</v>
      </c>
      <c r="AD253" s="290">
        <f t="shared" ca="1" si="54"/>
        <v>1.02275385343898</v>
      </c>
    </row>
    <row r="254" spans="1:30">
      <c r="A254" s="90">
        <v>168</v>
      </c>
      <c r="B254" s="90">
        <f t="shared" si="46"/>
        <v>0.67200000000000004</v>
      </c>
      <c r="C254" s="291">
        <f t="shared" ca="1" si="47"/>
        <v>-8.3804955133482753E-3</v>
      </c>
      <c r="D254" s="292">
        <f t="shared" ca="1" si="48"/>
        <v>-0.56999284852131693</v>
      </c>
      <c r="E254" s="291">
        <f t="shared" ca="1" si="49"/>
        <v>-8.7488978152543521E-3</v>
      </c>
      <c r="F254" s="293">
        <f t="shared" ca="1" si="50"/>
        <v>0.99373574427707623</v>
      </c>
      <c r="T254" s="289">
        <f t="shared" ca="1" si="54"/>
        <v>1</v>
      </c>
      <c r="U254" s="290">
        <f t="shared" ca="1" si="54"/>
        <v>1.0041674559483158</v>
      </c>
      <c r="V254" s="290">
        <f t="shared" ca="1" si="54"/>
        <v>1.0079270315827358</v>
      </c>
      <c r="W254" s="290">
        <f t="shared" ca="1" si="54"/>
        <v>1.01128833125652</v>
      </c>
      <c r="X254" s="290">
        <f t="shared" ca="1" si="54"/>
        <v>1.0142615148288139</v>
      </c>
      <c r="Y254" s="290">
        <f t="shared" ca="1" si="54"/>
        <v>1.0168572492937229</v>
      </c>
      <c r="Z254" s="290">
        <f t="shared" ca="1" si="54"/>
        <v>1.0190866611691949</v>
      </c>
      <c r="AA254" s="290">
        <f t="shared" ca="1" si="54"/>
        <v>1.0209612898301739</v>
      </c>
      <c r="AB254" s="290">
        <f t="shared" ca="1" si="54"/>
        <v>1.0224930419540226</v>
      </c>
      <c r="AC254" s="290">
        <f t="shared" ca="1" si="54"/>
        <v>1.0236941472288186</v>
      </c>
      <c r="AD254" s="290">
        <f t="shared" ca="1" si="54"/>
        <v>1.024577115457955</v>
      </c>
    </row>
    <row r="255" spans="1:30">
      <c r="A255" s="90">
        <v>169</v>
      </c>
      <c r="B255" s="90">
        <f t="shared" si="46"/>
        <v>0.67600000000000005</v>
      </c>
      <c r="C255" s="291">
        <f t="shared" ca="1" si="47"/>
        <v>-8.741920768357142E-3</v>
      </c>
      <c r="D255" s="292">
        <f t="shared" ca="1" si="48"/>
        <v>-1.0908292138317106</v>
      </c>
      <c r="E255" s="291">
        <f t="shared" ca="1" si="49"/>
        <v>-9.4469541637839764E-3</v>
      </c>
      <c r="F255" s="293">
        <f t="shared" ca="1" si="50"/>
        <v>0.99369958119807988</v>
      </c>
      <c r="T255" s="289">
        <f t="shared" ca="1" si="54"/>
        <v>1</v>
      </c>
      <c r="U255" s="290">
        <f t="shared" ca="1" si="54"/>
        <v>1.0045174899086526</v>
      </c>
      <c r="V255" s="290">
        <f t="shared" ca="1" si="54"/>
        <v>1.0086288209322152</v>
      </c>
      <c r="W255" s="290">
        <f t="shared" ca="1" si="54"/>
        <v>1.0123431738853614</v>
      </c>
      <c r="X255" s="290">
        <f t="shared" ca="1" si="54"/>
        <v>1.0156703013540702</v>
      </c>
      <c r="Y255" s="290">
        <f t="shared" ca="1" si="54"/>
        <v>1.0186204801060397</v>
      </c>
      <c r="Z255" s="290">
        <f t="shared" ca="1" si="54"/>
        <v>1.021204464155625</v>
      </c>
      <c r="AA255" s="290">
        <f t="shared" ca="1" si="54"/>
        <v>1.0234334386709643</v>
      </c>
      <c r="AB255" s="290">
        <f t="shared" ca="1" si="54"/>
        <v>1.0253189748949318</v>
      </c>
      <c r="AC255" s="290">
        <f t="shared" ca="1" si="54"/>
        <v>1.0268729862345447</v>
      </c>
      <c r="AD255" s="290">
        <f t="shared" ca="1" si="54"/>
        <v>1.0281076856565865</v>
      </c>
    </row>
    <row r="256" spans="1:30">
      <c r="A256" s="90">
        <v>170</v>
      </c>
      <c r="B256" s="90">
        <f t="shared" si="46"/>
        <v>0.68</v>
      </c>
      <c r="C256" s="291">
        <f t="shared" ca="1" si="47"/>
        <v>-9.4399608564630089E-3</v>
      </c>
      <c r="D256" s="292">
        <f t="shared" ca="1" si="48"/>
        <v>-0.2544387012780947</v>
      </c>
      <c r="E256" s="291">
        <f t="shared" ca="1" si="49"/>
        <v>-9.6044116973604231E-3</v>
      </c>
      <c r="F256" s="293">
        <f t="shared" ca="1" si="50"/>
        <v>0.99366171925085134</v>
      </c>
      <c r="T256" s="289">
        <f t="shared" ref="T256:AD265" ca="1" si="55">EXP(T$82-$E256*T$83)</f>
        <v>1</v>
      </c>
      <c r="U256" s="290">
        <f t="shared" ca="1" si="55"/>
        <v>1.0045964624100003</v>
      </c>
      <c r="V256" s="290">
        <f t="shared" ca="1" si="55"/>
        <v>1.008787188030897</v>
      </c>
      <c r="W256" s="290">
        <f t="shared" ca="1" si="55"/>
        <v>1.0125812621897521</v>
      </c>
      <c r="X256" s="290">
        <f t="shared" ca="1" si="55"/>
        <v>1.015988345575138</v>
      </c>
      <c r="Y256" s="290">
        <f t="shared" ca="1" si="55"/>
        <v>1.0190186268284172</v>
      </c>
      <c r="Z256" s="290">
        <f t="shared" ca="1" si="55"/>
        <v>1.0216827757659559</v>
      </c>
      <c r="AA256" s="290">
        <f t="shared" ca="1" si="55"/>
        <v>1.0239918974206181</v>
      </c>
      <c r="AB256" s="290">
        <f t="shared" ca="1" si="55"/>
        <v>1.0259574870749733</v>
      </c>
      <c r="AC256" s="290">
        <f t="shared" ca="1" si="55"/>
        <v>1.027591386441713</v>
      </c>
      <c r="AD256" s="290">
        <f t="shared" ca="1" si="55"/>
        <v>1.0289057411299924</v>
      </c>
    </row>
    <row r="257" spans="1:30">
      <c r="A257" s="90">
        <v>171</v>
      </c>
      <c r="B257" s="90">
        <f t="shared" si="46"/>
        <v>0.68400000000000005</v>
      </c>
      <c r="C257" s="291">
        <f t="shared" ca="1" si="47"/>
        <v>-9.5974147222464105E-3</v>
      </c>
      <c r="D257" s="292">
        <f t="shared" ca="1" si="48"/>
        <v>1.7357117212230326</v>
      </c>
      <c r="E257" s="291">
        <f t="shared" ca="1" si="49"/>
        <v>-8.4755757461912416E-3</v>
      </c>
      <c r="F257" s="293">
        <f t="shared" ca="1" si="50"/>
        <v>0.9936257891176572</v>
      </c>
      <c r="T257" s="289">
        <f t="shared" ca="1" si="55"/>
        <v>1</v>
      </c>
      <c r="U257" s="290">
        <f t="shared" ca="1" si="55"/>
        <v>1.0040304343321558</v>
      </c>
      <c r="V257" s="290">
        <f t="shared" ca="1" si="55"/>
        <v>1.0076523809113938</v>
      </c>
      <c r="W257" s="290">
        <f t="shared" ca="1" si="55"/>
        <v>1.0108756099839409</v>
      </c>
      <c r="X257" s="290">
        <f t="shared" ca="1" si="55"/>
        <v>1.0137104407783661</v>
      </c>
      <c r="Y257" s="290">
        <f t="shared" ca="1" si="55"/>
        <v>1.0161676928379659</v>
      </c>
      <c r="Z257" s="290">
        <f t="shared" ca="1" si="55"/>
        <v>1.0182586381544827</v>
      </c>
      <c r="AA257" s="290">
        <f t="shared" ca="1" si="55"/>
        <v>1.0199949542862936</v>
      </c>
      <c r="AB257" s="290">
        <f t="shared" ca="1" si="55"/>
        <v>1.0213886786275728</v>
      </c>
      <c r="AC257" s="290">
        <f t="shared" ca="1" si="55"/>
        <v>1.0224521639773976</v>
      </c>
      <c r="AD257" s="290">
        <f t="shared" ca="1" si="55"/>
        <v>1.023198035540468</v>
      </c>
    </row>
    <row r="258" spans="1:30">
      <c r="A258" s="90">
        <v>172</v>
      </c>
      <c r="B258" s="90">
        <f t="shared" si="46"/>
        <v>0.68800000000000006</v>
      </c>
      <c r="C258" s="291">
        <f t="shared" ca="1" si="47"/>
        <v>-8.4686050660188299E-3</v>
      </c>
      <c r="D258" s="292">
        <f t="shared" ca="1" si="48"/>
        <v>-0.9664558924820259</v>
      </c>
      <c r="E258" s="291">
        <f t="shared" ca="1" si="49"/>
        <v>-9.093252509236276E-3</v>
      </c>
      <c r="F258" s="293">
        <f t="shared" ca="1" si="50"/>
        <v>0.99359087604936414</v>
      </c>
      <c r="T258" s="289">
        <f t="shared" ca="1" si="55"/>
        <v>1</v>
      </c>
      <c r="U258" s="290">
        <f t="shared" ca="1" si="55"/>
        <v>1.0043401142081088</v>
      </c>
      <c r="V258" s="290">
        <f t="shared" ca="1" si="55"/>
        <v>1.0082731667377267</v>
      </c>
      <c r="W258" s="290">
        <f t="shared" ca="1" si="55"/>
        <v>1.0118085529726304</v>
      </c>
      <c r="X258" s="290">
        <f t="shared" ca="1" si="55"/>
        <v>1.0149562318974101</v>
      </c>
      <c r="Y258" s="290">
        <f t="shared" ca="1" si="55"/>
        <v>1.0177266781077772</v>
      </c>
      <c r="Z258" s="290">
        <f t="shared" ca="1" si="55"/>
        <v>1.0201308345286011</v>
      </c>
      <c r="AA258" s="290">
        <f t="shared" ca="1" si="55"/>
        <v>1.0221800660257503</v>
      </c>
      <c r="AB258" s="290">
        <f t="shared" ca="1" si="55"/>
        <v>1.0238861140815647</v>
      </c>
      <c r="AC258" s="290">
        <f t="shared" ca="1" si="55"/>
        <v>1.0252610526865762</v>
      </c>
      <c r="AD258" s="290">
        <f t="shared" ca="1" si="55"/>
        <v>1.0263172455830702</v>
      </c>
    </row>
    <row r="259" spans="1:30">
      <c r="A259" s="90">
        <v>173</v>
      </c>
      <c r="B259" s="90">
        <f t="shared" si="46"/>
        <v>0.69200000000000006</v>
      </c>
      <c r="C259" s="291">
        <f t="shared" ca="1" si="47"/>
        <v>-9.0862674409905621E-3</v>
      </c>
      <c r="D259" s="292">
        <f t="shared" ca="1" si="48"/>
        <v>-0.28613678417949662</v>
      </c>
      <c r="E259" s="291">
        <f t="shared" ca="1" si="49"/>
        <v>-9.2712056384174138E-3</v>
      </c>
      <c r="F259" s="293">
        <f t="shared" ca="1" si="50"/>
        <v>0.99355438320342138</v>
      </c>
      <c r="T259" s="289">
        <f t="shared" ca="1" si="55"/>
        <v>1</v>
      </c>
      <c r="U259" s="290">
        <f t="shared" ca="1" si="55"/>
        <v>1.0044293509298128</v>
      </c>
      <c r="V259" s="290">
        <f t="shared" ca="1" si="55"/>
        <v>1.0084520865437836</v>
      </c>
      <c r="W259" s="290">
        <f t="shared" ca="1" si="55"/>
        <v>1.0120774942612181</v>
      </c>
      <c r="X259" s="290">
        <f t="shared" ca="1" si="55"/>
        <v>1.0153154292312203</v>
      </c>
      <c r="Y259" s="290">
        <f t="shared" ca="1" si="55"/>
        <v>1.018176266543227</v>
      </c>
      <c r="Z259" s="290">
        <f t="shared" ca="1" si="55"/>
        <v>1.0206708541184673</v>
      </c>
      <c r="AA259" s="290">
        <f t="shared" ca="1" si="55"/>
        <v>1.0228104664692275</v>
      </c>
      <c r="AB259" s="290">
        <f t="shared" ca="1" si="55"/>
        <v>1.0246067594966715</v>
      </c>
      <c r="AC259" s="290">
        <f t="shared" ca="1" si="55"/>
        <v>1.0260717264808488</v>
      </c>
      <c r="AD259" s="290">
        <f t="shared" ca="1" si="55"/>
        <v>1.0272176553995835</v>
      </c>
    </row>
    <row r="260" spans="1:30">
      <c r="A260" s="90">
        <v>174</v>
      </c>
      <c r="B260" s="90">
        <f t="shared" si="46"/>
        <v>0.69600000000000006</v>
      </c>
      <c r="C260" s="291">
        <f t="shared" ca="1" si="47"/>
        <v>-9.2642164249572105E-3</v>
      </c>
      <c r="D260" s="292">
        <f t="shared" ca="1" si="48"/>
        <v>-1.2905493336927913</v>
      </c>
      <c r="E260" s="291">
        <f t="shared" ca="1" si="49"/>
        <v>-1.0098334513437047E-2</v>
      </c>
      <c r="F260" s="293">
        <f t="shared" ca="1" si="50"/>
        <v>0.99351589456589628</v>
      </c>
      <c r="T260" s="289">
        <f t="shared" ca="1" si="55"/>
        <v>1</v>
      </c>
      <c r="U260" s="290">
        <f t="shared" ca="1" si="55"/>
        <v>1.0048442286662442</v>
      </c>
      <c r="V260" s="290">
        <f t="shared" ca="1" si="55"/>
        <v>1.0092841253842797</v>
      </c>
      <c r="W260" s="290">
        <f t="shared" ca="1" si="55"/>
        <v>1.0133284761186405</v>
      </c>
      <c r="X260" s="290">
        <f t="shared" ca="1" si="55"/>
        <v>1.0169866532689993</v>
      </c>
      <c r="Y260" s="290">
        <f t="shared" ca="1" si="55"/>
        <v>1.0202685688396416</v>
      </c>
      <c r="Z260" s="290">
        <f t="shared" ca="1" si="55"/>
        <v>1.0231846281662638</v>
      </c>
      <c r="AA260" s="290">
        <f t="shared" ca="1" si="55"/>
        <v>1.0257456843905122</v>
      </c>
      <c r="AB260" s="290">
        <f t="shared" ca="1" si="55"/>
        <v>1.0279629938570878</v>
      </c>
      <c r="AC260" s="290">
        <f t="shared" ca="1" si="55"/>
        <v>1.029848172591574</v>
      </c>
      <c r="AD260" s="290">
        <f t="shared" ca="1" si="55"/>
        <v>1.0314131540006077</v>
      </c>
    </row>
    <row r="261" spans="1:30">
      <c r="A261" s="90">
        <v>175</v>
      </c>
      <c r="B261" s="90">
        <f t="shared" si="46"/>
        <v>0.70000000000000007</v>
      </c>
      <c r="C261" s="291">
        <f t="shared" ca="1" si="47"/>
        <v>-1.0091326032956297E-2</v>
      </c>
      <c r="D261" s="292">
        <f t="shared" ca="1" si="48"/>
        <v>0.35336045141973804</v>
      </c>
      <c r="E261" s="291">
        <f t="shared" ca="1" si="49"/>
        <v>-9.862939301362535E-3</v>
      </c>
      <c r="F261" s="293">
        <f t="shared" ca="1" si="50"/>
        <v>0.99347623167200183</v>
      </c>
      <c r="T261" s="289">
        <f t="shared" ca="1" si="55"/>
        <v>1</v>
      </c>
      <c r="U261" s="290">
        <f t="shared" ca="1" si="55"/>
        <v>1.0047261398625176</v>
      </c>
      <c r="V261" s="290">
        <f t="shared" ca="1" si="55"/>
        <v>1.0090472629700649</v>
      </c>
      <c r="W261" s="290">
        <f t="shared" ca="1" si="55"/>
        <v>1.0129722979231226</v>
      </c>
      <c r="X261" s="290">
        <f t="shared" ca="1" si="55"/>
        <v>1.0165107545154539</v>
      </c>
      <c r="Y261" s="290">
        <f t="shared" ca="1" si="55"/>
        <v>1.0196726766259836</v>
      </c>
      <c r="Z261" s="290">
        <f t="shared" ca="1" si="55"/>
        <v>1.0224685957030015</v>
      </c>
      <c r="AA261" s="290">
        <f t="shared" ca="1" si="55"/>
        <v>1.0249094850301486</v>
      </c>
      <c r="AB261" s="290">
        <f t="shared" ca="1" si="55"/>
        <v>1.0270067149478737</v>
      </c>
      <c r="AC261" s="290">
        <f t="shared" ca="1" si="55"/>
        <v>1.0287720091872741</v>
      </c>
      <c r="AD261" s="290">
        <f t="shared" ca="1" si="55"/>
        <v>1.0302174024565631</v>
      </c>
    </row>
    <row r="262" spans="1:30">
      <c r="A262" s="90">
        <v>176</v>
      </c>
      <c r="B262" s="90">
        <f t="shared" si="46"/>
        <v>0.70399999999999996</v>
      </c>
      <c r="C262" s="291">
        <f t="shared" ca="1" si="47"/>
        <v>-9.8559363041438551E-3</v>
      </c>
      <c r="D262" s="292">
        <f t="shared" ca="1" si="48"/>
        <v>-1.511515292853743</v>
      </c>
      <c r="E262" s="291">
        <f t="shared" ca="1" si="49"/>
        <v>-1.0832870865161827E-2</v>
      </c>
      <c r="F262" s="293">
        <f t="shared" ca="1" si="50"/>
        <v>0.9934351109320434</v>
      </c>
      <c r="T262" s="289">
        <f t="shared" ca="1" si="55"/>
        <v>1</v>
      </c>
      <c r="U262" s="290">
        <f t="shared" ca="1" si="55"/>
        <v>1.005212806785498</v>
      </c>
      <c r="V262" s="290">
        <f t="shared" ca="1" si="55"/>
        <v>1.0100235975553751</v>
      </c>
      <c r="W262" s="290">
        <f t="shared" ca="1" si="55"/>
        <v>1.0144407137081077</v>
      </c>
      <c r="X262" s="290">
        <f t="shared" ca="1" si="55"/>
        <v>1.0184730990162882</v>
      </c>
      <c r="Y262" s="290">
        <f t="shared" ca="1" si="55"/>
        <v>1.0221302536858019</v>
      </c>
      <c r="Z262" s="290">
        <f t="shared" ca="1" si="55"/>
        <v>1.0254221888640092</v>
      </c>
      <c r="AA262" s="290">
        <f t="shared" ca="1" si="55"/>
        <v>1.0283593817901988</v>
      </c>
      <c r="AB262" s="290">
        <f t="shared" ca="1" si="55"/>
        <v>1.0309527317664542</v>
      </c>
      <c r="AC262" s="290">
        <f t="shared" ca="1" si="55"/>
        <v>1.0332135171108476</v>
      </c>
      <c r="AD262" s="290">
        <f t="shared" ca="1" si="55"/>
        <v>1.0351533532386905</v>
      </c>
    </row>
    <row r="263" spans="1:30">
      <c r="A263" s="90">
        <v>177</v>
      </c>
      <c r="B263" s="90">
        <f t="shared" si="46"/>
        <v>0.70799999999999996</v>
      </c>
      <c r="C263" s="291">
        <f t="shared" ca="1" si="47"/>
        <v>-1.0825845274497396E-2</v>
      </c>
      <c r="D263" s="292">
        <f t="shared" ca="1" si="48"/>
        <v>0.94555543775706119</v>
      </c>
      <c r="E263" s="291">
        <f t="shared" ca="1" si="49"/>
        <v>-1.0214706379065304E-2</v>
      </c>
      <c r="F263" s="293">
        <f t="shared" ca="1" si="50"/>
        <v>0.99339329300774659</v>
      </c>
      <c r="T263" s="289">
        <f t="shared" ca="1" si="55"/>
        <v>1</v>
      </c>
      <c r="U263" s="290">
        <f t="shared" ca="1" si="55"/>
        <v>1.0049026131214005</v>
      </c>
      <c r="V263" s="290">
        <f t="shared" ca="1" si="55"/>
        <v>1.0094012431249448</v>
      </c>
      <c r="W263" s="290">
        <f t="shared" ca="1" si="55"/>
        <v>1.0135046054872721</v>
      </c>
      <c r="X263" s="290">
        <f t="shared" ca="1" si="55"/>
        <v>1.01722200468757</v>
      </c>
      <c r="Y263" s="290">
        <f t="shared" ca="1" si="55"/>
        <v>1.0205632875156443</v>
      </c>
      <c r="Z263" s="290">
        <f t="shared" ca="1" si="55"/>
        <v>1.0235387969200584</v>
      </c>
      <c r="AA263" s="290">
        <f t="shared" ca="1" si="55"/>
        <v>1.0261593265872286</v>
      </c>
      <c r="AB263" s="290">
        <f t="shared" ca="1" si="55"/>
        <v>1.028436076426847</v>
      </c>
      <c r="AC263" s="290">
        <f t="shared" ca="1" si="55"/>
        <v>1.0303806091223968</v>
      </c>
      <c r="AD263" s="290">
        <f t="shared" ca="1" si="55"/>
        <v>1.0320048078890511</v>
      </c>
    </row>
    <row r="264" spans="1:30">
      <c r="A264" s="90">
        <v>178</v>
      </c>
      <c r="B264" s="90">
        <f t="shared" si="46"/>
        <v>0.71199999999999997</v>
      </c>
      <c r="C264" s="291">
        <f t="shared" ca="1" si="47"/>
        <v>-1.0207695187835125E-2</v>
      </c>
      <c r="D264" s="292">
        <f t="shared" ca="1" si="48"/>
        <v>-0.83695109135666534</v>
      </c>
      <c r="E264" s="291">
        <f t="shared" ca="1" si="49"/>
        <v>-1.0748640060105863E-2</v>
      </c>
      <c r="F264" s="293">
        <f t="shared" ca="1" si="50"/>
        <v>0.99335164418534794</v>
      </c>
      <c r="T264" s="289">
        <f t="shared" ca="1" si="55"/>
        <v>1</v>
      </c>
      <c r="U264" s="290">
        <f t="shared" ca="1" si="55"/>
        <v>1.0051705343073276</v>
      </c>
      <c r="V264" s="290">
        <f t="shared" ca="1" si="55"/>
        <v>1.009938773255312</v>
      </c>
      <c r="W264" s="290">
        <f t="shared" ca="1" si="55"/>
        <v>1.0143131091756457</v>
      </c>
      <c r="X264" s="290">
        <f t="shared" ca="1" si="55"/>
        <v>1.0183025349785411</v>
      </c>
      <c r="Y264" s="290">
        <f t="shared" ca="1" si="55"/>
        <v>1.0219165981081015</v>
      </c>
      <c r="Z264" s="290">
        <f t="shared" ca="1" si="55"/>
        <v>1.025165354959044</v>
      </c>
      <c r="AA264" s="290">
        <f t="shared" ca="1" si="55"/>
        <v>1.0280593259477309</v>
      </c>
      <c r="AB264" s="290">
        <f t="shared" ca="1" si="55"/>
        <v>1.0306094514152857</v>
      </c>
      <c r="AC264" s="290">
        <f t="shared" ca="1" si="55"/>
        <v>1.0328270485242854</v>
      </c>
      <c r="AD264" s="290">
        <f t="shared" ca="1" si="55"/>
        <v>1.0347237692943059</v>
      </c>
    </row>
    <row r="265" spans="1:30">
      <c r="A265" s="90">
        <v>179</v>
      </c>
      <c r="B265" s="90">
        <f t="shared" si="46"/>
        <v>0.71599999999999997</v>
      </c>
      <c r="C265" s="291">
        <f t="shared" ca="1" si="47"/>
        <v>-1.0741616431501637E-2</v>
      </c>
      <c r="D265" s="292">
        <f t="shared" ca="1" si="48"/>
        <v>1.9111583597944504</v>
      </c>
      <c r="E265" s="291">
        <f t="shared" ca="1" si="49"/>
        <v>-9.5063813914799278E-3</v>
      </c>
      <c r="F265" s="293">
        <f t="shared" ca="1" si="50"/>
        <v>0.99331140428268971</v>
      </c>
      <c r="T265" s="289">
        <f t="shared" ca="1" si="55"/>
        <v>1</v>
      </c>
      <c r="U265" s="290">
        <f t="shared" ca="1" si="55"/>
        <v>1.0045472947827889</v>
      </c>
      <c r="V265" s="290">
        <f t="shared" ca="1" si="55"/>
        <v>1.0086885885245653</v>
      </c>
      <c r="W265" s="290">
        <f t="shared" ca="1" si="55"/>
        <v>1.0124330259986767</v>
      </c>
      <c r="X265" s="290">
        <f t="shared" ca="1" si="55"/>
        <v>1.0157903251081886</v>
      </c>
      <c r="Y265" s="290">
        <f t="shared" ca="1" si="55"/>
        <v>1.0187707293643651</v>
      </c>
      <c r="Z265" s="290">
        <f t="shared" ca="1" si="55"/>
        <v>1.0213849610107586</v>
      </c>
      <c r="AA265" s="290">
        <f t="shared" ca="1" si="55"/>
        <v>1.0236441749808387</v>
      </c>
      <c r="AB265" s="290">
        <f t="shared" ca="1" si="55"/>
        <v>1.0255599138610989</v>
      </c>
      <c r="AC265" s="290">
        <f t="shared" ca="1" si="55"/>
        <v>1.0271440640145939</v>
      </c>
      <c r="AD265" s="290">
        <f t="shared" ca="1" si="55"/>
        <v>1.0284088130030353</v>
      </c>
    </row>
    <row r="266" spans="1:30">
      <c r="A266" s="90">
        <v>180</v>
      </c>
      <c r="B266" s="90">
        <f t="shared" si="46"/>
        <v>0.72</v>
      </c>
      <c r="C266" s="291">
        <f t="shared" ca="1" si="47"/>
        <v>-9.4993866998697007E-3</v>
      </c>
      <c r="D266" s="292">
        <f t="shared" ca="1" si="48"/>
        <v>-1.3676629128148063</v>
      </c>
      <c r="E266" s="291">
        <f t="shared" ca="1" si="49"/>
        <v>-1.0383345448860392E-2</v>
      </c>
      <c r="F266" s="293">
        <f t="shared" ca="1" si="50"/>
        <v>0.99327189168359253</v>
      </c>
      <c r="T266" s="289">
        <f t="shared" ref="T266:AD275" ca="1" si="56">EXP(T$82-$E266*T$83)</f>
        <v>1</v>
      </c>
      <c r="U266" s="290">
        <f t="shared" ca="1" si="56"/>
        <v>1.004987226362825</v>
      </c>
      <c r="V266" s="290">
        <f t="shared" ca="1" si="56"/>
        <v>1.0095709871892857</v>
      </c>
      <c r="W266" s="290">
        <f t="shared" ca="1" si="56"/>
        <v>1.0137598958437659</v>
      </c>
      <c r="X266" s="290">
        <f t="shared" ca="1" si="56"/>
        <v>1.0175631583855418</v>
      </c>
      <c r="Y266" s="290">
        <f t="shared" ca="1" si="56"/>
        <v>1.0209905270792814</v>
      </c>
      <c r="Z266" s="290">
        <f t="shared" ca="1" si="56"/>
        <v>1.024052254420672</v>
      </c>
      <c r="AA266" s="290">
        <f t="shared" ca="1" si="56"/>
        <v>1.026759047868731</v>
      </c>
      <c r="AB266" s="290">
        <f t="shared" ca="1" si="56"/>
        <v>1.029122025460945</v>
      </c>
      <c r="AC266" s="290">
        <f t="shared" ca="1" si="56"/>
        <v>1.0311526724708802</v>
      </c>
      <c r="AD266" s="290">
        <f t="shared" ca="1" si="56"/>
        <v>1.0328627992515111</v>
      </c>
    </row>
    <row r="267" spans="1:30">
      <c r="A267" s="90">
        <v>181</v>
      </c>
      <c r="B267" s="90">
        <f t="shared" si="46"/>
        <v>0.72399999999999998</v>
      </c>
      <c r="C267" s="291">
        <f t="shared" ca="1" si="47"/>
        <v>-1.037633032937608E-2</v>
      </c>
      <c r="D267" s="292">
        <f t="shared" ca="1" si="48"/>
        <v>-0.57097564614818552</v>
      </c>
      <c r="E267" s="291">
        <f t="shared" ca="1" si="49"/>
        <v>-1.0745367840844847E-2</v>
      </c>
      <c r="F267" s="293">
        <f t="shared" ca="1" si="50"/>
        <v>0.99322991945638173</v>
      </c>
      <c r="T267" s="289">
        <f t="shared" ca="1" si="56"/>
        <v>1</v>
      </c>
      <c r="U267" s="290">
        <f t="shared" ca="1" si="56"/>
        <v>1.0051688921314557</v>
      </c>
      <c r="V267" s="290">
        <f t="shared" ca="1" si="56"/>
        <v>1.0099354781235614</v>
      </c>
      <c r="W267" s="290">
        <f t="shared" ca="1" si="56"/>
        <v>1.0143081522869406</v>
      </c>
      <c r="X267" s="290">
        <f t="shared" ca="1" si="56"/>
        <v>1.0182959094408117</v>
      </c>
      <c r="Y267" s="290">
        <f t="shared" ca="1" si="56"/>
        <v>1.0219082988643371</v>
      </c>
      <c r="Z267" s="290">
        <f t="shared" ca="1" si="56"/>
        <v>1.025155378709802</v>
      </c>
      <c r="AA267" s="290">
        <f t="shared" ca="1" si="56"/>
        <v>1.0280476710705706</v>
      </c>
      <c r="AB267" s="290">
        <f t="shared" ca="1" si="56"/>
        <v>1.0305961178815799</v>
      </c>
      <c r="AC267" s="290">
        <f t="shared" ca="1" si="56"/>
        <v>1.0328120378138483</v>
      </c>
      <c r="AD267" s="290">
        <f t="shared" ca="1" si="56"/>
        <v>1.0347070843082542</v>
      </c>
    </row>
    <row r="268" spans="1:30">
      <c r="A268" s="90">
        <v>182</v>
      </c>
      <c r="B268" s="90">
        <f t="shared" si="46"/>
        <v>0.72799999999999998</v>
      </c>
      <c r="C268" s="291">
        <f t="shared" ca="1" si="47"/>
        <v>-1.0738344288463224E-2</v>
      </c>
      <c r="D268" s="292">
        <f t="shared" ca="1" si="48"/>
        <v>1.7757340968196218</v>
      </c>
      <c r="E268" s="291">
        <f t="shared" ca="1" si="49"/>
        <v>-9.5906377329537124E-3</v>
      </c>
      <c r="F268" s="293">
        <f t="shared" ca="1" si="50"/>
        <v>0.99318952361952095</v>
      </c>
      <c r="T268" s="289">
        <f t="shared" ca="1" si="56"/>
        <v>1</v>
      </c>
      <c r="U268" s="290">
        <f t="shared" ca="1" si="56"/>
        <v>1.0045895538587546</v>
      </c>
      <c r="V268" s="290">
        <f t="shared" ca="1" si="56"/>
        <v>1.0087733335077733</v>
      </c>
      <c r="W268" s="290">
        <f t="shared" ca="1" si="56"/>
        <v>1.0125604326262043</v>
      </c>
      <c r="X268" s="290">
        <f t="shared" ca="1" si="56"/>
        <v>1.0159605199418025</v>
      </c>
      <c r="Y268" s="290">
        <f t="shared" ca="1" si="56"/>
        <v>1.0189837918063207</v>
      </c>
      <c r="Z268" s="290">
        <f t="shared" ca="1" si="56"/>
        <v>1.0216409254038956</v>
      </c>
      <c r="AA268" s="290">
        <f t="shared" ca="1" si="56"/>
        <v>1.0239430327807149</v>
      </c>
      <c r="AB268" s="290">
        <f t="shared" ca="1" si="56"/>
        <v>1.0259016158683349</v>
      </c>
      <c r="AC268" s="290">
        <f t="shared" ca="1" si="56"/>
        <v>1.0275285226560604</v>
      </c>
      <c r="AD268" s="290">
        <f t="shared" ca="1" si="56"/>
        <v>1.0288359046510263</v>
      </c>
    </row>
    <row r="269" spans="1:30">
      <c r="A269" s="90">
        <v>183</v>
      </c>
      <c r="B269" s="90">
        <f t="shared" si="46"/>
        <v>0.73199999999999998</v>
      </c>
      <c r="C269" s="291">
        <f t="shared" ca="1" si="47"/>
        <v>-9.5836410786884381E-3</v>
      </c>
      <c r="D269" s="292">
        <f t="shared" ca="1" si="48"/>
        <v>-0.70218670867730859</v>
      </c>
      <c r="E269" s="291">
        <f t="shared" ca="1" si="49"/>
        <v>-1.0037483965517039E-2</v>
      </c>
      <c r="F269" s="293">
        <f t="shared" ca="1" si="50"/>
        <v>0.99315053549511101</v>
      </c>
      <c r="T269" s="289">
        <f t="shared" ca="1" si="56"/>
        <v>1</v>
      </c>
      <c r="U269" s="290">
        <f t="shared" ca="1" si="56"/>
        <v>1.0048137009360796</v>
      </c>
      <c r="V269" s="290">
        <f t="shared" ca="1" si="56"/>
        <v>1.0092228902308458</v>
      </c>
      <c r="W269" s="290">
        <f t="shared" ca="1" si="56"/>
        <v>1.013236390714054</v>
      </c>
      <c r="X269" s="290">
        <f t="shared" ca="1" si="56"/>
        <v>1.0168636103017838</v>
      </c>
      <c r="Y269" s="290">
        <f t="shared" ca="1" si="56"/>
        <v>1.0201144950937999</v>
      </c>
      <c r="Z269" s="290">
        <f t="shared" ca="1" si="56"/>
        <v>1.0229994830372706</v>
      </c>
      <c r="AA269" s="290">
        <f t="shared" ca="1" si="56"/>
        <v>1.0255294583470178</v>
      </c>
      <c r="AB269" s="290">
        <f t="shared" ca="1" si="56"/>
        <v>1.0277157068568308</v>
      </c>
      <c r="AC269" s="290">
        <f t="shared" ca="1" si="56"/>
        <v>1.0295698724596816</v>
      </c>
      <c r="AD269" s="290">
        <f t="shared" ca="1" si="56"/>
        <v>1.0311039147781087</v>
      </c>
    </row>
    <row r="270" spans="1:30">
      <c r="A270" s="90">
        <v>184</v>
      </c>
      <c r="B270" s="90">
        <f t="shared" si="46"/>
        <v>0.73599999999999999</v>
      </c>
      <c r="C270" s="291">
        <f t="shared" ca="1" si="47"/>
        <v>-1.0030476902480163E-2</v>
      </c>
      <c r="D270" s="292">
        <f t="shared" ca="1" si="48"/>
        <v>-2.3718653687711626E-2</v>
      </c>
      <c r="E270" s="291">
        <f t="shared" ca="1" si="49"/>
        <v>-1.0045806930987248E-2</v>
      </c>
      <c r="F270" s="293">
        <f t="shared" ca="1" si="50"/>
        <v>0.99311064483403544</v>
      </c>
      <c r="T270" s="289">
        <f t="shared" ca="1" si="56"/>
        <v>1</v>
      </c>
      <c r="U270" s="290">
        <f t="shared" ca="1" si="56"/>
        <v>1.0048178763777316</v>
      </c>
      <c r="V270" s="290">
        <f t="shared" ca="1" si="56"/>
        <v>1.0092312655822346</v>
      </c>
      <c r="W270" s="290">
        <f t="shared" ca="1" si="56"/>
        <v>1.0132489854006577</v>
      </c>
      <c r="X270" s="290">
        <f t="shared" ca="1" si="56"/>
        <v>1.0168804388912174</v>
      </c>
      <c r="Y270" s="290">
        <f t="shared" ca="1" si="56"/>
        <v>1.0201355674904069</v>
      </c>
      <c r="Z270" s="290">
        <f t="shared" ca="1" si="56"/>
        <v>1.0230248046853287</v>
      </c>
      <c r="AA270" s="290">
        <f t="shared" ca="1" si="56"/>
        <v>1.025559030441354</v>
      </c>
      <c r="AB270" s="290">
        <f t="shared" ca="1" si="56"/>
        <v>1.0277495265596828</v>
      </c>
      <c r="AC270" s="290">
        <f t="shared" ca="1" si="56"/>
        <v>1.0296079331226888</v>
      </c>
      <c r="AD270" s="290">
        <f t="shared" ca="1" si="56"/>
        <v>1.0311462061683618</v>
      </c>
    </row>
    <row r="271" spans="1:30">
      <c r="A271" s="90">
        <v>185</v>
      </c>
      <c r="B271" s="90">
        <f t="shared" si="46"/>
        <v>0.74</v>
      </c>
      <c r="C271" s="291">
        <f t="shared" ca="1" si="47"/>
        <v>-1.0038799674076417E-2</v>
      </c>
      <c r="D271" s="292">
        <f t="shared" ca="1" si="48"/>
        <v>-0.14350503674536796</v>
      </c>
      <c r="E271" s="291">
        <f t="shared" ca="1" si="49"/>
        <v>-1.0131550988429324E-2</v>
      </c>
      <c r="F271" s="293">
        <f t="shared" ca="1" si="50"/>
        <v>0.99307056894479762</v>
      </c>
      <c r="T271" s="289">
        <f t="shared" ca="1" si="56"/>
        <v>1</v>
      </c>
      <c r="U271" s="290">
        <f t="shared" ca="1" si="56"/>
        <v>1.0048608932228071</v>
      </c>
      <c r="V271" s="290">
        <f t="shared" ca="1" si="56"/>
        <v>1.0093175533714243</v>
      </c>
      <c r="W271" s="290">
        <f t="shared" ca="1" si="56"/>
        <v>1.0133787462888528</v>
      </c>
      <c r="X271" s="290">
        <f t="shared" ca="1" si="56"/>
        <v>1.0170538249876782</v>
      </c>
      <c r="Y271" s="290">
        <f t="shared" ca="1" si="56"/>
        <v>1.0203526828590135</v>
      </c>
      <c r="Z271" s="290">
        <f t="shared" ca="1" si="56"/>
        <v>1.0232857074338348</v>
      </c>
      <c r="AA271" s="290">
        <f t="shared" ca="1" si="56"/>
        <v>1.0258637348872697</v>
      </c>
      <c r="AB271" s="290">
        <f t="shared" ca="1" si="56"/>
        <v>1.028098005460808</v>
      </c>
      <c r="AC271" s="290">
        <f t="shared" ca="1" si="56"/>
        <v>1.0300001199607784</v>
      </c>
      <c r="AD271" s="290">
        <f t="shared" ca="1" si="56"/>
        <v>1.0315819974748932</v>
      </c>
    </row>
    <row r="272" spans="1:30">
      <c r="A272" s="90">
        <v>186</v>
      </c>
      <c r="B272" s="90">
        <f t="shared" si="46"/>
        <v>0.74399999999999999</v>
      </c>
      <c r="C272" s="291">
        <f t="shared" ca="1" si="47"/>
        <v>-1.0124541734208804E-2</v>
      </c>
      <c r="D272" s="292">
        <f t="shared" ca="1" si="48"/>
        <v>-0.26837332178960904</v>
      </c>
      <c r="E272" s="291">
        <f t="shared" ca="1" si="49"/>
        <v>-1.0297998909634707E-2</v>
      </c>
      <c r="F272" s="293">
        <f t="shared" ca="1" si="50"/>
        <v>0.99302999380425394</v>
      </c>
      <c r="T272" s="289">
        <f t="shared" ca="1" si="56"/>
        <v>1</v>
      </c>
      <c r="U272" s="290">
        <f t="shared" ca="1" si="56"/>
        <v>1.0049444035608999</v>
      </c>
      <c r="V272" s="290">
        <f t="shared" ca="1" si="56"/>
        <v>1.0094850778561641</v>
      </c>
      <c r="W272" s="290">
        <f t="shared" ca="1" si="56"/>
        <v>1.0136306879228778</v>
      </c>
      <c r="X272" s="290">
        <f t="shared" ca="1" si="56"/>
        <v>1.0173904896285297</v>
      </c>
      <c r="Y272" s="290">
        <f t="shared" ca="1" si="56"/>
        <v>1.0207742830788329</v>
      </c>
      <c r="Z272" s="290">
        <f t="shared" ca="1" si="56"/>
        <v>1.0237923665532804</v>
      </c>
      <c r="AA272" s="290">
        <f t="shared" ca="1" si="56"/>
        <v>1.0264554911596684</v>
      </c>
      <c r="AB272" s="290">
        <f t="shared" ca="1" si="56"/>
        <v>1.0287748163833286</v>
      </c>
      <c r="AC272" s="290">
        <f t="shared" ca="1" si="56"/>
        <v>1.0307618666902807</v>
      </c>
      <c r="AD272" s="290">
        <f t="shared" ca="1" si="56"/>
        <v>1.0324284893270637</v>
      </c>
    </row>
    <row r="273" spans="1:30">
      <c r="A273" s="90">
        <v>187</v>
      </c>
      <c r="B273" s="90">
        <f t="shared" si="46"/>
        <v>0.748</v>
      </c>
      <c r="C273" s="291">
        <f t="shared" ca="1" si="47"/>
        <v>-1.0290985778200352E-2</v>
      </c>
      <c r="D273" s="292">
        <f t="shared" ca="1" si="48"/>
        <v>-2.3331207410946475</v>
      </c>
      <c r="E273" s="291">
        <f t="shared" ca="1" si="49"/>
        <v>-1.179894689363167E-2</v>
      </c>
      <c r="F273" s="293">
        <f t="shared" ca="1" si="50"/>
        <v>0.99298610891407491</v>
      </c>
      <c r="T273" s="289">
        <f t="shared" ca="1" si="56"/>
        <v>1</v>
      </c>
      <c r="U273" s="290">
        <f t="shared" ca="1" si="56"/>
        <v>1.0056977735054229</v>
      </c>
      <c r="V273" s="290">
        <f t="shared" ca="1" si="56"/>
        <v>1.0109969902089058</v>
      </c>
      <c r="W273" s="290">
        <f t="shared" ca="1" si="56"/>
        <v>1.0159054084057757</v>
      </c>
      <c r="X273" s="290">
        <f t="shared" ca="1" si="56"/>
        <v>1.0204314087632949</v>
      </c>
      <c r="Y273" s="290">
        <f t="shared" ca="1" si="56"/>
        <v>1.0245839496026785</v>
      </c>
      <c r="Z273" s="290">
        <f t="shared" ca="1" si="56"/>
        <v>1.0283725224898934</v>
      </c>
      <c r="AA273" s="290">
        <f t="shared" ca="1" si="56"/>
        <v>1.0318071083318072</v>
      </c>
      <c r="AB273" s="290">
        <f t="shared" ca="1" si="56"/>
        <v>1.0348981341597978</v>
      </c>
      <c r="AC273" s="290">
        <f t="shared" ca="1" si="56"/>
        <v>1.037656430767272</v>
      </c>
      <c r="AD273" s="290">
        <f t="shared" ca="1" si="56"/>
        <v>1.0400931913518741</v>
      </c>
    </row>
    <row r="274" spans="1:30">
      <c r="A274" s="90">
        <v>188</v>
      </c>
      <c r="B274" s="90">
        <f t="shared" si="46"/>
        <v>0.752</v>
      </c>
      <c r="C274" s="291">
        <f t="shared" ca="1" si="47"/>
        <v>-1.1791898799331768E-2</v>
      </c>
      <c r="D274" s="292">
        <f t="shared" ca="1" si="48"/>
        <v>-0.80007676837667752</v>
      </c>
      <c r="E274" s="291">
        <f t="shared" ca="1" si="49"/>
        <v>-1.2309010766501509E-2</v>
      </c>
      <c r="F274" s="293">
        <f t="shared" ca="1" si="50"/>
        <v>0.99293823233414913</v>
      </c>
      <c r="T274" s="289">
        <f t="shared" ca="1" si="56"/>
        <v>1</v>
      </c>
      <c r="U274" s="290">
        <f t="shared" ca="1" si="56"/>
        <v>1.0059539181196648</v>
      </c>
      <c r="V274" s="290">
        <f t="shared" ca="1" si="56"/>
        <v>1.0115112954125018</v>
      </c>
      <c r="W274" s="290">
        <f t="shared" ca="1" si="56"/>
        <v>1.0166795832511311</v>
      </c>
      <c r="X274" s="290">
        <f t="shared" ca="1" si="56"/>
        <v>1.0214668654953711</v>
      </c>
      <c r="Y274" s="290">
        <f t="shared" ca="1" si="56"/>
        <v>1.0258818144432684</v>
      </c>
      <c r="Z274" s="290">
        <f t="shared" ca="1" si="56"/>
        <v>1.0299336470179563</v>
      </c>
      <c r="AA274" s="290">
        <f t="shared" ca="1" si="56"/>
        <v>1.0336320813884632</v>
      </c>
      <c r="AB274" s="290">
        <f t="shared" ca="1" si="56"/>
        <v>1.0369872942084863</v>
      </c>
      <c r="AC274" s="290">
        <f t="shared" ca="1" si="56"/>
        <v>1.0400098786417995</v>
      </c>
      <c r="AD274" s="290">
        <f t="shared" ca="1" si="56"/>
        <v>1.0427108033275641</v>
      </c>
    </row>
    <row r="275" spans="1:30">
      <c r="A275" s="90">
        <v>189</v>
      </c>
      <c r="B275" s="90">
        <f t="shared" si="46"/>
        <v>0.75600000000000001</v>
      </c>
      <c r="C275" s="291">
        <f t="shared" ca="1" si="47"/>
        <v>-1.2301950790847425E-2</v>
      </c>
      <c r="D275" s="292">
        <f t="shared" ca="1" si="48"/>
        <v>0.25292451794980397</v>
      </c>
      <c r="E275" s="291">
        <f t="shared" ca="1" si="49"/>
        <v>-1.2138478608936869E-2</v>
      </c>
      <c r="F275" s="293">
        <f t="shared" ca="1" si="50"/>
        <v>0.99288968382727705</v>
      </c>
      <c r="T275" s="289">
        <f t="shared" ca="1" si="56"/>
        <v>1</v>
      </c>
      <c r="U275" s="290">
        <f t="shared" ca="1" si="56"/>
        <v>1.0058682727751105</v>
      </c>
      <c r="V275" s="290">
        <f t="shared" ca="1" si="56"/>
        <v>1.0113393161227686</v>
      </c>
      <c r="W275" s="290">
        <f t="shared" ca="1" si="56"/>
        <v>1.0164206839487109</v>
      </c>
      <c r="X275" s="290">
        <f t="shared" ca="1" si="56"/>
        <v>1.0211205592980801</v>
      </c>
      <c r="Y275" s="290">
        <f t="shared" ca="1" si="56"/>
        <v>1.0254477100810175</v>
      </c>
      <c r="Z275" s="290">
        <f t="shared" ca="1" si="56"/>
        <v>1.0294114450583889</v>
      </c>
      <c r="AA275" s="290">
        <f t="shared" ca="1" si="56"/>
        <v>1.0330215702852601</v>
      </c>
      <c r="AB275" s="290">
        <f t="shared" ca="1" si="56"/>
        <v>1.0362883461955164</v>
      </c>
      <c r="AC275" s="290">
        <f t="shared" ca="1" si="56"/>
        <v>1.0392224454955648</v>
      </c>
      <c r="AD275" s="290">
        <f t="shared" ca="1" si="56"/>
        <v>1.0418349120195705</v>
      </c>
    </row>
    <row r="276" spans="1:30">
      <c r="A276" s="90">
        <v>190</v>
      </c>
      <c r="B276" s="90">
        <f t="shared" si="46"/>
        <v>0.76</v>
      </c>
      <c r="C276" s="291">
        <f t="shared" ca="1" si="47"/>
        <v>-1.2131422605634231E-2</v>
      </c>
      <c r="D276" s="292">
        <f t="shared" ca="1" si="48"/>
        <v>-0.10928821370586989</v>
      </c>
      <c r="E276" s="291">
        <f t="shared" ca="1" si="49"/>
        <v>-1.2202058631340332E-2</v>
      </c>
      <c r="F276" s="293">
        <f t="shared" ca="1" si="50"/>
        <v>0.99284135006710694</v>
      </c>
      <c r="T276" s="289">
        <f t="shared" ref="T276:AD285" ca="1" si="57">EXP(T$82-$E276*T$83)</f>
        <v>1</v>
      </c>
      <c r="U276" s="290">
        <f t="shared" ca="1" si="57"/>
        <v>1.0059002033365838</v>
      </c>
      <c r="V276" s="290">
        <f t="shared" ca="1" si="57"/>
        <v>1.0114034322649823</v>
      </c>
      <c r="W276" s="290">
        <f t="shared" ca="1" si="57"/>
        <v>1.0165172024532407</v>
      </c>
      <c r="X276" s="290">
        <f t="shared" ca="1" si="57"/>
        <v>1.0212496599609826</v>
      </c>
      <c r="Y276" s="290">
        <f t="shared" ca="1" si="57"/>
        <v>1.0256095370488467</v>
      </c>
      <c r="Z276" s="290">
        <f t="shared" ca="1" si="57"/>
        <v>1.0296061082389856</v>
      </c>
      <c r="AA276" s="290">
        <f t="shared" ca="1" si="57"/>
        <v>1.0332491468244331</v>
      </c>
      <c r="AB276" s="290">
        <f t="shared" ca="1" si="57"/>
        <v>1.0365488820109656</v>
      </c>
      <c r="AC276" s="290">
        <f t="shared" ca="1" si="57"/>
        <v>1.0395159568596717</v>
      </c>
      <c r="AD276" s="290">
        <f t="shared" ca="1" si="57"/>
        <v>1.0421613871829887</v>
      </c>
    </row>
    <row r="277" spans="1:30">
      <c r="A277" s="90">
        <v>191</v>
      </c>
      <c r="B277" s="90">
        <f t="shared" si="46"/>
        <v>0.76400000000000001</v>
      </c>
      <c r="C277" s="291">
        <f t="shared" ca="1" si="47"/>
        <v>-1.2195001147013836E-2</v>
      </c>
      <c r="D277" s="292">
        <f t="shared" ca="1" si="48"/>
        <v>-0.25818803693345699</v>
      </c>
      <c r="E277" s="291">
        <f t="shared" ca="1" si="49"/>
        <v>-1.2361875288290608E-2</v>
      </c>
      <c r="F277" s="293">
        <f t="shared" ca="1" si="50"/>
        <v>0.99279257508659069</v>
      </c>
      <c r="T277" s="289">
        <f t="shared" ca="1" si="57"/>
        <v>1</v>
      </c>
      <c r="U277" s="290">
        <f t="shared" ca="1" si="57"/>
        <v>1.005980469432618</v>
      </c>
      <c r="V277" s="290">
        <f t="shared" ca="1" si="57"/>
        <v>1.0115646144794241</v>
      </c>
      <c r="W277" s="290">
        <f t="shared" ca="1" si="57"/>
        <v>1.0167598547455727</v>
      </c>
      <c r="X277" s="290">
        <f t="shared" ca="1" si="57"/>
        <v>1.0215742433542683</v>
      </c>
      <c r="Y277" s="290">
        <f t="shared" ca="1" si="57"/>
        <v>1.0260164229680366</v>
      </c>
      <c r="Z277" s="290">
        <f t="shared" ca="1" si="57"/>
        <v>1.0300955820383084</v>
      </c>
      <c r="AA277" s="290">
        <f t="shared" ca="1" si="57"/>
        <v>1.03382141148159</v>
      </c>
      <c r="AB277" s="290">
        <f t="shared" ca="1" si="57"/>
        <v>1.0372040619664251</v>
      </c>
      <c r="AC277" s="290">
        <f t="shared" ca="1" si="57"/>
        <v>1.0402541019800409</v>
      </c>
      <c r="AD277" s="290">
        <f t="shared" ca="1" si="57"/>
        <v>1.0429824768281986</v>
      </c>
    </row>
    <row r="278" spans="1:30">
      <c r="A278" s="90">
        <v>192</v>
      </c>
      <c r="B278" s="90">
        <f t="shared" si="46"/>
        <v>0.76800000000000002</v>
      </c>
      <c r="C278" s="291">
        <f t="shared" ca="1" si="47"/>
        <v>-1.2354814081217988E-2</v>
      </c>
      <c r="D278" s="292">
        <f t="shared" ca="1" si="48"/>
        <v>-0.88314139279418391</v>
      </c>
      <c r="E278" s="291">
        <f t="shared" ca="1" si="49"/>
        <v>-1.2925613035727587E-2</v>
      </c>
      <c r="F278" s="293">
        <f t="shared" ca="1" si="50"/>
        <v>0.99274236589496434</v>
      </c>
      <c r="T278" s="289">
        <f t="shared" ca="1" si="57"/>
        <v>1</v>
      </c>
      <c r="U278" s="290">
        <f t="shared" ca="1" si="57"/>
        <v>1.0062636514428132</v>
      </c>
      <c r="V278" s="290">
        <f t="shared" ca="1" si="57"/>
        <v>1.0121333742346073</v>
      </c>
      <c r="W278" s="290">
        <f t="shared" ca="1" si="57"/>
        <v>1.0176162497684047</v>
      </c>
      <c r="X278" s="290">
        <f t="shared" ca="1" si="57"/>
        <v>1.0227200037433617</v>
      </c>
      <c r="Y278" s="290">
        <f t="shared" ca="1" si="57"/>
        <v>1.0274529629454507</v>
      </c>
      <c r="Z278" s="290">
        <f t="shared" ca="1" si="57"/>
        <v>1.0318240121768332</v>
      </c>
      <c r="AA278" s="290">
        <f t="shared" ca="1" si="57"/>
        <v>1.0358425515337453</v>
      </c>
      <c r="AB278" s="290">
        <f t="shared" ca="1" si="57"/>
        <v>1.0395184542190377</v>
      </c>
      <c r="AC278" s="290">
        <f t="shared" ca="1" si="57"/>
        <v>1.0428620250605587</v>
      </c>
      <c r="AD278" s="290">
        <f t="shared" ca="1" si="57"/>
        <v>1.0458839598915095</v>
      </c>
    </row>
    <row r="279" spans="1:30">
      <c r="A279" s="90">
        <v>193</v>
      </c>
      <c r="B279" s="90">
        <f t="shared" ref="B279:B342" si="58">A279*$B$81</f>
        <v>0.77200000000000002</v>
      </c>
      <c r="C279" s="291">
        <f t="shared" ca="1" si="47"/>
        <v>-1.2918538697029303E-2</v>
      </c>
      <c r="D279" s="292">
        <f t="shared" ca="1" si="48"/>
        <v>-0.44048457009891584</v>
      </c>
      <c r="E279" s="291">
        <f t="shared" ca="1" si="49"/>
        <v>-1.3203236180514449E-2</v>
      </c>
      <c r="F279" s="293">
        <f t="shared" ca="1" si="50"/>
        <v>0.99269048881928634</v>
      </c>
      <c r="T279" s="289">
        <f t="shared" ca="1" si="57"/>
        <v>1</v>
      </c>
      <c r="U279" s="290">
        <f t="shared" ca="1" si="57"/>
        <v>1.0064031389874437</v>
      </c>
      <c r="V279" s="290">
        <f t="shared" ca="1" si="57"/>
        <v>1.0124135880710332</v>
      </c>
      <c r="W279" s="290">
        <f t="shared" ca="1" si="57"/>
        <v>1.0180382624810773</v>
      </c>
      <c r="X279" s="290">
        <f t="shared" ca="1" si="57"/>
        <v>1.0232847269292282</v>
      </c>
      <c r="Y279" s="290">
        <f t="shared" ca="1" si="57"/>
        <v>1.0281611527700178</v>
      </c>
      <c r="Z279" s="290">
        <f t="shared" ca="1" si="57"/>
        <v>1.0326762752722443</v>
      </c>
      <c r="AA279" s="290">
        <f t="shared" ca="1" si="57"/>
        <v>1.0368393512007232</v>
      </c>
      <c r="AB279" s="290">
        <f t="shared" ca="1" si="57"/>
        <v>1.0406601168954497</v>
      </c>
      <c r="AC279" s="290">
        <f t="shared" ca="1" si="57"/>
        <v>1.0441487470204318</v>
      </c>
      <c r="AD279" s="290">
        <f t="shared" ca="1" si="57"/>
        <v>1.0473158141395607</v>
      </c>
    </row>
    <row r="280" spans="1:30">
      <c r="A280" s="90">
        <v>194</v>
      </c>
      <c r="B280" s="90">
        <f t="shared" si="58"/>
        <v>0.77600000000000002</v>
      </c>
      <c r="C280" s="291">
        <f t="shared" ref="C280:C343" ca="1" si="59">E279*EXP(-$B$78*$B$81)+$B$77*(1-EXP(-$B$78*$B$81))</f>
        <v>-1.319615537490273E-2</v>
      </c>
      <c r="D280" s="292">
        <f t="shared" ref="D280:D343" ca="1" si="60">NORMSINV(RAND())</f>
        <v>-0.4235337354613769</v>
      </c>
      <c r="E280" s="291">
        <f t="shared" ref="E280:E343" ca="1" si="61">C280+($B$82^0.5)*D280</f>
        <v>-1.3469897060405675E-2</v>
      </c>
      <c r="F280" s="293">
        <f t="shared" ref="F280:F343" ca="1" si="62">F279*EXP($B$81*(E279+E280)/2)</f>
        <v>0.99263753390042198</v>
      </c>
      <c r="T280" s="289">
        <f t="shared" ca="1" si="57"/>
        <v>1</v>
      </c>
      <c r="U280" s="290">
        <f t="shared" ca="1" si="57"/>
        <v>1.0065371369135636</v>
      </c>
      <c r="V280" s="290">
        <f t="shared" ca="1" si="57"/>
        <v>1.012682810389969</v>
      </c>
      <c r="W280" s="290">
        <f t="shared" ca="1" si="57"/>
        <v>1.018443776324339</v>
      </c>
      <c r="X280" s="290">
        <f t="shared" ca="1" si="57"/>
        <v>1.0238274449785161</v>
      </c>
      <c r="Y280" s="290">
        <f t="shared" ca="1" si="57"/>
        <v>1.0288418385126108</v>
      </c>
      <c r="Z280" s="290">
        <f t="shared" ca="1" si="57"/>
        <v>1.03349554858932</v>
      </c>
      <c r="AA280" s="290">
        <f t="shared" ca="1" si="57"/>
        <v>1.0377976942521727</v>
      </c>
      <c r="AB280" s="290">
        <f t="shared" ca="1" si="57"/>
        <v>1.0417578802655667</v>
      </c>
      <c r="AC280" s="290">
        <f t="shared" ca="1" si="57"/>
        <v>1.0453861560898645</v>
      </c>
      <c r="AD280" s="290">
        <f t="shared" ca="1" si="57"/>
        <v>1.048692975650058</v>
      </c>
    </row>
    <row r="281" spans="1:30">
      <c r="A281" s="90">
        <v>195</v>
      </c>
      <c r="B281" s="90">
        <f t="shared" si="58"/>
        <v>0.78</v>
      </c>
      <c r="C281" s="291">
        <f t="shared" ca="1" si="59"/>
        <v>-1.3462810043233936E-2</v>
      </c>
      <c r="D281" s="292">
        <f t="shared" ca="1" si="60"/>
        <v>0.54778144542711249</v>
      </c>
      <c r="E281" s="291">
        <f t="shared" ca="1" si="61"/>
        <v>-1.3108763591668257E-2</v>
      </c>
      <c r="F281" s="293">
        <f t="shared" ca="1" si="62"/>
        <v>0.99258476935051743</v>
      </c>
      <c r="T281" s="289">
        <f t="shared" ca="1" si="57"/>
        <v>1</v>
      </c>
      <c r="U281" s="290">
        <f t="shared" ca="1" si="57"/>
        <v>1.0063556704956937</v>
      </c>
      <c r="V281" s="290">
        <f t="shared" ca="1" si="57"/>
        <v>1.0123182251869427</v>
      </c>
      <c r="W281" s="290">
        <f t="shared" ca="1" si="57"/>
        <v>1.0178946358167187</v>
      </c>
      <c r="X281" s="290">
        <f t="shared" ca="1" si="57"/>
        <v>1.0230925218584523</v>
      </c>
      <c r="Y281" s="290">
        <f t="shared" ca="1" si="57"/>
        <v>1.0279201075474658</v>
      </c>
      <c r="Z281" s="290">
        <f t="shared" ca="1" si="57"/>
        <v>1.0323861790354434</v>
      </c>
      <c r="AA281" s="290">
        <f t="shared" ca="1" si="57"/>
        <v>1.0365000418682286</v>
      </c>
      <c r="AB281" s="290">
        <f t="shared" ca="1" si="57"/>
        <v>1.0402714789736835</v>
      </c>
      <c r="AC281" s="290">
        <f t="shared" ca="1" si="57"/>
        <v>1.0437107093315141</v>
      </c>
      <c r="AD281" s="290">
        <f t="shared" ca="1" si="57"/>
        <v>1.0468283474820115</v>
      </c>
    </row>
    <row r="282" spans="1:30">
      <c r="A282" s="90">
        <v>196</v>
      </c>
      <c r="B282" s="90">
        <f t="shared" si="58"/>
        <v>0.78400000000000003</v>
      </c>
      <c r="C282" s="291">
        <f t="shared" ca="1" si="59"/>
        <v>-1.3101684986687376E-2</v>
      </c>
      <c r="D282" s="292">
        <f t="shared" ca="1" si="60"/>
        <v>-1.5159491084693861</v>
      </c>
      <c r="E282" s="291">
        <f t="shared" ca="1" si="61"/>
        <v>-1.4081485246605373E-2</v>
      </c>
      <c r="F282" s="293">
        <f t="shared" ca="1" si="62"/>
        <v>0.99253079356440232</v>
      </c>
      <c r="T282" s="289">
        <f t="shared" ca="1" si="57"/>
        <v>1</v>
      </c>
      <c r="U282" s="290">
        <f t="shared" ca="1" si="57"/>
        <v>1.0068445292770332</v>
      </c>
      <c r="V282" s="290">
        <f t="shared" ca="1" si="57"/>
        <v>1.0133005436726872</v>
      </c>
      <c r="W282" s="290">
        <f t="shared" ca="1" si="57"/>
        <v>1.0193744347101523</v>
      </c>
      <c r="X282" s="290">
        <f t="shared" ca="1" si="57"/>
        <v>1.025073259167713</v>
      </c>
      <c r="Y282" s="290">
        <f t="shared" ca="1" si="57"/>
        <v>1.0304046974741519</v>
      </c>
      <c r="Z282" s="290">
        <f t="shared" ca="1" si="57"/>
        <v>1.0353770120927683</v>
      </c>
      <c r="AA282" s="290">
        <f t="shared" ca="1" si="57"/>
        <v>1.0399990060964901</v>
      </c>
      <c r="AB282" s="290">
        <f t="shared" ca="1" si="57"/>
        <v>1.0442799821237125</v>
      </c>
      <c r="AC282" s="290">
        <f t="shared" ca="1" si="57"/>
        <v>1.0482297018902913</v>
      </c>
      <c r="AD282" s="290">
        <f t="shared" ca="1" si="57"/>
        <v>1.0518583464187266</v>
      </c>
    </row>
    <row r="283" spans="1:30">
      <c r="A283" s="90">
        <v>197</v>
      </c>
      <c r="B283" s="90">
        <f t="shared" si="58"/>
        <v>0.78800000000000003</v>
      </c>
      <c r="C283" s="291">
        <f t="shared" ca="1" si="59"/>
        <v>-1.4074383983186761E-2</v>
      </c>
      <c r="D283" s="292">
        <f t="shared" ca="1" si="60"/>
        <v>0.32971377316916956</v>
      </c>
      <c r="E283" s="291">
        <f t="shared" ca="1" si="61"/>
        <v>-1.3861280760364277E-2</v>
      </c>
      <c r="F283" s="293">
        <f t="shared" ca="1" si="62"/>
        <v>0.99247532700286734</v>
      </c>
      <c r="T283" s="289">
        <f t="shared" ca="1" si="57"/>
        <v>1</v>
      </c>
      <c r="U283" s="290">
        <f t="shared" ca="1" si="57"/>
        <v>1.0067338407572561</v>
      </c>
      <c r="V283" s="290">
        <f t="shared" ca="1" si="57"/>
        <v>1.0130780832227948</v>
      </c>
      <c r="W283" s="290">
        <f t="shared" ca="1" si="57"/>
        <v>1.0190392499352967</v>
      </c>
      <c r="X283" s="290">
        <f t="shared" ca="1" si="57"/>
        <v>1.0246245248188739</v>
      </c>
      <c r="Y283" s="290">
        <f t="shared" ca="1" si="57"/>
        <v>1.0298417112650207</v>
      </c>
      <c r="Z283" s="290">
        <f t="shared" ca="1" si="57"/>
        <v>1.0346991902333378</v>
      </c>
      <c r="AA283" s="290">
        <f t="shared" ca="1" si="57"/>
        <v>1.0392058785730522</v>
      </c>
      <c r="AB283" s="290">
        <f t="shared" ca="1" si="57"/>
        <v>1.0433711877543501</v>
      </c>
      <c r="AC283" s="290">
        <f t="shared" ca="1" si="57"/>
        <v>1.0472049831841939</v>
      </c>
      <c r="AD283" s="290">
        <f t="shared" ca="1" si="57"/>
        <v>1.0507175442667684</v>
      </c>
    </row>
    <row r="284" spans="1:30">
      <c r="A284" s="90">
        <v>198</v>
      </c>
      <c r="B284" s="90">
        <f t="shared" si="58"/>
        <v>0.79200000000000004</v>
      </c>
      <c r="C284" s="291">
        <f t="shared" ca="1" si="59"/>
        <v>-1.3854184626357161E-2</v>
      </c>
      <c r="D284" s="292">
        <f t="shared" ca="1" si="60"/>
        <v>-0.77113045225805465</v>
      </c>
      <c r="E284" s="291">
        <f t="shared" ca="1" si="61"/>
        <v>-1.4352587780745362E-2</v>
      </c>
      <c r="F284" s="293">
        <f t="shared" ca="1" si="62"/>
        <v>0.99241932544609002</v>
      </c>
      <c r="T284" s="289">
        <f t="shared" ca="1" si="57"/>
        <v>1</v>
      </c>
      <c r="U284" s="290">
        <f t="shared" ca="1" si="57"/>
        <v>1.006980819047393</v>
      </c>
      <c r="V284" s="290">
        <f t="shared" ca="1" si="57"/>
        <v>1.0135744907062887</v>
      </c>
      <c r="W284" s="290">
        <f t="shared" ca="1" si="57"/>
        <v>1.0197872454912764</v>
      </c>
      <c r="X284" s="290">
        <f t="shared" ca="1" si="57"/>
        <v>1.0256259838577639</v>
      </c>
      <c r="Y284" s="290">
        <f t="shared" ca="1" si="57"/>
        <v>1.0310982349869635</v>
      </c>
      <c r="Z284" s="290">
        <f t="shared" ca="1" si="57"/>
        <v>1.0362121155225936</v>
      </c>
      <c r="AA284" s="290">
        <f t="shared" ca="1" si="57"/>
        <v>1.0409762884622971</v>
      </c>
      <c r="AB284" s="290">
        <f t="shared" ca="1" si="57"/>
        <v>1.0453999223941384</v>
      </c>
      <c r="AC284" s="290">
        <f t="shared" ca="1" si="57"/>
        <v>1.0494926512545053</v>
      </c>
      <c r="AD284" s="290">
        <f t="shared" ca="1" si="57"/>
        <v>1.05326453476952</v>
      </c>
    </row>
    <row r="285" spans="1:30">
      <c r="A285" s="90">
        <v>199</v>
      </c>
      <c r="B285" s="90">
        <f t="shared" si="58"/>
        <v>0.79600000000000004</v>
      </c>
      <c r="C285" s="291">
        <f t="shared" ca="1" si="59"/>
        <v>-1.4345480202303477E-2</v>
      </c>
      <c r="D285" s="292">
        <f t="shared" ca="1" si="60"/>
        <v>0.27453169037718828</v>
      </c>
      <c r="E285" s="291">
        <f t="shared" ca="1" si="61"/>
        <v>-1.4168042701212899E-2</v>
      </c>
      <c r="F285" s="293">
        <f t="shared" ca="1" si="62"/>
        <v>0.99236271821085098</v>
      </c>
      <c r="T285" s="289">
        <f t="shared" ca="1" si="57"/>
        <v>1</v>
      </c>
      <c r="U285" s="290">
        <f t="shared" ca="1" si="57"/>
        <v>1.0068880417885635</v>
      </c>
      <c r="V285" s="290">
        <f t="shared" ca="1" si="57"/>
        <v>1.0133880012702863</v>
      </c>
      <c r="W285" s="290">
        <f t="shared" ca="1" si="57"/>
        <v>1.0195062185262538</v>
      </c>
      <c r="X285" s="290">
        <f t="shared" ca="1" si="57"/>
        <v>1.0252497003981003</v>
      </c>
      <c r="Y285" s="290">
        <f t="shared" ca="1" si="57"/>
        <v>1.030626079007356</v>
      </c>
      <c r="Z285" s="290">
        <f t="shared" ca="1" si="57"/>
        <v>1.0356435702516062</v>
      </c>
      <c r="AA285" s="290">
        <f t="shared" ca="1" si="57"/>
        <v>1.0403109324801021</v>
      </c>
      <c r="AB285" s="290">
        <f t="shared" ca="1" si="57"/>
        <v>1.0446374255386992</v>
      </c>
      <c r="AC285" s="290">
        <f t="shared" ca="1" si="57"/>
        <v>1.0486327703598404</v>
      </c>
      <c r="AD285" s="290">
        <f t="shared" ca="1" si="57"/>
        <v>1.0523071092589609</v>
      </c>
    </row>
    <row r="286" spans="1:30">
      <c r="A286" s="90">
        <v>200</v>
      </c>
      <c r="B286" s="90">
        <f t="shared" si="58"/>
        <v>0.8</v>
      </c>
      <c r="C286" s="291">
        <f t="shared" ca="1" si="59"/>
        <v>-1.4160939421537441E-2</v>
      </c>
      <c r="D286" s="292">
        <f t="shared" ca="1" si="60"/>
        <v>0.50822671291989296</v>
      </c>
      <c r="E286" s="291">
        <f t="shared" ca="1" si="61"/>
        <v>-1.3832458298632888E-2</v>
      </c>
      <c r="F286" s="293">
        <f t="shared" ca="1" si="62"/>
        <v>0.99230714646033547</v>
      </c>
      <c r="T286" s="289">
        <f t="shared" ref="T286:AD295" ca="1" si="63">EXP(T$82-$E286*T$83)</f>
        <v>1</v>
      </c>
      <c r="U286" s="290">
        <f t="shared" ca="1" si="63"/>
        <v>1.0067193536895553</v>
      </c>
      <c r="V286" s="290">
        <f t="shared" ca="1" si="63"/>
        <v>1.0130489690938893</v>
      </c>
      <c r="W286" s="290">
        <f t="shared" ca="1" si="63"/>
        <v>1.0189953859153842</v>
      </c>
      <c r="X286" s="290">
        <f t="shared" ca="1" si="63"/>
        <v>1.0245658047311299</v>
      </c>
      <c r="Y286" s="290">
        <f t="shared" ca="1" si="63"/>
        <v>1.0297680450340485</v>
      </c>
      <c r="Z286" s="290">
        <f t="shared" ca="1" si="63"/>
        <v>1.0346105032967499</v>
      </c>
      <c r="AA286" s="290">
        <f t="shared" ca="1" si="63"/>
        <v>1.0391021112600811</v>
      </c>
      <c r="AB286" s="290">
        <f t="shared" ca="1" si="63"/>
        <v>1.0432522946353056</v>
      </c>
      <c r="AC286" s="290">
        <f t="shared" ca="1" si="63"/>
        <v>1.0470709323944796</v>
      </c>
      <c r="AD286" s="290">
        <f t="shared" ca="1" si="63"/>
        <v>1.0505683168090558</v>
      </c>
    </row>
    <row r="287" spans="1:30">
      <c r="A287" s="90">
        <v>201</v>
      </c>
      <c r="B287" s="90">
        <f t="shared" si="58"/>
        <v>0.80400000000000005</v>
      </c>
      <c r="C287" s="291">
        <f t="shared" ca="1" si="59"/>
        <v>-1.3825362836012033E-2</v>
      </c>
      <c r="D287" s="292">
        <f t="shared" ca="1" si="60"/>
        <v>0.56964807036129561</v>
      </c>
      <c r="E287" s="291">
        <f t="shared" ca="1" si="61"/>
        <v>-1.3457183373862857E-2</v>
      </c>
      <c r="F287" s="293">
        <f t="shared" ca="1" si="62"/>
        <v>0.99225298852538757</v>
      </c>
      <c r="T287" s="289">
        <f t="shared" ca="1" si="63"/>
        <v>1</v>
      </c>
      <c r="U287" s="290">
        <f t="shared" ca="1" si="63"/>
        <v>1.0065307478412999</v>
      </c>
      <c r="V287" s="290">
        <f t="shared" ca="1" si="63"/>
        <v>1.0126699729556394</v>
      </c>
      <c r="W287" s="290">
        <f t="shared" ca="1" si="63"/>
        <v>1.0184244388286796</v>
      </c>
      <c r="X287" s="290">
        <f t="shared" ca="1" si="63"/>
        <v>1.0238015630817809</v>
      </c>
      <c r="Y287" s="290">
        <f t="shared" ca="1" si="63"/>
        <v>1.028809374985818</v>
      </c>
      <c r="Z287" s="290">
        <f t="shared" ca="1" si="63"/>
        <v>1.0334564730495264</v>
      </c>
      <c r="AA287" s="290">
        <f t="shared" ca="1" si="63"/>
        <v>1.0377519828835098</v>
      </c>
      <c r="AB287" s="290">
        <f t="shared" ca="1" si="63"/>
        <v>1.0417055155277348</v>
      </c>
      <c r="AC287" s="290">
        <f t="shared" ca="1" si="63"/>
        <v>1.0453271264157284</v>
      </c>
      <c r="AD287" s="290">
        <f t="shared" ca="1" si="63"/>
        <v>1.0486272751339416</v>
      </c>
    </row>
    <row r="288" spans="1:30">
      <c r="A288" s="90">
        <v>202</v>
      </c>
      <c r="B288" s="90">
        <f t="shared" si="58"/>
        <v>0.80800000000000005</v>
      </c>
      <c r="C288" s="291">
        <f t="shared" ca="1" si="59"/>
        <v>-1.3450096652841895E-2</v>
      </c>
      <c r="D288" s="292">
        <f t="shared" ca="1" si="60"/>
        <v>-0.62611497745156186</v>
      </c>
      <c r="E288" s="291">
        <f t="shared" ca="1" si="61"/>
        <v>-1.3854772254561134E-2</v>
      </c>
      <c r="F288" s="293">
        <f t="shared" ca="1" si="62"/>
        <v>0.99219878926649929</v>
      </c>
      <c r="T288" s="289">
        <f t="shared" ca="1" si="63"/>
        <v>1</v>
      </c>
      <c r="U288" s="290">
        <f t="shared" ca="1" si="63"/>
        <v>1.0067305693611379</v>
      </c>
      <c r="V288" s="290">
        <f t="shared" ca="1" si="63"/>
        <v>1.0130715087814202</v>
      </c>
      <c r="W288" s="290">
        <f t="shared" ca="1" si="63"/>
        <v>1.0190293446750238</v>
      </c>
      <c r="X288" s="290">
        <f t="shared" ca="1" si="63"/>
        <v>1.0246112647263139</v>
      </c>
      <c r="Y288" s="290">
        <f t="shared" ca="1" si="63"/>
        <v>1.029825075962572</v>
      </c>
      <c r="Z288" s="290">
        <f t="shared" ca="1" si="63"/>
        <v>1.0346791628463901</v>
      </c>
      <c r="AA288" s="290">
        <f t="shared" ca="1" si="63"/>
        <v>1.0391824455897407</v>
      </c>
      <c r="AB288" s="290">
        <f t="shared" ca="1" si="63"/>
        <v>1.0433443388787222</v>
      </c>
      <c r="AC288" s="290">
        <f t="shared" ca="1" si="63"/>
        <v>1.0471747111836263</v>
      </c>
      <c r="AD288" s="290">
        <f t="shared" ca="1" si="63"/>
        <v>1.0506838448144455</v>
      </c>
    </row>
    <row r="289" spans="1:30">
      <c r="A289" s="90">
        <v>203</v>
      </c>
      <c r="B289" s="90">
        <f t="shared" si="58"/>
        <v>0.81200000000000006</v>
      </c>
      <c r="C289" s="291">
        <f t="shared" ca="1" si="59"/>
        <v>-1.3847676272162213E-2</v>
      </c>
      <c r="D289" s="292">
        <f t="shared" ca="1" si="60"/>
        <v>0.64526196042799278</v>
      </c>
      <c r="E289" s="291">
        <f t="shared" ca="1" si="61"/>
        <v>-1.3430625440435488E-2</v>
      </c>
      <c r="F289" s="293">
        <f t="shared" ca="1" si="62"/>
        <v>0.99214464566672711</v>
      </c>
      <c r="T289" s="289">
        <f t="shared" ca="1" si="63"/>
        <v>1</v>
      </c>
      <c r="U289" s="290">
        <f t="shared" ca="1" si="63"/>
        <v>1.0065174016814906</v>
      </c>
      <c r="V289" s="290">
        <f t="shared" ca="1" si="63"/>
        <v>1.0126431570474339</v>
      </c>
      <c r="W289" s="290">
        <f t="shared" ca="1" si="63"/>
        <v>1.0183840454415685</v>
      </c>
      <c r="X289" s="290">
        <f t="shared" ca="1" si="63"/>
        <v>1.0237474998601335</v>
      </c>
      <c r="Y289" s="290">
        <f t="shared" ca="1" si="63"/>
        <v>1.0287415644286686</v>
      </c>
      <c r="Z289" s="290">
        <f t="shared" ca="1" si="63"/>
        <v>1.0333748519570314</v>
      </c>
      <c r="AA289" s="290">
        <f t="shared" ca="1" si="63"/>
        <v>1.0376565017736934</v>
      </c>
      <c r="AB289" s="290">
        <f t="shared" ca="1" si="63"/>
        <v>1.0415961380270669</v>
      </c>
      <c r="AC289" s="290">
        <f t="shared" ca="1" si="63"/>
        <v>1.045203828626976</v>
      </c>
      <c r="AD289" s="290">
        <f t="shared" ca="1" si="63"/>
        <v>1.0484900449846235</v>
      </c>
    </row>
    <row r="290" spans="1:30">
      <c r="A290" s="90">
        <v>204</v>
      </c>
      <c r="B290" s="90">
        <f t="shared" si="58"/>
        <v>0.81600000000000006</v>
      </c>
      <c r="C290" s="291">
        <f t="shared" ca="1" si="59"/>
        <v>-1.3423539338051191E-2</v>
      </c>
      <c r="D290" s="292">
        <f t="shared" ca="1" si="60"/>
        <v>-1.2735902271657409</v>
      </c>
      <c r="E290" s="291">
        <f t="shared" ca="1" si="61"/>
        <v>-1.4246696282195543E-2</v>
      </c>
      <c r="F290" s="293">
        <f t="shared" ca="1" si="62"/>
        <v>0.99208972737362544</v>
      </c>
      <c r="T290" s="289">
        <f t="shared" ca="1" si="63"/>
        <v>1</v>
      </c>
      <c r="U290" s="290">
        <f t="shared" ca="1" si="63"/>
        <v>1.0069275826463369</v>
      </c>
      <c r="V290" s="290">
        <f t="shared" ca="1" si="63"/>
        <v>1.0134674793449285</v>
      </c>
      <c r="W290" s="290">
        <f t="shared" ca="1" si="63"/>
        <v>1.0196259834607235</v>
      </c>
      <c r="X290" s="290">
        <f t="shared" ca="1" si="63"/>
        <v>1.0254100564795581</v>
      </c>
      <c r="Y290" s="290">
        <f t="shared" ca="1" si="63"/>
        <v>1.0308272866404902</v>
      </c>
      <c r="Z290" s="290">
        <f t="shared" ca="1" si="63"/>
        <v>1.0358858475342363</v>
      </c>
      <c r="AA290" s="290">
        <f t="shared" ca="1" si="63"/>
        <v>1.0405944568705052</v>
      </c>
      <c r="AB290" s="290">
        <f t="shared" ca="1" si="63"/>
        <v>1.0449623356043143</v>
      </c>
      <c r="AC290" s="290">
        <f t="shared" ca="1" si="63"/>
        <v>1.0489991675972667</v>
      </c>
      <c r="AD290" s="290">
        <f t="shared" ca="1" si="63"/>
        <v>1.0527150599754784</v>
      </c>
    </row>
    <row r="291" spans="1:30">
      <c r="A291" s="90">
        <v>205</v>
      </c>
      <c r="B291" s="90">
        <f t="shared" si="58"/>
        <v>0.82000000000000006</v>
      </c>
      <c r="C291" s="291">
        <f t="shared" ca="1" si="59"/>
        <v>-1.4239591170374929E-2</v>
      </c>
      <c r="D291" s="292">
        <f t="shared" ca="1" si="60"/>
        <v>2.4107692069211133</v>
      </c>
      <c r="E291" s="291">
        <f t="shared" ca="1" si="61"/>
        <v>-1.2681443682212523E-2</v>
      </c>
      <c r="F291" s="293">
        <f t="shared" ca="1" si="62"/>
        <v>0.99203629855030517</v>
      </c>
      <c r="T291" s="289">
        <f t="shared" ca="1" si="63"/>
        <v>1</v>
      </c>
      <c r="U291" s="290">
        <f t="shared" ca="1" si="63"/>
        <v>1.0061409882279415</v>
      </c>
      <c r="V291" s="290">
        <f t="shared" ca="1" si="63"/>
        <v>1.0118869904719914</v>
      </c>
      <c r="W291" s="290">
        <f t="shared" ca="1" si="63"/>
        <v>1.0172452344863572</v>
      </c>
      <c r="X291" s="290">
        <f t="shared" ca="1" si="63"/>
        <v>1.022223587704743</v>
      </c>
      <c r="Y291" s="290">
        <f t="shared" ca="1" si="63"/>
        <v>1.0268305136897979</v>
      </c>
      <c r="Z291" s="290">
        <f t="shared" ca="1" si="63"/>
        <v>1.0310750287656198</v>
      </c>
      <c r="AA291" s="290">
        <f t="shared" ca="1" si="63"/>
        <v>1.0349666590324869</v>
      </c>
      <c r="AB291" s="290">
        <f t="shared" ca="1" si="63"/>
        <v>1.0385153979491391</v>
      </c>
      <c r="AC291" s="290">
        <f t="shared" ca="1" si="63"/>
        <v>1.0417316646528219</v>
      </c>
      <c r="AD291" s="290">
        <f t="shared" ca="1" si="63"/>
        <v>1.0446262631721097</v>
      </c>
    </row>
    <row r="292" spans="1:30">
      <c r="A292" s="90">
        <v>206</v>
      </c>
      <c r="B292" s="90">
        <f t="shared" si="58"/>
        <v>0.82400000000000007</v>
      </c>
      <c r="C292" s="291">
        <f t="shared" ca="1" si="59"/>
        <v>-1.2674375031159894E-2</v>
      </c>
      <c r="D292" s="292">
        <f t="shared" ca="1" si="60"/>
        <v>-0.75233357106029519</v>
      </c>
      <c r="E292" s="291">
        <f t="shared" ca="1" si="61"/>
        <v>-1.3160629236100969E-2</v>
      </c>
      <c r="F292" s="293">
        <f t="shared" ca="1" si="62"/>
        <v>0.99198502732654181</v>
      </c>
      <c r="T292" s="289">
        <f t="shared" ca="1" si="63"/>
        <v>1</v>
      </c>
      <c r="U292" s="290">
        <f t="shared" ca="1" si="63"/>
        <v>1.0063817305175333</v>
      </c>
      <c r="V292" s="290">
        <f t="shared" ca="1" si="63"/>
        <v>1.0123705784931936</v>
      </c>
      <c r="W292" s="290">
        <f t="shared" ca="1" si="63"/>
        <v>1.0179734846403636</v>
      </c>
      <c r="X292" s="290">
        <f t="shared" ca="1" si="63"/>
        <v>1.0231980383654264</v>
      </c>
      <c r="Y292" s="290">
        <f t="shared" ca="1" si="63"/>
        <v>1.0280524348705604</v>
      </c>
      <c r="Z292" s="290">
        <f t="shared" ca="1" si="63"/>
        <v>1.0325454323723293</v>
      </c>
      <c r="AA292" s="290">
        <f t="shared" ca="1" si="63"/>
        <v>1.0366863096364807</v>
      </c>
      <c r="AB292" s="290">
        <f t="shared" ca="1" si="63"/>
        <v>1.0404848240158564</v>
      </c>
      <c r="AC292" s="290">
        <f t="shared" ca="1" si="63"/>
        <v>1.0439511701635202</v>
      </c>
      <c r="AD292" s="290">
        <f t="shared" ca="1" si="63"/>
        <v>1.0470959395782753</v>
      </c>
    </row>
    <row r="293" spans="1:30">
      <c r="A293" s="90">
        <v>207</v>
      </c>
      <c r="B293" s="90">
        <f t="shared" si="58"/>
        <v>0.82800000000000007</v>
      </c>
      <c r="C293" s="291">
        <f t="shared" ca="1" si="59"/>
        <v>-1.3153549422969259E-2</v>
      </c>
      <c r="D293" s="292">
        <f t="shared" ca="1" si="60"/>
        <v>0.49804276209161663</v>
      </c>
      <c r="E293" s="291">
        <f t="shared" ca="1" si="61"/>
        <v>-1.283165047199435E-2</v>
      </c>
      <c r="F293" s="293">
        <f t="shared" ca="1" si="62"/>
        <v>0.99193346076229294</v>
      </c>
      <c r="T293" s="289">
        <f t="shared" ca="1" si="63"/>
        <v>1</v>
      </c>
      <c r="U293" s="290">
        <f t="shared" ca="1" si="63"/>
        <v>1.0062164457547806</v>
      </c>
      <c r="V293" s="290">
        <f t="shared" ca="1" si="63"/>
        <v>1.0120385524097752</v>
      </c>
      <c r="W293" s="290">
        <f t="shared" ca="1" si="63"/>
        <v>1.0174734576576601</v>
      </c>
      <c r="X293" s="290">
        <f t="shared" ca="1" si="63"/>
        <v>1.0225289417251122</v>
      </c>
      <c r="Y293" s="290">
        <f t="shared" ca="1" si="63"/>
        <v>1.0272133840256079</v>
      </c>
      <c r="Z293" s="290">
        <f t="shared" ca="1" si="63"/>
        <v>1.0315357199741153</v>
      </c>
      <c r="AA293" s="290">
        <f t="shared" ca="1" si="63"/>
        <v>1.0355053981632567</v>
      </c>
      <c r="AB293" s="290">
        <f t="shared" ca="1" si="63"/>
        <v>1.0391323380867663</v>
      </c>
      <c r="AC293" s="290">
        <f t="shared" ca="1" si="63"/>
        <v>1.0424268885810661</v>
      </c>
      <c r="AD293" s="290">
        <f t="shared" ca="1" si="63"/>
        <v>1.0453997871406593</v>
      </c>
    </row>
    <row r="294" spans="1:30">
      <c r="A294" s="90">
        <v>208</v>
      </c>
      <c r="B294" s="90">
        <f t="shared" si="58"/>
        <v>0.83200000000000007</v>
      </c>
      <c r="C294" s="291">
        <f t="shared" ca="1" si="59"/>
        <v>-1.2824578322046453E-2</v>
      </c>
      <c r="D294" s="292">
        <f t="shared" ca="1" si="60"/>
        <v>-0.58807194545552677</v>
      </c>
      <c r="E294" s="291">
        <f t="shared" ca="1" si="61"/>
        <v>-1.3204665649377365E-2</v>
      </c>
      <c r="F294" s="293">
        <f t="shared" ca="1" si="62"/>
        <v>0.99188180952080107</v>
      </c>
      <c r="T294" s="289">
        <f t="shared" ca="1" si="63"/>
        <v>1</v>
      </c>
      <c r="U294" s="290">
        <f t="shared" ca="1" si="63"/>
        <v>1.0064038572524585</v>
      </c>
      <c r="V294" s="290">
        <f t="shared" ca="1" si="63"/>
        <v>1.0124150310799829</v>
      </c>
      <c r="W294" s="290">
        <f t="shared" ca="1" si="63"/>
        <v>1.0180404358580364</v>
      </c>
      <c r="X294" s="290">
        <f t="shared" ca="1" si="63"/>
        <v>1.0232876354698379</v>
      </c>
      <c r="Y294" s="290">
        <f t="shared" ca="1" si="63"/>
        <v>1.0281648004698707</v>
      </c>
      <c r="Z294" s="290">
        <f t="shared" ca="1" si="63"/>
        <v>1.0326806653570415</v>
      </c>
      <c r="AA294" s="290">
        <f t="shared" ca="1" si="63"/>
        <v>1.0368444861580102</v>
      </c>
      <c r="AB294" s="290">
        <f t="shared" ca="1" si="63"/>
        <v>1.0406659985077367</v>
      </c>
      <c r="AC294" s="290">
        <f t="shared" ca="1" si="63"/>
        <v>1.0441553763995162</v>
      </c>
      <c r="AD294" s="290">
        <f t="shared" ca="1" si="63"/>
        <v>1.0473231917618668</v>
      </c>
    </row>
    <row r="295" spans="1:30">
      <c r="A295" s="90">
        <v>209</v>
      </c>
      <c r="B295" s="90">
        <f t="shared" si="58"/>
        <v>0.83599999999999997</v>
      </c>
      <c r="C295" s="291">
        <f t="shared" ca="1" si="59"/>
        <v>-1.3197584810467804E-2</v>
      </c>
      <c r="D295" s="292">
        <f t="shared" ca="1" si="60"/>
        <v>0.61774124362952154</v>
      </c>
      <c r="E295" s="291">
        <f t="shared" ca="1" si="61"/>
        <v>-1.2798321386854996E-2</v>
      </c>
      <c r="F295" s="293">
        <f t="shared" ca="1" si="62"/>
        <v>0.99183022708244128</v>
      </c>
      <c r="T295" s="289">
        <f t="shared" ca="1" si="63"/>
        <v>1</v>
      </c>
      <c r="U295" s="290">
        <f t="shared" ca="1" si="63"/>
        <v>1.0061997021460627</v>
      </c>
      <c r="V295" s="290">
        <f t="shared" ca="1" si="63"/>
        <v>1.0120049206739459</v>
      </c>
      <c r="W295" s="290">
        <f t="shared" ca="1" si="63"/>
        <v>1.0174228132533807</v>
      </c>
      <c r="X295" s="290">
        <f t="shared" ca="1" si="63"/>
        <v>1.022461179457014</v>
      </c>
      <c r="Y295" s="290">
        <f t="shared" ca="1" si="63"/>
        <v>1.0271284173679693</v>
      </c>
      <c r="Z295" s="290">
        <f t="shared" ca="1" si="63"/>
        <v>1.0314334803539953</v>
      </c>
      <c r="AA295" s="290">
        <f t="shared" ca="1" si="63"/>
        <v>1.0353858342076794</v>
      </c>
      <c r="AB295" s="290">
        <f t="shared" ca="1" si="63"/>
        <v>1.0389954148384535</v>
      </c>
      <c r="AC295" s="290">
        <f t="shared" ca="1" si="63"/>
        <v>1.0422725866870672</v>
      </c>
      <c r="AD295" s="290">
        <f t="shared" ca="1" si="63"/>
        <v>1.045228102018088</v>
      </c>
    </row>
    <row r="296" spans="1:30">
      <c r="A296" s="90">
        <v>210</v>
      </c>
      <c r="B296" s="90">
        <f t="shared" si="58"/>
        <v>0.84</v>
      </c>
      <c r="C296" s="291">
        <f t="shared" ca="1" si="59"/>
        <v>-1.2791250013269995E-2</v>
      </c>
      <c r="D296" s="292">
        <f t="shared" ca="1" si="60"/>
        <v>-7.0099100904778555E-2</v>
      </c>
      <c r="E296" s="291">
        <f t="shared" ca="1" si="61"/>
        <v>-1.2836557020545369E-2</v>
      </c>
      <c r="F296" s="293">
        <f t="shared" ca="1" si="62"/>
        <v>0.99177937749143141</v>
      </c>
      <c r="T296" s="289">
        <f t="shared" ref="T296:AD305" ca="1" si="64">EXP(T$82-$E296*T$83)</f>
        <v>1</v>
      </c>
      <c r="U296" s="290">
        <f t="shared" ca="1" si="64"/>
        <v>1.0062189106923243</v>
      </c>
      <c r="V296" s="290">
        <f t="shared" ca="1" si="64"/>
        <v>1.0120435036074935</v>
      </c>
      <c r="W296" s="290">
        <f t="shared" ca="1" si="64"/>
        <v>1.0174809134975757</v>
      </c>
      <c r="X296" s="290">
        <f t="shared" ca="1" si="64"/>
        <v>1.0225389177414337</v>
      </c>
      <c r="Y296" s="290">
        <f t="shared" ca="1" si="64"/>
        <v>1.0272258930041891</v>
      </c>
      <c r="Z296" s="290">
        <f t="shared" ca="1" si="64"/>
        <v>1.0315507720578914</v>
      </c>
      <c r="AA296" s="290">
        <f t="shared" ca="1" si="64"/>
        <v>1.0355230009629752</v>
      </c>
      <c r="AB296" s="290">
        <f t="shared" ca="1" si="64"/>
        <v>1.0391524967963579</v>
      </c>
      <c r="AC296" s="290">
        <f t="shared" ca="1" si="64"/>
        <v>1.042449606097009</v>
      </c>
      <c r="AD296" s="290">
        <f t="shared" ca="1" si="64"/>
        <v>1.0454250641847223</v>
      </c>
    </row>
    <row r="297" spans="1:30">
      <c r="A297" s="90">
        <v>211</v>
      </c>
      <c r="B297" s="90">
        <f t="shared" si="58"/>
        <v>0.84399999999999997</v>
      </c>
      <c r="C297" s="291">
        <f t="shared" ca="1" si="59"/>
        <v>-1.282948475630504E-2</v>
      </c>
      <c r="D297" s="292">
        <f t="shared" ca="1" si="60"/>
        <v>0.30278488193068859</v>
      </c>
      <c r="E297" s="291">
        <f t="shared" ca="1" si="61"/>
        <v>-1.2633786428203203E-2</v>
      </c>
      <c r="F297" s="293">
        <f t="shared" ca="1" si="62"/>
        <v>0.99172885685548007</v>
      </c>
      <c r="T297" s="289">
        <f t="shared" ca="1" si="64"/>
        <v>1</v>
      </c>
      <c r="U297" s="290">
        <f t="shared" ca="1" si="64"/>
        <v>1.0061170484253106</v>
      </c>
      <c r="V297" s="290">
        <f t="shared" ca="1" si="64"/>
        <v>1.0118389080031842</v>
      </c>
      <c r="W297" s="290">
        <f t="shared" ca="1" si="64"/>
        <v>1.0171728350779212</v>
      </c>
      <c r="X297" s="290">
        <f t="shared" ca="1" si="64"/>
        <v>1.0221267247620947</v>
      </c>
      <c r="Y297" s="290">
        <f t="shared" ca="1" si="64"/>
        <v>1.026709067321758</v>
      </c>
      <c r="Z297" s="290">
        <f t="shared" ca="1" si="64"/>
        <v>1.0309289047514378</v>
      </c>
      <c r="AA297" s="290">
        <f t="shared" ca="1" si="64"/>
        <v>1.0347957877379539</v>
      </c>
      <c r="AB297" s="290">
        <f t="shared" ca="1" si="64"/>
        <v>1.0383197331982239</v>
      </c>
      <c r="AC297" s="290">
        <f t="shared" ca="1" si="64"/>
        <v>1.0415111825610697</v>
      </c>
      <c r="AD297" s="290">
        <f t="shared" ca="1" si="64"/>
        <v>1.0443809609478292</v>
      </c>
    </row>
    <row r="298" spans="1:30">
      <c r="A298" s="90">
        <v>212</v>
      </c>
      <c r="B298" s="90">
        <f t="shared" si="58"/>
        <v>0.84799999999999998</v>
      </c>
      <c r="C298" s="291">
        <f t="shared" ca="1" si="59"/>
        <v>-1.2626718887271765E-2</v>
      </c>
      <c r="D298" s="292">
        <f t="shared" ca="1" si="60"/>
        <v>0.68593624244111828</v>
      </c>
      <c r="E298" s="291">
        <f t="shared" ca="1" si="61"/>
        <v>-1.2183379130761361E-2</v>
      </c>
      <c r="F298" s="293">
        <f t="shared" ca="1" si="62"/>
        <v>0.99167963427859462</v>
      </c>
      <c r="T298" s="289">
        <f t="shared" ca="1" si="64"/>
        <v>1</v>
      </c>
      <c r="U298" s="290">
        <f t="shared" ca="1" si="64"/>
        <v>1.0058908221881593</v>
      </c>
      <c r="V298" s="290">
        <f t="shared" ca="1" si="64"/>
        <v>1.0113845948333484</v>
      </c>
      <c r="W298" s="290">
        <f t="shared" ca="1" si="64"/>
        <v>1.0164888448364449</v>
      </c>
      <c r="X298" s="290">
        <f t="shared" ca="1" si="64"/>
        <v>1.0212117291225162</v>
      </c>
      <c r="Y298" s="290">
        <f t="shared" ca="1" si="64"/>
        <v>1.025561990425599</v>
      </c>
      <c r="Z298" s="290">
        <f t="shared" ca="1" si="64"/>
        <v>1.0295489133272016</v>
      </c>
      <c r="AA298" s="290">
        <f t="shared" ca="1" si="64"/>
        <v>1.0331822807462865</v>
      </c>
      <c r="AB298" s="290">
        <f t="shared" ca="1" si="64"/>
        <v>1.0364723310642845</v>
      </c>
      <c r="AC298" s="290">
        <f t="shared" ca="1" si="64"/>
        <v>1.0394297160532799</v>
      </c>
      <c r="AD298" s="290">
        <f t="shared" ca="1" si="64"/>
        <v>1.0420654597600281</v>
      </c>
    </row>
    <row r="299" spans="1:30">
      <c r="A299" s="90">
        <v>213</v>
      </c>
      <c r="B299" s="90">
        <f t="shared" si="58"/>
        <v>0.85199999999999998</v>
      </c>
      <c r="C299" s="291">
        <f t="shared" ca="1" si="59"/>
        <v>-1.2176322081552454E-2</v>
      </c>
      <c r="D299" s="292">
        <f t="shared" ca="1" si="60"/>
        <v>-0.46575799905387955</v>
      </c>
      <c r="E299" s="291">
        <f t="shared" ca="1" si="61"/>
        <v>-1.2477354488235712E-2</v>
      </c>
      <c r="F299" s="293">
        <f t="shared" ca="1" si="62"/>
        <v>0.99163072439016564</v>
      </c>
      <c r="T299" s="289">
        <f t="shared" ca="1" si="64"/>
        <v>1</v>
      </c>
      <c r="U299" s="290">
        <f t="shared" ca="1" si="64"/>
        <v>1.0060384715317496</v>
      </c>
      <c r="V299" s="290">
        <f t="shared" ca="1" si="64"/>
        <v>1.0116810963800724</v>
      </c>
      <c r="W299" s="290">
        <f t="shared" ca="1" si="64"/>
        <v>1.016935224785791</v>
      </c>
      <c r="X299" s="290">
        <f t="shared" ca="1" si="64"/>
        <v>1.0218088427481604</v>
      </c>
      <c r="Y299" s="290">
        <f t="shared" ca="1" si="64"/>
        <v>1.0263105282001594</v>
      </c>
      <c r="Z299" s="290">
        <f t="shared" ca="1" si="64"/>
        <v>1.0304494073957076</v>
      </c>
      <c r="AA299" s="290">
        <f t="shared" ca="1" si="64"/>
        <v>1.0342351117074076</v>
      </c>
      <c r="AB299" s="290">
        <f t="shared" ca="1" si="64"/>
        <v>1.0376777350194299</v>
      </c>
      <c r="AC299" s="290">
        <f t="shared" ca="1" si="64"/>
        <v>1.0407877918849129</v>
      </c>
      <c r="AD299" s="290">
        <f t="shared" ca="1" si="64"/>
        <v>1.043576176601948</v>
      </c>
    </row>
    <row r="300" spans="1:30">
      <c r="A300" s="90">
        <v>214</v>
      </c>
      <c r="B300" s="90">
        <f t="shared" si="58"/>
        <v>0.85599999999999998</v>
      </c>
      <c r="C300" s="291">
        <f t="shared" ca="1" si="59"/>
        <v>-1.2470290591207288E-2</v>
      </c>
      <c r="D300" s="292">
        <f t="shared" ca="1" si="60"/>
        <v>3.8908726628703844E-2</v>
      </c>
      <c r="E300" s="291">
        <f t="shared" ca="1" si="61"/>
        <v>-1.2445142794192931E-2</v>
      </c>
      <c r="F300" s="293">
        <f t="shared" ca="1" si="62"/>
        <v>0.99158129779394255</v>
      </c>
      <c r="T300" s="289">
        <f t="shared" ca="1" si="64"/>
        <v>1</v>
      </c>
      <c r="U300" s="290">
        <f t="shared" ca="1" si="64"/>
        <v>1.0060222921270718</v>
      </c>
      <c r="V300" s="290">
        <f t="shared" ca="1" si="64"/>
        <v>1.0116486036445194</v>
      </c>
      <c r="W300" s="290">
        <f t="shared" ca="1" si="64"/>
        <v>1.0168863041374658</v>
      </c>
      <c r="X300" s="290">
        <f t="shared" ca="1" si="64"/>
        <v>1.0217433983261157</v>
      </c>
      <c r="Y300" s="290">
        <f t="shared" ca="1" si="64"/>
        <v>1.0262284821980034</v>
      </c>
      <c r="Z300" s="290">
        <f t="shared" ca="1" si="64"/>
        <v>1.0303506993567344</v>
      </c>
      <c r="AA300" s="290">
        <f t="shared" ca="1" si="64"/>
        <v>1.034119697785729</v>
      </c>
      <c r="AB300" s="290">
        <f t="shared" ca="1" si="64"/>
        <v>1.0375455872114698</v>
      </c>
      <c r="AC300" s="290">
        <f t="shared" ca="1" si="64"/>
        <v>1.0406388972354943</v>
      </c>
      <c r="AD300" s="290">
        <f t="shared" ca="1" si="64"/>
        <v>1.0434105363890498</v>
      </c>
    </row>
    <row r="301" spans="1:30">
      <c r="A301" s="90">
        <v>215</v>
      </c>
      <c r="B301" s="90">
        <f t="shared" si="58"/>
        <v>0.86</v>
      </c>
      <c r="C301" s="291">
        <f t="shared" ca="1" si="59"/>
        <v>-1.2438079647499056E-2</v>
      </c>
      <c r="D301" s="292">
        <f t="shared" ca="1" si="60"/>
        <v>-0.7786564415422963</v>
      </c>
      <c r="E301" s="291">
        <f t="shared" ca="1" si="61"/>
        <v>-1.2941347059015444E-2</v>
      </c>
      <c r="F301" s="293">
        <f t="shared" ca="1" si="62"/>
        <v>0.99153095353490728</v>
      </c>
      <c r="T301" s="289">
        <f t="shared" ca="1" si="64"/>
        <v>1</v>
      </c>
      <c r="U301" s="290">
        <f t="shared" ca="1" si="64"/>
        <v>1.0062715562477138</v>
      </c>
      <c r="V301" s="290">
        <f t="shared" ca="1" si="64"/>
        <v>1.0121492530094562</v>
      </c>
      <c r="W301" s="290">
        <f t="shared" ca="1" si="64"/>
        <v>1.0176401622538489</v>
      </c>
      <c r="X301" s="290">
        <f t="shared" ca="1" si="64"/>
        <v>1.0227520005513757</v>
      </c>
      <c r="Y301" s="290">
        <f t="shared" ca="1" si="64"/>
        <v>1.0274930858765272</v>
      </c>
      <c r="Z301" s="290">
        <f t="shared" ca="1" si="64"/>
        <v>1.0318722945564316</v>
      </c>
      <c r="AA301" s="290">
        <f t="shared" ca="1" si="64"/>
        <v>1.0358990185658294</v>
      </c>
      <c r="AB301" s="290">
        <f t="shared" ca="1" si="64"/>
        <v>1.0395831233545869</v>
      </c>
      <c r="AC301" s="290">
        <f t="shared" ca="1" si="64"/>
        <v>1.0429349063789992</v>
      </c>
      <c r="AD301" s="290">
        <f t="shared" ca="1" si="64"/>
        <v>1.0459650564930849</v>
      </c>
    </row>
    <row r="302" spans="1:30">
      <c r="A302" s="90">
        <v>216</v>
      </c>
      <c r="B302" s="90">
        <f t="shared" si="58"/>
        <v>0.86399999999999999</v>
      </c>
      <c r="C302" s="291">
        <f t="shared" ca="1" si="59"/>
        <v>-1.2934272353811095E-2</v>
      </c>
      <c r="D302" s="292">
        <f t="shared" ca="1" si="60"/>
        <v>-1.3724492331602784</v>
      </c>
      <c r="E302" s="291">
        <f t="shared" ca="1" si="61"/>
        <v>-1.3821324635356635E-2</v>
      </c>
      <c r="F302" s="293">
        <f t="shared" ca="1" si="62"/>
        <v>0.99147788292046279</v>
      </c>
      <c r="T302" s="289">
        <f t="shared" ca="1" si="64"/>
        <v>1</v>
      </c>
      <c r="U302" s="290">
        <f t="shared" ca="1" si="64"/>
        <v>1.0067137576191598</v>
      </c>
      <c r="V302" s="290">
        <f t="shared" ca="1" si="64"/>
        <v>1.0130377229881999</v>
      </c>
      <c r="W302" s="290">
        <f t="shared" ca="1" si="64"/>
        <v>1.018978442440494</v>
      </c>
      <c r="X302" s="290">
        <f t="shared" ca="1" si="64"/>
        <v>1.0245431229865773</v>
      </c>
      <c r="Y302" s="290">
        <f t="shared" ca="1" si="64"/>
        <v>1.0297395903395132</v>
      </c>
      <c r="Z302" s="290">
        <f t="shared" ca="1" si="64"/>
        <v>1.0345762469645194</v>
      </c>
      <c r="AA302" s="290">
        <f t="shared" ca="1" si="64"/>
        <v>1.0390620303547955</v>
      </c>
      <c r="AB302" s="290">
        <f t="shared" ca="1" si="64"/>
        <v>1.0432063717224549</v>
      </c>
      <c r="AC302" s="290">
        <f t="shared" ca="1" si="64"/>
        <v>1.0470191552790891</v>
      </c>
      <c r="AD302" s="290">
        <f t="shared" ca="1" si="64"/>
        <v>1.0505106782659486</v>
      </c>
    </row>
    <row r="303" spans="1:30">
      <c r="A303" s="90">
        <v>217</v>
      </c>
      <c r="B303" s="90">
        <f t="shared" si="58"/>
        <v>0.86799999999999999</v>
      </c>
      <c r="C303" s="291">
        <f t="shared" ca="1" si="59"/>
        <v>-1.3814229432081724E-2</v>
      </c>
      <c r="D303" s="292">
        <f t="shared" ca="1" si="60"/>
        <v>-1.4643279983361428</v>
      </c>
      <c r="E303" s="291">
        <f t="shared" ca="1" si="61"/>
        <v>-1.4760665526380154E-2</v>
      </c>
      <c r="F303" s="293">
        <f t="shared" ca="1" si="62"/>
        <v>0.99142120771817788</v>
      </c>
      <c r="T303" s="289">
        <f t="shared" ca="1" si="64"/>
        <v>1</v>
      </c>
      <c r="U303" s="290">
        <f t="shared" ca="1" si="64"/>
        <v>1.0071860043401024</v>
      </c>
      <c r="V303" s="290">
        <f t="shared" ca="1" si="64"/>
        <v>1.0139869897930984</v>
      </c>
      <c r="W303" s="290">
        <f t="shared" ca="1" si="64"/>
        <v>1.0204089451495377</v>
      </c>
      <c r="X303" s="290">
        <f t="shared" ca="1" si="64"/>
        <v>1.0264585360309884</v>
      </c>
      <c r="Y303" s="290">
        <f t="shared" ca="1" si="64"/>
        <v>1.0321430642689864</v>
      </c>
      <c r="Z303" s="290">
        <f t="shared" ca="1" si="64"/>
        <v>1.0374704271806356</v>
      </c>
      <c r="AA303" s="290">
        <f t="shared" ca="1" si="64"/>
        <v>1.0424490769445793</v>
      </c>
      <c r="AB303" s="290">
        <f t="shared" ca="1" si="64"/>
        <v>1.0470879802687272</v>
      </c>
      <c r="AC303" s="290">
        <f t="shared" ca="1" si="64"/>
        <v>1.0513965785273651</v>
      </c>
      <c r="AD303" s="290">
        <f t="shared" ca="1" si="64"/>
        <v>1.0553847485312857</v>
      </c>
    </row>
    <row r="304" spans="1:30">
      <c r="A304" s="90">
        <v>218</v>
      </c>
      <c r="B304" s="90">
        <f t="shared" si="58"/>
        <v>0.872</v>
      </c>
      <c r="C304" s="291">
        <f t="shared" ca="1" si="59"/>
        <v>-1.4753548442234202E-2</v>
      </c>
      <c r="D304" s="292">
        <f t="shared" ca="1" si="60"/>
        <v>-1.3334578848401126</v>
      </c>
      <c r="E304" s="291">
        <f t="shared" ca="1" si="61"/>
        <v>-1.5615399526057991E-2</v>
      </c>
      <c r="F304" s="293">
        <f t="shared" ca="1" si="62"/>
        <v>0.99136097859752004</v>
      </c>
      <c r="T304" s="289">
        <f t="shared" ca="1" si="64"/>
        <v>1</v>
      </c>
      <c r="U304" s="290">
        <f t="shared" ca="1" si="64"/>
        <v>1.0076159080646214</v>
      </c>
      <c r="V304" s="290">
        <f t="shared" ca="1" si="64"/>
        <v>1.0148515285935207</v>
      </c>
      <c r="W304" s="290">
        <f t="shared" ca="1" si="64"/>
        <v>1.0217123467580214</v>
      </c>
      <c r="X304" s="290">
        <f t="shared" ca="1" si="64"/>
        <v>1.028204538358243</v>
      </c>
      <c r="Y304" s="290">
        <f t="shared" ca="1" si="64"/>
        <v>1.0343349304747298</v>
      </c>
      <c r="Z304" s="290">
        <f t="shared" ca="1" si="64"/>
        <v>1.0401109619033069</v>
      </c>
      <c r="AA304" s="290">
        <f t="shared" ca="1" si="64"/>
        <v>1.0455406435781305</v>
      </c>
      <c r="AB304" s="290">
        <f t="shared" ca="1" si="64"/>
        <v>1.0506325191761976</v>
      </c>
      <c r="AC304" s="290">
        <f t="shared" ca="1" si="64"/>
        <v>1.0553956260834119</v>
      </c>
      <c r="AD304" s="290">
        <f t="shared" ca="1" si="64"/>
        <v>1.0598394568888243</v>
      </c>
    </row>
    <row r="305" spans="1:30">
      <c r="A305" s="90">
        <v>219</v>
      </c>
      <c r="B305" s="90">
        <f t="shared" si="58"/>
        <v>0.876</v>
      </c>
      <c r="C305" s="291">
        <f t="shared" ca="1" si="59"/>
        <v>-1.5608262531861707E-2</v>
      </c>
      <c r="D305" s="292">
        <f t="shared" ca="1" si="60"/>
        <v>-0.30592563528753824</v>
      </c>
      <c r="E305" s="291">
        <f t="shared" ca="1" si="61"/>
        <v>-1.5805990816601393E-2</v>
      </c>
      <c r="F305" s="293">
        <f t="shared" ca="1" si="62"/>
        <v>0.99129868067446991</v>
      </c>
      <c r="T305" s="289">
        <f t="shared" ca="1" si="64"/>
        <v>1</v>
      </c>
      <c r="U305" s="290">
        <f t="shared" ca="1" si="64"/>
        <v>1.0077117943744796</v>
      </c>
      <c r="V305" s="290">
        <f t="shared" ca="1" si="64"/>
        <v>1.0150444066750142</v>
      </c>
      <c r="W305" s="290">
        <f t="shared" ca="1" si="64"/>
        <v>1.0220032103058339</v>
      </c>
      <c r="X305" s="290">
        <f t="shared" ca="1" si="64"/>
        <v>1.0285942722597785</v>
      </c>
      <c r="Y305" s="290">
        <f t="shared" ca="1" si="64"/>
        <v>1.0348243140588576</v>
      </c>
      <c r="Z305" s="290">
        <f t="shared" ca="1" si="64"/>
        <v>1.0407006724531043</v>
      </c>
      <c r="AA305" s="290">
        <f t="shared" ca="1" si="64"/>
        <v>1.0462312600829275</v>
      </c>
      <c r="AB305" s="290">
        <f t="shared" ca="1" si="64"/>
        <v>1.0514245262985951</v>
      </c>
      <c r="AC305" s="290">
        <f t="shared" ca="1" si="64"/>
        <v>1.0562894183174472</v>
      </c>
      <c r="AD305" s="290">
        <f t="shared" ca="1" si="64"/>
        <v>1.0608353428860871</v>
      </c>
    </row>
    <row r="306" spans="1:30">
      <c r="A306" s="90">
        <v>220</v>
      </c>
      <c r="B306" s="90">
        <f t="shared" si="58"/>
        <v>0.88</v>
      </c>
      <c r="C306" s="291">
        <f t="shared" ca="1" si="59"/>
        <v>-1.5798849382799116E-2</v>
      </c>
      <c r="D306" s="292">
        <f t="shared" ca="1" si="60"/>
        <v>-0.27883156365295086</v>
      </c>
      <c r="E306" s="291">
        <f t="shared" ca="1" si="61"/>
        <v>-1.5979066012113501E-2</v>
      </c>
      <c r="F306" s="293">
        <f t="shared" ca="1" si="62"/>
        <v>0.99123566570762645</v>
      </c>
      <c r="T306" s="289">
        <f t="shared" ref="T306:AD315" ca="1" si="65">EXP(T$82-$E306*T$83)</f>
        <v>1</v>
      </c>
      <c r="U306" s="290">
        <f t="shared" ca="1" si="65"/>
        <v>1.0077988762577161</v>
      </c>
      <c r="V306" s="290">
        <f t="shared" ca="1" si="65"/>
        <v>1.015219590255025</v>
      </c>
      <c r="W306" s="290">
        <f t="shared" ca="1" si="65"/>
        <v>1.0222674140785519</v>
      </c>
      <c r="X306" s="290">
        <f t="shared" ca="1" si="65"/>
        <v>1.0289483160544617</v>
      </c>
      <c r="Y306" s="290">
        <f t="shared" ca="1" si="65"/>
        <v>1.035268921952982</v>
      </c>
      <c r="Z306" s="290">
        <f t="shared" ca="1" si="65"/>
        <v>1.0412364759287021</v>
      </c>
      <c r="AA306" s="290">
        <f t="shared" ca="1" si="65"/>
        <v>1.046858801402039</v>
      </c>
      <c r="AB306" s="290">
        <f t="shared" ca="1" si="65"/>
        <v>1.0521442620758308</v>
      </c>
      <c r="AC306" s="290">
        <f t="shared" ca="1" si="65"/>
        <v>1.0571017232680997</v>
      </c>
      <c r="AD306" s="290">
        <f t="shared" ca="1" si="65"/>
        <v>1.0617405137287799</v>
      </c>
    </row>
    <row r="307" spans="1:30">
      <c r="A307" s="90">
        <v>221</v>
      </c>
      <c r="B307" s="90">
        <f t="shared" si="58"/>
        <v>0.88400000000000001</v>
      </c>
      <c r="C307" s="291">
        <f t="shared" ca="1" si="59"/>
        <v>-1.5971920546722619E-2</v>
      </c>
      <c r="D307" s="292">
        <f t="shared" ca="1" si="60"/>
        <v>1.2698895189138559</v>
      </c>
      <c r="E307" s="291">
        <f t="shared" ca="1" si="61"/>
        <v>-1.5151155473708254E-2</v>
      </c>
      <c r="F307" s="293">
        <f t="shared" ca="1" si="62"/>
        <v>0.99117395285714494</v>
      </c>
      <c r="T307" s="289">
        <f t="shared" ca="1" si="65"/>
        <v>1</v>
      </c>
      <c r="U307" s="290">
        <f t="shared" ca="1" si="65"/>
        <v>1.0073823854689035</v>
      </c>
      <c r="V307" s="290">
        <f t="shared" ca="1" si="65"/>
        <v>1.014381867704264</v>
      </c>
      <c r="W307" s="290">
        <f t="shared" ca="1" si="65"/>
        <v>1.0210042049468284</v>
      </c>
      <c r="X307" s="290">
        <f t="shared" ca="1" si="65"/>
        <v>1.0272558386783575</v>
      </c>
      <c r="Y307" s="290">
        <f t="shared" ca="1" si="65"/>
        <v>1.0331438535772699</v>
      </c>
      <c r="Z307" s="290">
        <f t="shared" ca="1" si="65"/>
        <v>1.0386759373187946</v>
      </c>
      <c r="AA307" s="290">
        <f t="shared" ca="1" si="65"/>
        <v>1.0438603404239617</v>
      </c>
      <c r="AB307" s="290">
        <f t="shared" ca="1" si="65"/>
        <v>1.0487058363497217</v>
      </c>
      <c r="AC307" s="290">
        <f t="shared" ca="1" si="65"/>
        <v>1.0532216819989908</v>
      </c>
      <c r="AD307" s="290">
        <f t="shared" ca="1" si="65"/>
        <v>1.057417578815659</v>
      </c>
    </row>
    <row r="308" spans="1:30">
      <c r="A308" s="90">
        <v>222</v>
      </c>
      <c r="B308" s="90">
        <f t="shared" si="58"/>
        <v>0.88800000000000001</v>
      </c>
      <c r="C308" s="291">
        <f t="shared" ca="1" si="59"/>
        <v>-1.5144029293545871E-2</v>
      </c>
      <c r="D308" s="292">
        <f t="shared" ca="1" si="60"/>
        <v>-0.97953599811359382</v>
      </c>
      <c r="E308" s="291">
        <f t="shared" ca="1" si="61"/>
        <v>-1.5777130774452291E-2</v>
      </c>
      <c r="F308" s="293">
        <f t="shared" ca="1" si="62"/>
        <v>0.99111264412986699</v>
      </c>
      <c r="T308" s="289">
        <f t="shared" ca="1" si="65"/>
        <v>1</v>
      </c>
      <c r="U308" s="290">
        <f t="shared" ca="1" si="65"/>
        <v>1.0076972743265611</v>
      </c>
      <c r="V308" s="290">
        <f t="shared" ca="1" si="65"/>
        <v>1.0150151980034978</v>
      </c>
      <c r="W308" s="290">
        <f t="shared" ca="1" si="65"/>
        <v>1.0219591613461756</v>
      </c>
      <c r="X308" s="290">
        <f t="shared" ca="1" si="65"/>
        <v>1.0285352478131173</v>
      </c>
      <c r="Y308" s="290">
        <f t="shared" ca="1" si="65"/>
        <v>1.0347501949026949</v>
      </c>
      <c r="Z308" s="290">
        <f t="shared" ca="1" si="65"/>
        <v>1.0406113548118812</v>
      </c>
      <c r="AA308" s="290">
        <f t="shared" ca="1" si="65"/>
        <v>1.0461266550622308</v>
      </c>
      <c r="AB308" s="290">
        <f t="shared" ca="1" si="65"/>
        <v>1.0513045592866712</v>
      </c>
      <c r="AC308" s="290">
        <f t="shared" ca="1" si="65"/>
        <v>1.0561540283576247</v>
      </c>
      <c r="AD308" s="290">
        <f t="shared" ca="1" si="65"/>
        <v>1.0606844820236188</v>
      </c>
    </row>
    <row r="309" spans="1:30">
      <c r="A309" s="90">
        <v>223</v>
      </c>
      <c r="B309" s="90">
        <f t="shared" si="58"/>
        <v>0.89200000000000002</v>
      </c>
      <c r="C309" s="291">
        <f t="shared" ca="1" si="59"/>
        <v>-1.5769990012911669E-2</v>
      </c>
      <c r="D309" s="292">
        <f t="shared" ca="1" si="60"/>
        <v>-0.67259314056800379</v>
      </c>
      <c r="E309" s="291">
        <f t="shared" ca="1" si="61"/>
        <v>-1.6204705749914856E-2</v>
      </c>
      <c r="F309" s="293">
        <f t="shared" ca="1" si="62"/>
        <v>0.9910492509521952</v>
      </c>
      <c r="T309" s="289">
        <f t="shared" ca="1" si="65"/>
        <v>1</v>
      </c>
      <c r="U309" s="290">
        <f t="shared" ca="1" si="65"/>
        <v>1.0079124170172464</v>
      </c>
      <c r="V309" s="290">
        <f t="shared" ca="1" si="65"/>
        <v>1.0154480241165911</v>
      </c>
      <c r="W309" s="290">
        <f t="shared" ca="1" si="65"/>
        <v>1.0226119615566167</v>
      </c>
      <c r="X309" s="290">
        <f t="shared" ca="1" si="65"/>
        <v>1.0294100692388344</v>
      </c>
      <c r="Y309" s="290">
        <f t="shared" ca="1" si="65"/>
        <v>1.0358488482585835</v>
      </c>
      <c r="Z309" s="290">
        <f t="shared" ca="1" si="65"/>
        <v>1.0419354221625177</v>
      </c>
      <c r="AA309" s="290">
        <f t="shared" ca="1" si="65"/>
        <v>1.0476774981182952</v>
      </c>
      <c r="AB309" s="290">
        <f t="shared" ca="1" si="65"/>
        <v>1.0530833281908343</v>
      </c>
      <c r="AC309" s="290">
        <f t="shared" ca="1" si="65"/>
        <v>1.058161670906733</v>
      </c>
      <c r="AD309" s="290">
        <f t="shared" ca="1" si="65"/>
        <v>1.062921753275349</v>
      </c>
    </row>
    <row r="310" spans="1:30">
      <c r="A310" s="90">
        <v>224</v>
      </c>
      <c r="B310" s="90">
        <f t="shared" si="58"/>
        <v>0.89600000000000002</v>
      </c>
      <c r="C310" s="291">
        <f t="shared" ca="1" si="59"/>
        <v>-1.6197555028504514E-2</v>
      </c>
      <c r="D310" s="292">
        <f t="shared" ca="1" si="60"/>
        <v>-0.52634132915150278</v>
      </c>
      <c r="E310" s="291">
        <f t="shared" ca="1" si="61"/>
        <v>-1.6537744133948117E-2</v>
      </c>
      <c r="F310" s="293">
        <f t="shared" ca="1" si="62"/>
        <v>0.99098435431622967</v>
      </c>
      <c r="T310" s="289">
        <f t="shared" ca="1" si="65"/>
        <v>1</v>
      </c>
      <c r="U310" s="290">
        <f t="shared" ca="1" si="65"/>
        <v>1.0080800235990408</v>
      </c>
      <c r="V310" s="290">
        <f t="shared" ca="1" si="65"/>
        <v>1.0157852804774754</v>
      </c>
      <c r="W310" s="290">
        <f t="shared" ca="1" si="65"/>
        <v>1.0231207168755108</v>
      </c>
      <c r="X310" s="290">
        <f t="shared" ca="1" si="65"/>
        <v>1.0300919835908113</v>
      </c>
      <c r="Y310" s="290">
        <f t="shared" ca="1" si="65"/>
        <v>1.0367053980452252</v>
      </c>
      <c r="Z310" s="290">
        <f t="shared" ca="1" si="65"/>
        <v>1.0429679060153625</v>
      </c>
      <c r="AA310" s="290">
        <f t="shared" ca="1" si="65"/>
        <v>1.0488870432329394</v>
      </c>
      <c r="AB310" s="290">
        <f t="shared" ca="1" si="65"/>
        <v>1.0544708970497956</v>
      </c>
      <c r="AC310" s="290">
        <f t="shared" ca="1" si="65"/>
        <v>1.0597280683499648</v>
      </c>
      <c r="AD310" s="290">
        <f t="shared" ca="1" si="65"/>
        <v>1.0646676338782812</v>
      </c>
    </row>
    <row r="311" spans="1:30">
      <c r="A311" s="90">
        <v>225</v>
      </c>
      <c r="B311" s="90">
        <f t="shared" si="58"/>
        <v>0.9</v>
      </c>
      <c r="C311" s="291">
        <f t="shared" ca="1" si="59"/>
        <v>-1.6530585654789758E-2</v>
      </c>
      <c r="D311" s="292">
        <f t="shared" ca="1" si="60"/>
        <v>0.5799345084402715</v>
      </c>
      <c r="E311" s="291">
        <f t="shared" ca="1" si="61"/>
        <v>-1.6155757780337621E-2</v>
      </c>
      <c r="F311" s="293">
        <f t="shared" ca="1" si="62"/>
        <v>0.99091955893687089</v>
      </c>
      <c r="T311" s="289">
        <f t="shared" ca="1" si="65"/>
        <v>1</v>
      </c>
      <c r="U311" s="290">
        <f t="shared" ca="1" si="65"/>
        <v>1.0078877855634163</v>
      </c>
      <c r="V311" s="290">
        <f t="shared" ca="1" si="65"/>
        <v>1.0153984656532025</v>
      </c>
      <c r="W311" s="290">
        <f t="shared" ca="1" si="65"/>
        <v>1.0225372090999216</v>
      </c>
      <c r="X311" s="290">
        <f t="shared" ca="1" si="65"/>
        <v>1.0293098836438286</v>
      </c>
      <c r="Y311" s="290">
        <f t="shared" ca="1" si="65"/>
        <v>1.0357230174104153</v>
      </c>
      <c r="Z311" s="290">
        <f t="shared" ca="1" si="65"/>
        <v>1.04178376009886</v>
      </c>
      <c r="AA311" s="290">
        <f t="shared" ca="1" si="65"/>
        <v>1.047499844088946</v>
      </c>
      <c r="AB311" s="290">
        <f t="shared" ca="1" si="65"/>
        <v>1.0528795456607334</v>
      </c>
      <c r="AC311" s="290">
        <f t="shared" ca="1" si="65"/>
        <v>1.0579316465084574</v>
      </c>
      <c r="AD311" s="290">
        <f t="shared" ca="1" si="65"/>
        <v>1.0626653957170018</v>
      </c>
    </row>
    <row r="312" spans="1:30">
      <c r="A312" s="90">
        <v>226</v>
      </c>
      <c r="B312" s="90">
        <f t="shared" si="58"/>
        <v>0.90400000000000003</v>
      </c>
      <c r="C312" s="291">
        <f t="shared" ca="1" si="59"/>
        <v>-1.614860819911421E-2</v>
      </c>
      <c r="D312" s="292">
        <f t="shared" ca="1" si="60"/>
        <v>0.20924488043248785</v>
      </c>
      <c r="E312" s="291">
        <f t="shared" ca="1" si="61"/>
        <v>-1.6013367387210396E-2</v>
      </c>
      <c r="F312" s="293">
        <f t="shared" ca="1" si="62"/>
        <v>0.99085580695709352</v>
      </c>
      <c r="T312" s="289">
        <f t="shared" ca="1" si="65"/>
        <v>1</v>
      </c>
      <c r="U312" s="290">
        <f t="shared" ca="1" si="65"/>
        <v>1.0078161357094242</v>
      </c>
      <c r="V312" s="290">
        <f t="shared" ca="1" si="65"/>
        <v>1.0152543130756582</v>
      </c>
      <c r="W312" s="290">
        <f t="shared" ca="1" si="65"/>
        <v>1.0223197841258602</v>
      </c>
      <c r="X312" s="290">
        <f t="shared" ca="1" si="65"/>
        <v>1.029018497647946</v>
      </c>
      <c r="Y312" s="290">
        <f t="shared" ca="1" si="65"/>
        <v>1.0353570604476039</v>
      </c>
      <c r="Z312" s="290">
        <f t="shared" ca="1" si="65"/>
        <v>1.0413426983366367</v>
      </c>
      <c r="AA312" s="290">
        <f t="shared" ca="1" si="65"/>
        <v>1.0469832170580566</v>
      </c>
      <c r="AB312" s="290">
        <f t="shared" ca="1" si="65"/>
        <v>1.0522869633419565</v>
      </c>
      <c r="AC312" s="290">
        <f t="shared" ca="1" si="65"/>
        <v>1.0572627862732857</v>
      </c>
      <c r="AD312" s="290">
        <f t="shared" ca="1" si="65"/>
        <v>1.0619199991394337</v>
      </c>
    </row>
    <row r="313" spans="1:30">
      <c r="A313" s="90">
        <v>227</v>
      </c>
      <c r="B313" s="90">
        <f t="shared" si="58"/>
        <v>0.90800000000000003</v>
      </c>
      <c r="C313" s="291">
        <f t="shared" ca="1" si="59"/>
        <v>-1.6006221122808237E-2</v>
      </c>
      <c r="D313" s="292">
        <f t="shared" ca="1" si="60"/>
        <v>0.89428337112702827</v>
      </c>
      <c r="E313" s="291">
        <f t="shared" ca="1" si="61"/>
        <v>-1.542822079642835E-2</v>
      </c>
      <c r="F313" s="293">
        <f t="shared" ca="1" si="62"/>
        <v>0.99079350075565653</v>
      </c>
      <c r="T313" s="289">
        <f t="shared" ca="1" si="65"/>
        <v>1</v>
      </c>
      <c r="U313" s="290">
        <f t="shared" ca="1" si="65"/>
        <v>1.0075217474913898</v>
      </c>
      <c r="V313" s="290">
        <f t="shared" ca="1" si="65"/>
        <v>1.0146621396903532</v>
      </c>
      <c r="W313" s="290">
        <f t="shared" ca="1" si="65"/>
        <v>1.0214267717287364</v>
      </c>
      <c r="X313" s="290">
        <f t="shared" ca="1" si="65"/>
        <v>1.0278219264189172</v>
      </c>
      <c r="Y313" s="290">
        <f t="shared" ca="1" si="65"/>
        <v>1.0338545346234826</v>
      </c>
      <c r="Z313" s="290">
        <f t="shared" ca="1" si="65"/>
        <v>1.0395321354327443</v>
      </c>
      <c r="AA313" s="290">
        <f t="shared" ca="1" si="65"/>
        <v>1.04486283635482</v>
      </c>
      <c r="AB313" s="290">
        <f t="shared" ca="1" si="65"/>
        <v>1.0498552737111617</v>
      </c>
      <c r="AC313" s="290">
        <f t="shared" ca="1" si="65"/>
        <v>1.0545185734171165</v>
      </c>
      <c r="AD313" s="290">
        <f t="shared" ca="1" si="65"/>
        <v>1.0588623123135137</v>
      </c>
    </row>
    <row r="314" spans="1:30">
      <c r="A314" s="90">
        <v>228</v>
      </c>
      <c r="B314" s="90">
        <f t="shared" si="58"/>
        <v>0.91200000000000003</v>
      </c>
      <c r="C314" s="291">
        <f t="shared" ca="1" si="59"/>
        <v>-1.5421088162346358E-2</v>
      </c>
      <c r="D314" s="292">
        <f t="shared" ca="1" si="60"/>
        <v>-1.2181740325550035E-2</v>
      </c>
      <c r="E314" s="291">
        <f t="shared" ca="1" si="61"/>
        <v>-1.5428961561440394E-2</v>
      </c>
      <c r="F314" s="293">
        <f t="shared" ca="1" si="62"/>
        <v>0.99073235645095326</v>
      </c>
      <c r="T314" s="289">
        <f t="shared" ca="1" si="65"/>
        <v>1</v>
      </c>
      <c r="U314" s="290">
        <f t="shared" ca="1" si="65"/>
        <v>1.0075221201171258</v>
      </c>
      <c r="V314" s="290">
        <f t="shared" ca="1" si="65"/>
        <v>1.0146628891325249</v>
      </c>
      <c r="W314" s="290">
        <f t="shared" ca="1" si="65"/>
        <v>1.0214279017424979</v>
      </c>
      <c r="X314" s="290">
        <f t="shared" ca="1" si="65"/>
        <v>1.0278234403356261</v>
      </c>
      <c r="Y314" s="290">
        <f t="shared" ca="1" si="65"/>
        <v>1.0338564353635613</v>
      </c>
      <c r="Z314" s="290">
        <f t="shared" ca="1" si="65"/>
        <v>1.0395344255195553</v>
      </c>
      <c r="AA314" s="290">
        <f t="shared" ca="1" si="65"/>
        <v>1.0448655179294597</v>
      </c>
      <c r="AB314" s="290">
        <f t="shared" ca="1" si="65"/>
        <v>1.0498583485480777</v>
      </c>
      <c r="AC314" s="290">
        <f t="shared" ca="1" si="65"/>
        <v>1.0545220429404525</v>
      </c>
      <c r="AD314" s="290">
        <f t="shared" ca="1" si="65"/>
        <v>1.0588661776140964</v>
      </c>
    </row>
    <row r="315" spans="1:30">
      <c r="A315" s="90">
        <v>229</v>
      </c>
      <c r="B315" s="90">
        <f t="shared" si="58"/>
        <v>0.91600000000000004</v>
      </c>
      <c r="C315" s="291">
        <f t="shared" ca="1" si="59"/>
        <v>-1.5421828910103129E-2</v>
      </c>
      <c r="D315" s="292">
        <f t="shared" ca="1" si="60"/>
        <v>-0.63212717747428504</v>
      </c>
      <c r="E315" s="291">
        <f t="shared" ca="1" si="61"/>
        <v>-1.5830390364660059E-2</v>
      </c>
      <c r="F315" s="293">
        <f t="shared" ca="1" si="62"/>
        <v>0.99067041908430564</v>
      </c>
      <c r="T315" s="289">
        <f t="shared" ca="1" si="65"/>
        <v>1</v>
      </c>
      <c r="U315" s="290">
        <f t="shared" ca="1" si="65"/>
        <v>1.0077240704243751</v>
      </c>
      <c r="V315" s="290">
        <f t="shared" ca="1" si="65"/>
        <v>1.0150691016253637</v>
      </c>
      <c r="W315" s="290">
        <f t="shared" ca="1" si="65"/>
        <v>1.0220404527134492</v>
      </c>
      <c r="X315" s="290">
        <f t="shared" ca="1" si="65"/>
        <v>1.0286441767635686</v>
      </c>
      <c r="Y315" s="290">
        <f t="shared" ca="1" si="65"/>
        <v>1.0348869817927917</v>
      </c>
      <c r="Z315" s="290">
        <f t="shared" ca="1" si="65"/>
        <v>1.0407761914931182</v>
      </c>
      <c r="AA315" s="290">
        <f t="shared" ca="1" si="65"/>
        <v>1.0463197059246137</v>
      </c>
      <c r="AB315" s="290">
        <f t="shared" ca="1" si="65"/>
        <v>1.0515259623625726</v>
      </c>
      <c r="AC315" s="290">
        <f t="shared" ca="1" si="65"/>
        <v>1.0564038964793667</v>
      </c>
      <c r="AD315" s="290">
        <f t="shared" ca="1" si="65"/>
        <v>1.0609629040283064</v>
      </c>
    </row>
    <row r="316" spans="1:30">
      <c r="A316" s="90">
        <v>230</v>
      </c>
      <c r="B316" s="90">
        <f t="shared" si="58"/>
        <v>0.92</v>
      </c>
      <c r="C316" s="291">
        <f t="shared" ca="1" si="59"/>
        <v>-1.5823248362498234E-2</v>
      </c>
      <c r="D316" s="292">
        <f t="shared" ca="1" si="60"/>
        <v>0.11919883793339582</v>
      </c>
      <c r="E316" s="291">
        <f t="shared" ca="1" si="61"/>
        <v>-1.5746206823480487E-2</v>
      </c>
      <c r="F316" s="293">
        <f t="shared" ca="1" si="62"/>
        <v>0.99060785705828314</v>
      </c>
      <c r="T316" s="289">
        <f t="shared" ref="T316:AD325" ca="1" si="66">EXP(T$82-$E316*T$83)</f>
        <v>1</v>
      </c>
      <c r="U316" s="290">
        <f t="shared" ca="1" si="66"/>
        <v>1.007681716118211</v>
      </c>
      <c r="V316" s="290">
        <f t="shared" ca="1" si="66"/>
        <v>1.0149839014239486</v>
      </c>
      <c r="W316" s="290">
        <f t="shared" ca="1" si="66"/>
        <v>1.021911964358303</v>
      </c>
      <c r="X316" s="290">
        <f t="shared" ca="1" si="66"/>
        <v>1.0284720060271333</v>
      </c>
      <c r="Y316" s="290">
        <f t="shared" ca="1" si="66"/>
        <v>1.0346707810507956</v>
      </c>
      <c r="Z316" s="290">
        <f t="shared" ca="1" si="66"/>
        <v>1.040515658179977</v>
      </c>
      <c r="AA316" s="290">
        <f t="shared" ca="1" si="66"/>
        <v>1.0460145808827581</v>
      </c>
      <c r="AB316" s="290">
        <f t="shared" ca="1" si="66"/>
        <v>1.0511760280964269</v>
      </c>
      <c r="AC316" s="290">
        <f t="shared" ca="1" si="66"/>
        <v>1.0560089753244906</v>
      </c>
      <c r="AD316" s="290">
        <f t="shared" ca="1" si="66"/>
        <v>1.0605228562459308</v>
      </c>
    </row>
    <row r="317" spans="1:30">
      <c r="A317" s="90">
        <v>231</v>
      </c>
      <c r="B317" s="90">
        <f t="shared" si="58"/>
        <v>0.92400000000000004</v>
      </c>
      <c r="C317" s="291">
        <f t="shared" ca="1" si="59"/>
        <v>-1.5739066782277912E-2</v>
      </c>
      <c r="D317" s="292">
        <f t="shared" ca="1" si="60"/>
        <v>4.7050396482893268E-2</v>
      </c>
      <c r="E317" s="291">
        <f t="shared" ca="1" si="61"/>
        <v>-1.5708656796582725E-2</v>
      </c>
      <c r="F317" s="293">
        <f t="shared" ca="1" si="62"/>
        <v>0.99054554014838414</v>
      </c>
      <c r="T317" s="289">
        <f t="shared" ca="1" si="66"/>
        <v>1</v>
      </c>
      <c r="U317" s="290">
        <f t="shared" ca="1" si="66"/>
        <v>1.0076628245750066</v>
      </c>
      <c r="V317" s="290">
        <f t="shared" ca="1" si="66"/>
        <v>1.0149459002226235</v>
      </c>
      <c r="W317" s="290">
        <f t="shared" ca="1" si="66"/>
        <v>1.0218546574006695</v>
      </c>
      <c r="X317" s="290">
        <f t="shared" ca="1" si="66"/>
        <v>1.028395218649329</v>
      </c>
      <c r="Y317" s="290">
        <f t="shared" ca="1" si="66"/>
        <v>1.0345743593839263</v>
      </c>
      <c r="Z317" s="290">
        <f t="shared" ca="1" si="66"/>
        <v>1.0403994684587106</v>
      </c>
      <c r="AA317" s="290">
        <f t="shared" ca="1" si="66"/>
        <v>1.0458785087067355</v>
      </c>
      <c r="AB317" s="290">
        <f t="shared" ca="1" si="66"/>
        <v>1.0510199776492832</v>
      </c>
      <c r="AC317" s="290">
        <f t="shared" ca="1" si="66"/>
        <v>1.0558328685551743</v>
      </c>
      <c r="AD317" s="290">
        <f t="shared" ca="1" si="66"/>
        <v>1.0603266320168947</v>
      </c>
    </row>
    <row r="318" spans="1:30">
      <c r="A318" s="90">
        <v>232</v>
      </c>
      <c r="B318" s="90">
        <f t="shared" si="58"/>
        <v>0.92800000000000005</v>
      </c>
      <c r="C318" s="291">
        <f t="shared" ca="1" si="59"/>
        <v>-1.5701517630065054E-2</v>
      </c>
      <c r="D318" s="292">
        <f t="shared" ca="1" si="60"/>
        <v>-1.7899702922945182</v>
      </c>
      <c r="E318" s="291">
        <f t="shared" ca="1" si="61"/>
        <v>-1.6858425436426999E-2</v>
      </c>
      <c r="F318" s="293">
        <f t="shared" ca="1" si="62"/>
        <v>0.99048102389338999</v>
      </c>
      <c r="T318" s="289">
        <f t="shared" ca="1" si="66"/>
        <v>1</v>
      </c>
      <c r="U318" s="290">
        <f t="shared" ca="1" si="66"/>
        <v>1.0082414376328159</v>
      </c>
      <c r="V318" s="290">
        <f t="shared" ca="1" si="66"/>
        <v>1.0161101291067121</v>
      </c>
      <c r="W318" s="290">
        <f t="shared" ca="1" si="66"/>
        <v>1.0236108344927239</v>
      </c>
      <c r="X318" s="290">
        <f t="shared" ca="1" si="66"/>
        <v>1.0307490230291254</v>
      </c>
      <c r="Y318" s="290">
        <f t="shared" ca="1" si="66"/>
        <v>1.0375308356899127</v>
      </c>
      <c r="Z318" s="290">
        <f t="shared" ca="1" si="66"/>
        <v>1.0439630473764012</v>
      </c>
      <c r="AA318" s="290">
        <f t="shared" ca="1" si="66"/>
        <v>1.0500530289380747</v>
      </c>
      <c r="AB318" s="290">
        <f t="shared" ca="1" si="66"/>
        <v>1.0558087092180768</v>
      </c>
      <c r="AC318" s="290">
        <f t="shared" ca="1" si="66"/>
        <v>1.0612385373064226</v>
      </c>
      <c r="AD318" s="290">
        <f t="shared" ca="1" si="66"/>
        <v>1.066351445171329</v>
      </c>
    </row>
    <row r="319" spans="1:30">
      <c r="A319" s="90">
        <v>233</v>
      </c>
      <c r="B319" s="90">
        <f t="shared" si="58"/>
        <v>0.93200000000000005</v>
      </c>
      <c r="C319" s="291">
        <f t="shared" ca="1" si="59"/>
        <v>-1.6851259487364698E-2</v>
      </c>
      <c r="D319" s="292">
        <f t="shared" ca="1" si="60"/>
        <v>0.16939446455042825</v>
      </c>
      <c r="E319" s="291">
        <f t="shared" ca="1" si="61"/>
        <v>-1.6741775112547683E-2</v>
      </c>
      <c r="F319" s="293">
        <f t="shared" ca="1" si="62"/>
        <v>0.99041446540770794</v>
      </c>
      <c r="T319" s="289">
        <f t="shared" ca="1" si="66"/>
        <v>1</v>
      </c>
      <c r="U319" s="290">
        <f t="shared" ca="1" si="66"/>
        <v>1.0081827190289938</v>
      </c>
      <c r="V319" s="290">
        <f t="shared" ca="1" si="66"/>
        <v>1.0159919508653084</v>
      </c>
      <c r="W319" s="290">
        <f t="shared" ca="1" si="66"/>
        <v>1.0234325232250063</v>
      </c>
      <c r="X319" s="290">
        <f t="shared" ca="1" si="66"/>
        <v>1.0305099713284291</v>
      </c>
      <c r="Y319" s="290">
        <f t="shared" ca="1" si="66"/>
        <v>1.037230500285593</v>
      </c>
      <c r="Z319" s="290">
        <f t="shared" ca="1" si="66"/>
        <v>1.0436009471194703</v>
      </c>
      <c r="AA319" s="290">
        <f t="shared" ca="1" si="66"/>
        <v>1.04962874263322</v>
      </c>
      <c r="AB319" s="290">
        <f t="shared" ca="1" si="66"/>
        <v>1.0553218733165866</v>
      </c>
      <c r="AC319" s="290">
        <f t="shared" ca="1" si="66"/>
        <v>1.060688843474298</v>
      </c>
      <c r="AD319" s="290">
        <f t="shared" ca="1" si="66"/>
        <v>1.0657386377465325</v>
      </c>
    </row>
    <row r="320" spans="1:30">
      <c r="A320" s="90">
        <v>234</v>
      </c>
      <c r="B320" s="90">
        <f t="shared" si="58"/>
        <v>0.93600000000000005</v>
      </c>
      <c r="C320" s="291">
        <f t="shared" ca="1" si="59"/>
        <v>-1.673461188072118E-2</v>
      </c>
      <c r="D320" s="292">
        <f t="shared" ca="1" si="60"/>
        <v>-0.56181142955277219</v>
      </c>
      <c r="E320" s="291">
        <f t="shared" ca="1" si="61"/>
        <v>-1.7097726302983347E-2</v>
      </c>
      <c r="F320" s="293">
        <f t="shared" ca="1" si="62"/>
        <v>0.99034743741251918</v>
      </c>
      <c r="T320" s="289">
        <f t="shared" ca="1" si="66"/>
        <v>1</v>
      </c>
      <c r="U320" s="290">
        <f t="shared" ca="1" si="66"/>
        <v>1.0083619058917774</v>
      </c>
      <c r="V320" s="290">
        <f t="shared" ca="1" si="66"/>
        <v>1.0163526074272369</v>
      </c>
      <c r="W320" s="290">
        <f t="shared" ca="1" si="66"/>
        <v>1.0239767261840018</v>
      </c>
      <c r="X320" s="290">
        <f t="shared" ca="1" si="66"/>
        <v>1.0312395962687462</v>
      </c>
      <c r="Y320" s="290">
        <f t="shared" ca="1" si="66"/>
        <v>1.0381472272632941</v>
      </c>
      <c r="Z320" s="290">
        <f t="shared" ca="1" si="66"/>
        <v>1.0447062667636873</v>
      </c>
      <c r="AA320" s="290">
        <f t="shared" ca="1" si="66"/>
        <v>1.0509239627185047</v>
      </c>
      <c r="AB320" s="290">
        <f t="shared" ca="1" si="66"/>
        <v>1.0568081257621509</v>
      </c>
      <c r="AC320" s="290">
        <f t="shared" ca="1" si="66"/>
        <v>1.0623670917266823</v>
      </c>
      <c r="AD320" s="290">
        <f t="shared" ca="1" si="66"/>
        <v>1.0676096845032204</v>
      </c>
    </row>
    <row r="321" spans="1:30">
      <c r="A321" s="90">
        <v>235</v>
      </c>
      <c r="B321" s="90">
        <f t="shared" si="58"/>
        <v>0.94000000000000006</v>
      </c>
      <c r="C321" s="291">
        <f t="shared" ca="1" si="59"/>
        <v>-1.7090554779681227E-2</v>
      </c>
      <c r="D321" s="292">
        <f t="shared" ca="1" si="60"/>
        <v>-0.10295515574191136</v>
      </c>
      <c r="E321" s="291">
        <f t="shared" ca="1" si="61"/>
        <v>-1.7157097573098398E-2</v>
      </c>
      <c r="F321" s="293">
        <f t="shared" ca="1" si="62"/>
        <v>0.9902795913825102</v>
      </c>
      <c r="T321" s="289">
        <f t="shared" ca="1" si="66"/>
        <v>1</v>
      </c>
      <c r="U321" s="290">
        <f t="shared" ca="1" si="66"/>
        <v>1.0083917966604041</v>
      </c>
      <c r="V321" s="290">
        <f t="shared" ca="1" si="66"/>
        <v>1.0164127759917334</v>
      </c>
      <c r="W321" s="290">
        <f t="shared" ca="1" si="66"/>
        <v>1.0240675252694011</v>
      </c>
      <c r="X321" s="290">
        <f t="shared" ca="1" si="66"/>
        <v>1.0313613451216208</v>
      </c>
      <c r="Y321" s="290">
        <f t="shared" ca="1" si="66"/>
        <v>1.0383002125696086</v>
      </c>
      <c r="Z321" s="290">
        <f t="shared" ca="1" si="66"/>
        <v>1.0448907436533108</v>
      </c>
      <c r="AA321" s="290">
        <f t="shared" ca="1" si="66"/>
        <v>1.0511401558489719</v>
      </c>
      <c r="AB321" s="290">
        <f t="shared" ca="1" si="66"/>
        <v>1.0570562304743338</v>
      </c>
      <c r="AC321" s="290">
        <f t="shared" ca="1" si="66"/>
        <v>1.0626472752651588</v>
      </c>
      <c r="AD321" s="290">
        <f t="shared" ca="1" si="66"/>
        <v>1.0679220872942747</v>
      </c>
    </row>
    <row r="322" spans="1:30">
      <c r="A322" s="90">
        <v>236</v>
      </c>
      <c r="B322" s="90">
        <f t="shared" si="58"/>
        <v>0.94400000000000006</v>
      </c>
      <c r="C322" s="291">
        <f t="shared" ca="1" si="59"/>
        <v>-1.7149924666810486E-2</v>
      </c>
      <c r="D322" s="292">
        <f t="shared" ca="1" si="60"/>
        <v>1.4360762869023607E-2</v>
      </c>
      <c r="E322" s="291">
        <f t="shared" ca="1" si="61"/>
        <v>-1.7140642904571186E-2</v>
      </c>
      <c r="F322" s="293">
        <f t="shared" ca="1" si="62"/>
        <v>0.99021166500740687</v>
      </c>
      <c r="T322" s="289">
        <f t="shared" ca="1" si="66"/>
        <v>1</v>
      </c>
      <c r="U322" s="290">
        <f t="shared" ca="1" si="66"/>
        <v>1.0083835123848917</v>
      </c>
      <c r="V322" s="290">
        <f t="shared" ca="1" si="66"/>
        <v>1.0163960999973365</v>
      </c>
      <c r="W322" s="290">
        <f t="shared" ca="1" si="66"/>
        <v>1.0240423596172081</v>
      </c>
      <c r="X322" s="290">
        <f t="shared" ca="1" si="66"/>
        <v>1.0313276011492896</v>
      </c>
      <c r="Y322" s="290">
        <f t="shared" ca="1" si="66"/>
        <v>1.0382578106373794</v>
      </c>
      <c r="Z322" s="290">
        <f t="shared" ca="1" si="66"/>
        <v>1.044839612865984</v>
      </c>
      <c r="AA322" s="290">
        <f t="shared" ca="1" si="66"/>
        <v>1.0510802337559029</v>
      </c>
      <c r="AB322" s="290">
        <f t="shared" ca="1" si="66"/>
        <v>1.0569874627494769</v>
      </c>
      <c r="AC322" s="290">
        <f t="shared" ca="1" si="66"/>
        <v>1.0625696153691597</v>
      </c>
      <c r="AD322" s="290">
        <f t="shared" ca="1" si="66"/>
        <v>1.0678354961205696</v>
      </c>
    </row>
    <row r="323" spans="1:30">
      <c r="A323" s="90">
        <v>237</v>
      </c>
      <c r="B323" s="90">
        <f t="shared" si="58"/>
        <v>0.94800000000000006</v>
      </c>
      <c r="C323" s="291">
        <f t="shared" ca="1" si="59"/>
        <v>-1.7133470381575946E-2</v>
      </c>
      <c r="D323" s="292">
        <f t="shared" ca="1" si="60"/>
        <v>-0.30684603431246465</v>
      </c>
      <c r="E323" s="291">
        <f t="shared" ca="1" si="61"/>
        <v>-1.7331793545918656E-2</v>
      </c>
      <c r="F323" s="293">
        <f t="shared" ca="1" si="62"/>
        <v>0.99014339734339762</v>
      </c>
      <c r="T323" s="289">
        <f t="shared" ca="1" si="66"/>
        <v>1</v>
      </c>
      <c r="U323" s="290">
        <f t="shared" ca="1" si="66"/>
        <v>1.0084797533778924</v>
      </c>
      <c r="V323" s="290">
        <f t="shared" ca="1" si="66"/>
        <v>1.0165898386107464</v>
      </c>
      <c r="W323" s="290">
        <f t="shared" ca="1" si="66"/>
        <v>1.0243347421792228</v>
      </c>
      <c r="X323" s="290">
        <f t="shared" ca="1" si="66"/>
        <v>1.0317196663168164</v>
      </c>
      <c r="Y323" s="290">
        <f t="shared" ca="1" si="66"/>
        <v>1.0387504923279021</v>
      </c>
      <c r="Z323" s="290">
        <f t="shared" ca="1" si="66"/>
        <v>1.0454337434694871</v>
      </c>
      <c r="AA323" s="290">
        <f t="shared" ca="1" si="66"/>
        <v>1.0517765476030658</v>
      </c>
      <c r="AB323" s="290">
        <f t="shared" ca="1" si="66"/>
        <v>1.0577865998125791</v>
      </c>
      <c r="AC323" s="290">
        <f t="shared" ca="1" si="66"/>
        <v>1.0634721251725163</v>
      </c>
      <c r="AD323" s="290">
        <f t="shared" ca="1" si="66"/>
        <v>1.0688418418378098</v>
      </c>
    </row>
    <row r="324" spans="1:30">
      <c r="A324" s="90">
        <v>238</v>
      </c>
      <c r="B324" s="90">
        <f t="shared" si="58"/>
        <v>0.95200000000000007</v>
      </c>
      <c r="C324" s="291">
        <f t="shared" ca="1" si="59"/>
        <v>-1.7324616570287985E-2</v>
      </c>
      <c r="D324" s="292">
        <f t="shared" ca="1" si="60"/>
        <v>1.1381925696689443</v>
      </c>
      <c r="E324" s="291">
        <f t="shared" ca="1" si="61"/>
        <v>-1.6588970914792098E-2</v>
      </c>
      <c r="F324" s="293">
        <f t="shared" ca="1" si="62"/>
        <v>0.99007622677997309</v>
      </c>
      <c r="T324" s="289">
        <f t="shared" ca="1" si="66"/>
        <v>1</v>
      </c>
      <c r="U324" s="290">
        <f t="shared" ca="1" si="66"/>
        <v>1.0081058067210331</v>
      </c>
      <c r="V324" s="290">
        <f t="shared" ca="1" si="66"/>
        <v>1.0158371659912728</v>
      </c>
      <c r="W324" s="290">
        <f t="shared" ca="1" si="66"/>
        <v>1.0231989942680997</v>
      </c>
      <c r="X324" s="290">
        <f t="shared" ca="1" si="66"/>
        <v>1.0301969133107884</v>
      </c>
      <c r="Y324" s="290">
        <f t="shared" ca="1" si="66"/>
        <v>1.0368372123270568</v>
      </c>
      <c r="Z324" s="290">
        <f t="shared" ca="1" si="66"/>
        <v>1.0431268097769288</v>
      </c>
      <c r="AA324" s="290">
        <f t="shared" ca="1" si="66"/>
        <v>1.0490732150398705</v>
      </c>
      <c r="AB324" s="290">
        <f t="shared" ca="1" si="66"/>
        <v>1.0546844901401837</v>
      </c>
      <c r="AC324" s="290">
        <f t="shared" ca="1" si="66"/>
        <v>1.0599692117131529</v>
      </c>
      <c r="AD324" s="290">
        <f t="shared" ca="1" si="66"/>
        <v>1.0649364333815765</v>
      </c>
    </row>
    <row r="325" spans="1:30">
      <c r="A325" s="90">
        <v>239</v>
      </c>
      <c r="B325" s="90">
        <f t="shared" si="58"/>
        <v>0.95600000000000007</v>
      </c>
      <c r="C325" s="291">
        <f t="shared" ca="1" si="59"/>
        <v>-1.6581811242364505E-2</v>
      </c>
      <c r="D325" s="292">
        <f t="shared" ca="1" si="60"/>
        <v>7.5402378010500107E-2</v>
      </c>
      <c r="E325" s="291">
        <f t="shared" ca="1" si="61"/>
        <v>-1.6533076578937898E-2</v>
      </c>
      <c r="F325" s="293">
        <f t="shared" ca="1" si="62"/>
        <v>0.99001064224867941</v>
      </c>
      <c r="T325" s="289">
        <f t="shared" ca="1" si="66"/>
        <v>1</v>
      </c>
      <c r="U325" s="290">
        <f t="shared" ca="1" si="66"/>
        <v>1.008077674389134</v>
      </c>
      <c r="V325" s="290">
        <f t="shared" ca="1" si="66"/>
        <v>1.0157805530334034</v>
      </c>
      <c r="W325" s="290">
        <f t="shared" ca="1" si="66"/>
        <v>1.0231135848875048</v>
      </c>
      <c r="X325" s="290">
        <f t="shared" ca="1" si="66"/>
        <v>1.0300824233956092</v>
      </c>
      <c r="Y325" s="290">
        <f t="shared" ca="1" si="66"/>
        <v>1.0366933885508229</v>
      </c>
      <c r="Z325" s="290">
        <f t="shared" ca="1" si="66"/>
        <v>1.0429534286190953</v>
      </c>
      <c r="AA325" s="290">
        <f t="shared" ca="1" si="66"/>
        <v>1.0488700817334833</v>
      </c>
      <c r="AB325" s="290">
        <f t="shared" ca="1" si="66"/>
        <v>1.0544514375536758</v>
      </c>
      <c r="AC325" s="290">
        <f t="shared" ca="1" si="66"/>
        <v>1.0597060991731453</v>
      </c>
      <c r="AD325" s="290">
        <f t="shared" ca="1" si="66"/>
        <v>1.0646431454433958</v>
      </c>
    </row>
    <row r="326" spans="1:30">
      <c r="A326" s="90">
        <v>240</v>
      </c>
      <c r="B326" s="90">
        <f t="shared" si="58"/>
        <v>0.96</v>
      </c>
      <c r="C326" s="291">
        <f t="shared" ca="1" si="59"/>
        <v>-1.6525918208504891E-2</v>
      </c>
      <c r="D326" s="292">
        <f t="shared" ca="1" si="60"/>
        <v>0.90574949642563873</v>
      </c>
      <c r="E326" s="291">
        <f t="shared" ca="1" si="61"/>
        <v>-1.5940507005015037E-2</v>
      </c>
      <c r="F326" s="293">
        <f t="shared" ca="1" si="62"/>
        <v>0.98994634594995312</v>
      </c>
      <c r="T326" s="289">
        <f t="shared" ref="T326:AD335" ca="1" si="67">EXP(T$82-$E326*T$83)</f>
        <v>1</v>
      </c>
      <c r="U326" s="290">
        <f t="shared" ca="1" si="67"/>
        <v>1.0077794748426265</v>
      </c>
      <c r="V326" s="290">
        <f t="shared" ca="1" si="67"/>
        <v>1.0151805589085972</v>
      </c>
      <c r="W326" s="290">
        <f t="shared" ca="1" si="67"/>
        <v>1.022208546841989</v>
      </c>
      <c r="X326" s="290">
        <f t="shared" ca="1" si="67"/>
        <v>1.0288694289388618</v>
      </c>
      <c r="Y326" s="290">
        <f t="shared" ca="1" si="67"/>
        <v>1.0351698522928421</v>
      </c>
      <c r="Z326" s="290">
        <f t="shared" ca="1" si="67"/>
        <v>1.0411170816814923</v>
      </c>
      <c r="AA326" s="290">
        <f t="shared" ca="1" si="67"/>
        <v>1.0467189603988121</v>
      </c>
      <c r="AB326" s="290">
        <f t="shared" ca="1" si="67"/>
        <v>1.0519838712277629</v>
      </c>
      <c r="AC326" s="290">
        <f t="shared" ca="1" si="67"/>
        <v>1.0569206977337591</v>
      </c>
      <c r="AD326" s="290">
        <f t="shared" ca="1" si="67"/>
        <v>1.0615387860468</v>
      </c>
    </row>
    <row r="327" spans="1:30">
      <c r="A327" s="90">
        <v>241</v>
      </c>
      <c r="B327" s="90">
        <f t="shared" si="58"/>
        <v>0.96399999999999997</v>
      </c>
      <c r="C327" s="291">
        <f t="shared" ca="1" si="59"/>
        <v>-1.5933362437812095E-2</v>
      </c>
      <c r="D327" s="292">
        <f t="shared" ca="1" si="60"/>
        <v>0.77169086643908602</v>
      </c>
      <c r="E327" s="291">
        <f t="shared" ca="1" si="61"/>
        <v>-1.5434597072082385E-2</v>
      </c>
      <c r="F327" s="293">
        <f t="shared" ca="1" si="62"/>
        <v>0.9898842285596432</v>
      </c>
      <c r="T327" s="289">
        <f t="shared" ca="1" si="67"/>
        <v>1</v>
      </c>
      <c r="U327" s="290">
        <f t="shared" ca="1" si="67"/>
        <v>1.0075249549427576</v>
      </c>
      <c r="V327" s="290">
        <f t="shared" ca="1" si="67"/>
        <v>1.0146685906744317</v>
      </c>
      <c r="W327" s="290">
        <f t="shared" ca="1" si="67"/>
        <v>1.0214364985779258</v>
      </c>
      <c r="X327" s="290">
        <f t="shared" ca="1" si="67"/>
        <v>1.0278349578177832</v>
      </c>
      <c r="Y327" s="290">
        <f t="shared" ca="1" si="67"/>
        <v>1.0338708957194418</v>
      </c>
      <c r="Z327" s="290">
        <f t="shared" ca="1" si="67"/>
        <v>1.0395518479554824</v>
      </c>
      <c r="AA327" s="290">
        <f t="shared" ca="1" si="67"/>
        <v>1.044885918743613</v>
      </c>
      <c r="AB327" s="290">
        <f t="shared" ca="1" si="67"/>
        <v>1.0498817412492825</v>
      </c>
      <c r="AC327" s="290">
        <f t="shared" ca="1" si="67"/>
        <v>1.0545484383725217</v>
      </c>
      <c r="AD327" s="290">
        <f t="shared" ca="1" si="67"/>
        <v>1.058895584085036</v>
      </c>
    </row>
    <row r="328" spans="1:30">
      <c r="A328" s="90">
        <v>242</v>
      </c>
      <c r="B328" s="90">
        <f t="shared" si="58"/>
        <v>0.96799999999999997</v>
      </c>
      <c r="C328" s="291">
        <f t="shared" ca="1" si="59"/>
        <v>-1.5427464289472349E-2</v>
      </c>
      <c r="D328" s="292">
        <f t="shared" ca="1" si="60"/>
        <v>-0.14468162000072229</v>
      </c>
      <c r="E328" s="291">
        <f t="shared" ca="1" si="61"/>
        <v>-1.5520976062453432E-2</v>
      </c>
      <c r="F328" s="293">
        <f t="shared" ca="1" si="62"/>
        <v>0.98982294558944839</v>
      </c>
      <c r="T328" s="289">
        <f t="shared" ca="1" si="67"/>
        <v>1</v>
      </c>
      <c r="U328" s="290">
        <f t="shared" ca="1" si="67"/>
        <v>1.0075684070833495</v>
      </c>
      <c r="V328" s="290">
        <f t="shared" ca="1" si="67"/>
        <v>1.0147559857762882</v>
      </c>
      <c r="W328" s="290">
        <f t="shared" ca="1" si="67"/>
        <v>1.0215682766966128</v>
      </c>
      <c r="X328" s="290">
        <f t="shared" ca="1" si="67"/>
        <v>1.0280115096087798</v>
      </c>
      <c r="Y328" s="290">
        <f t="shared" ca="1" si="67"/>
        <v>1.0340925639330802</v>
      </c>
      <c r="Z328" s="290">
        <f t="shared" ca="1" si="67"/>
        <v>1.0398189290504358</v>
      </c>
      <c r="AA328" s="290">
        <f t="shared" ca="1" si="67"/>
        <v>1.0451986646076736</v>
      </c>
      <c r="AB328" s="290">
        <f t="shared" ca="1" si="67"/>
        <v>1.0502403610163471</v>
      </c>
      <c r="AC328" s="290">
        <f t="shared" ca="1" si="67"/>
        <v>1.0549531003249459</v>
      </c>
      <c r="AD328" s="290">
        <f t="shared" ca="1" si="67"/>
        <v>1.0593464176308021</v>
      </c>
    </row>
    <row r="329" spans="1:30">
      <c r="A329" s="90">
        <v>243</v>
      </c>
      <c r="B329" s="90">
        <f t="shared" si="58"/>
        <v>0.97199999999999998</v>
      </c>
      <c r="C329" s="291">
        <f t="shared" ca="1" si="59"/>
        <v>-1.551384126774367E-2</v>
      </c>
      <c r="D329" s="292">
        <f t="shared" ca="1" si="60"/>
        <v>1.1872948473687388</v>
      </c>
      <c r="E329" s="291">
        <f t="shared" ca="1" si="61"/>
        <v>-1.4746459438398651E-2</v>
      </c>
      <c r="F329" s="293">
        <f t="shared" ca="1" si="62"/>
        <v>0.9897630285986746</v>
      </c>
      <c r="T329" s="289">
        <f t="shared" ca="1" si="67"/>
        <v>1</v>
      </c>
      <c r="U329" s="290">
        <f t="shared" ca="1" si="67"/>
        <v>1.0071788606843513</v>
      </c>
      <c r="V329" s="290">
        <f t="shared" ca="1" si="67"/>
        <v>1.0139726269685028</v>
      </c>
      <c r="W329" s="290">
        <f t="shared" ca="1" si="67"/>
        <v>1.0203872960446709</v>
      </c>
      <c r="X329" s="290">
        <f t="shared" ca="1" si="67"/>
        <v>1.0264295416995166</v>
      </c>
      <c r="Y329" s="290">
        <f t="shared" ca="1" si="67"/>
        <v>1.032106673672267</v>
      </c>
      <c r="Z329" s="290">
        <f t="shared" ca="1" si="67"/>
        <v>1.0374265969113949</v>
      </c>
      <c r="AA329" s="290">
        <f t="shared" ca="1" si="67"/>
        <v>1.042397770933553</v>
      </c>
      <c r="AB329" s="290">
        <f t="shared" ca="1" si="67"/>
        <v>1.0470291694761134</v>
      </c>
      <c r="AC329" s="290">
        <f t="shared" ca="1" si="67"/>
        <v>1.0513302406208946</v>
      </c>
      <c r="AD329" s="290">
        <f t="shared" ca="1" si="67"/>
        <v>1.055310867552663</v>
      </c>
    </row>
    <row r="330" spans="1:30">
      <c r="A330" s="90">
        <v>244</v>
      </c>
      <c r="B330" s="90">
        <f t="shared" si="58"/>
        <v>0.97599999999999998</v>
      </c>
      <c r="C330" s="291">
        <f t="shared" ca="1" si="59"/>
        <v>-1.473934268516726E-2</v>
      </c>
      <c r="D330" s="292">
        <f t="shared" ca="1" si="60"/>
        <v>1.0681173663446308</v>
      </c>
      <c r="E330" s="291">
        <f t="shared" ca="1" si="61"/>
        <v>-1.4048988591272868E-2</v>
      </c>
      <c r="F330" s="293">
        <f t="shared" ca="1" si="62"/>
        <v>0.98970602890031878</v>
      </c>
      <c r="T330" s="289">
        <f t="shared" ca="1" si="67"/>
        <v>1</v>
      </c>
      <c r="U330" s="290">
        <f t="shared" ca="1" si="67"/>
        <v>1.0068281936642074</v>
      </c>
      <c r="V330" s="290">
        <f t="shared" ca="1" si="67"/>
        <v>1.0132677110214321</v>
      </c>
      <c r="W330" s="290">
        <f t="shared" ca="1" si="67"/>
        <v>1.0193249629164236</v>
      </c>
      <c r="X330" s="290">
        <f t="shared" ca="1" si="67"/>
        <v>1.0250070248815519</v>
      </c>
      <c r="Y330" s="290">
        <f t="shared" ca="1" si="67"/>
        <v>1.0303215954857818</v>
      </c>
      <c r="Z330" s="290">
        <f t="shared" ca="1" si="67"/>
        <v>1.035276954676706</v>
      </c>
      <c r="AA330" s="290">
        <f t="shared" ca="1" si="67"/>
        <v>1.0398819223180433</v>
      </c>
      <c r="AB330" s="290">
        <f t="shared" ca="1" si="67"/>
        <v>1.0441458171121516</v>
      </c>
      <c r="AC330" s="290">
        <f t="shared" ca="1" si="67"/>
        <v>1.0480784160828682</v>
      </c>
      <c r="AD330" s="290">
        <f t="shared" ca="1" si="67"/>
        <v>1.051689914779586</v>
      </c>
    </row>
    <row r="331" spans="1:30">
      <c r="A331" s="90">
        <v>245</v>
      </c>
      <c r="B331" s="90">
        <f t="shared" si="58"/>
        <v>0.98</v>
      </c>
      <c r="C331" s="291">
        <f t="shared" ca="1" si="59"/>
        <v>-1.404188808482665E-2</v>
      </c>
      <c r="D331" s="292">
        <f t="shared" ca="1" si="60"/>
        <v>-0.87803962938676539</v>
      </c>
      <c r="E331" s="291">
        <f t="shared" ca="1" si="61"/>
        <v>-1.460938962711792E-2</v>
      </c>
      <c r="F331" s="293">
        <f t="shared" ca="1" si="62"/>
        <v>0.98964930378658156</v>
      </c>
      <c r="T331" s="289">
        <f t="shared" ca="1" si="67"/>
        <v>1</v>
      </c>
      <c r="U331" s="290">
        <f t="shared" ca="1" si="67"/>
        <v>1.0071099365322469</v>
      </c>
      <c r="V331" s="290">
        <f t="shared" ca="1" si="67"/>
        <v>1.0138340553089404</v>
      </c>
      <c r="W331" s="290">
        <f t="shared" ca="1" si="67"/>
        <v>1.0201784346370726</v>
      </c>
      <c r="X331" s="290">
        <f t="shared" ca="1" si="67"/>
        <v>1.0261498271232699</v>
      </c>
      <c r="Y331" s="290">
        <f t="shared" ca="1" si="67"/>
        <v>1.0317556188315109</v>
      </c>
      <c r="Z331" s="290">
        <f t="shared" ca="1" si="67"/>
        <v>1.0370037883578387</v>
      </c>
      <c r="AA331" s="290">
        <f t="shared" ca="1" si="67"/>
        <v>1.0419028660255347</v>
      </c>
      <c r="AB331" s="290">
        <f t="shared" ca="1" si="67"/>
        <v>1.0464618933917631</v>
      </c>
      <c r="AC331" s="290">
        <f t="shared" ca="1" si="67"/>
        <v>1.0506903832428474</v>
      </c>
      <c r="AD331" s="290">
        <f t="shared" ca="1" si="67"/>
        <v>1.0545982802412484</v>
      </c>
    </row>
    <row r="332" spans="1:30">
      <c r="A332" s="90">
        <v>246</v>
      </c>
      <c r="B332" s="90">
        <f t="shared" si="58"/>
        <v>0.98399999999999999</v>
      </c>
      <c r="C332" s="291">
        <f t="shared" ca="1" si="59"/>
        <v>-1.4602276066770916E-2</v>
      </c>
      <c r="D332" s="292">
        <f t="shared" ca="1" si="60"/>
        <v>-1.4285440440851762</v>
      </c>
      <c r="E332" s="291">
        <f t="shared" ca="1" si="61"/>
        <v>-1.5525583991739578E-2</v>
      </c>
      <c r="F332" s="293">
        <f t="shared" ca="1" si="62"/>
        <v>0.98958965947265631</v>
      </c>
      <c r="T332" s="289">
        <f t="shared" ca="1" si="67"/>
        <v>1</v>
      </c>
      <c r="U332" s="290">
        <f t="shared" ca="1" si="67"/>
        <v>1.0075707251115897</v>
      </c>
      <c r="V332" s="290">
        <f t="shared" ca="1" si="67"/>
        <v>1.0147606481220197</v>
      </c>
      <c r="W332" s="290">
        <f t="shared" ca="1" si="67"/>
        <v>1.0215753069421318</v>
      </c>
      <c r="X332" s="290">
        <f t="shared" ca="1" si="67"/>
        <v>1.0280209287019995</v>
      </c>
      <c r="Y332" s="290">
        <f t="shared" ca="1" si="67"/>
        <v>1.0341043902670435</v>
      </c>
      <c r="Z332" s="290">
        <f t="shared" ca="1" si="67"/>
        <v>1.0398331785491652</v>
      </c>
      <c r="AA332" s="290">
        <f t="shared" ca="1" si="67"/>
        <v>1.0452153508177542</v>
      </c>
      <c r="AB332" s="290">
        <f t="shared" ca="1" si="67"/>
        <v>1.0502594952036568</v>
      </c>
      <c r="AC332" s="290">
        <f t="shared" ca="1" si="67"/>
        <v>1.0549746915759521</v>
      </c>
      <c r="AD332" s="290">
        <f t="shared" ca="1" si="67"/>
        <v>1.0593704729578626</v>
      </c>
    </row>
    <row r="333" spans="1:30">
      <c r="A333" s="90">
        <v>247</v>
      </c>
      <c r="B333" s="90">
        <f t="shared" si="58"/>
        <v>0.98799999999999999</v>
      </c>
      <c r="C333" s="291">
        <f t="shared" ca="1" si="59"/>
        <v>-1.5518449089693378E-2</v>
      </c>
      <c r="D333" s="292">
        <f t="shared" ca="1" si="60"/>
        <v>-1.7186433490893747</v>
      </c>
      <c r="E333" s="291">
        <f t="shared" ca="1" si="61"/>
        <v>-1.6629256299998955E-2</v>
      </c>
      <c r="F333" s="293">
        <f t="shared" ca="1" si="62"/>
        <v>0.98952602132404333</v>
      </c>
      <c r="T333" s="289">
        <f t="shared" ca="1" si="67"/>
        <v>1</v>
      </c>
      <c r="U333" s="290">
        <f t="shared" ca="1" si="67"/>
        <v>1.0081260833558894</v>
      </c>
      <c r="V333" s="290">
        <f t="shared" ca="1" si="67"/>
        <v>1.0158779712739852</v>
      </c>
      <c r="W333" s="290">
        <f t="shared" ca="1" si="67"/>
        <v>1.0232605568015876</v>
      </c>
      <c r="X333" s="290">
        <f t="shared" ca="1" si="67"/>
        <v>1.0302794388711742</v>
      </c>
      <c r="Y333" s="290">
        <f t="shared" ca="1" si="67"/>
        <v>1.0369408845098094</v>
      </c>
      <c r="Z333" s="290">
        <f t="shared" ca="1" si="67"/>
        <v>1.0432517907007373</v>
      </c>
      <c r="AA333" s="290">
        <f t="shared" ca="1" si="67"/>
        <v>1.0492196461031456</v>
      </c>
      <c r="AB333" s="290">
        <f t="shared" ca="1" si="67"/>
        <v>1.0548524928251477</v>
      </c>
      <c r="AC333" s="290">
        <f t="shared" ca="1" si="67"/>
        <v>1.0601588884325668</v>
      </c>
      <c r="AD333" s="290">
        <f t="shared" ca="1" si="67"/>
        <v>1.0651478683632734</v>
      </c>
    </row>
    <row r="334" spans="1:30">
      <c r="A334" s="90">
        <v>248</v>
      </c>
      <c r="B334" s="90">
        <f t="shared" si="58"/>
        <v>0.99199999999999999</v>
      </c>
      <c r="C334" s="291">
        <f t="shared" ca="1" si="59"/>
        <v>-1.6622095689169419E-2</v>
      </c>
      <c r="D334" s="292">
        <f t="shared" ca="1" si="60"/>
        <v>0.42836953606453876</v>
      </c>
      <c r="E334" s="291">
        <f t="shared" ca="1" si="61"/>
        <v>-1.6345228490638748E-2</v>
      </c>
      <c r="F334" s="293">
        <f t="shared" ca="1" si="62"/>
        <v>0.98946076525437199</v>
      </c>
      <c r="T334" s="289">
        <f t="shared" ca="1" si="67"/>
        <v>1</v>
      </c>
      <c r="U334" s="290">
        <f t="shared" ca="1" si="67"/>
        <v>1.007983133803845</v>
      </c>
      <c r="V334" s="290">
        <f t="shared" ca="1" si="67"/>
        <v>1.0155903129393147</v>
      </c>
      <c r="W334" s="290">
        <f t="shared" ca="1" si="67"/>
        <v>1.0228265957184162</v>
      </c>
      <c r="X334" s="290">
        <f t="shared" ca="1" si="67"/>
        <v>1.0296977421855364</v>
      </c>
      <c r="Y334" s="290">
        <f t="shared" ca="1" si="67"/>
        <v>1.0362101758853308</v>
      </c>
      <c r="Z334" s="290">
        <f t="shared" ca="1" si="67"/>
        <v>1.0423709453191132</v>
      </c>
      <c r="AA334" s="290">
        <f t="shared" ca="1" si="67"/>
        <v>1.0481876852954977</v>
      </c>
      <c r="AB334" s="290">
        <f t="shared" ca="1" si="67"/>
        <v>1.0536685783698931</v>
      </c>
      <c r="AC334" s="290">
        <f t="shared" ca="1" si="67"/>
        <v>1.058822316554781</v>
      </c>
      <c r="AD334" s="290">
        <f t="shared" ca="1" si="67"/>
        <v>1.063658063469697</v>
      </c>
    </row>
    <row r="335" spans="1:30">
      <c r="A335" s="90">
        <v>249</v>
      </c>
      <c r="B335" s="90">
        <f t="shared" si="58"/>
        <v>0.996</v>
      </c>
      <c r="C335" s="291">
        <f t="shared" ca="1" si="59"/>
        <v>-1.6338074495911979E-2</v>
      </c>
      <c r="D335" s="292">
        <f t="shared" ca="1" si="60"/>
        <v>-0.99747281446864366</v>
      </c>
      <c r="E335" s="291">
        <f t="shared" ca="1" si="61"/>
        <v>-1.6982769042330027E-2</v>
      </c>
      <c r="F335" s="293">
        <f t="shared" ca="1" si="62"/>
        <v>0.98939481396053419</v>
      </c>
      <c r="T335" s="289">
        <f t="shared" ca="1" si="67"/>
        <v>1</v>
      </c>
      <c r="U335" s="290">
        <f t="shared" ca="1" si="67"/>
        <v>1.0083040325914476</v>
      </c>
      <c r="V335" s="290">
        <f t="shared" ca="1" si="67"/>
        <v>1.0162361165349152</v>
      </c>
      <c r="W335" s="290">
        <f t="shared" ca="1" si="67"/>
        <v>1.023800939891818</v>
      </c>
      <c r="X335" s="290">
        <f t="shared" ca="1" si="67"/>
        <v>1.0310039016459749</v>
      </c>
      <c r="Y335" s="290">
        <f t="shared" ca="1" si="67"/>
        <v>1.0378510744679688</v>
      </c>
      <c r="Z335" s="290">
        <f t="shared" ca="1" si="67"/>
        <v>1.0443491670869285</v>
      </c>
      <c r="AA335" s="290">
        <f t="shared" ca="1" si="67"/>
        <v>1.0505054864759502</v>
      </c>
      <c r="AB335" s="290">
        <f t="shared" ca="1" si="67"/>
        <v>1.0563279000467194</v>
      </c>
      <c r="AC335" s="290">
        <f t="shared" ca="1" si="67"/>
        <v>1.0618247980366737</v>
      </c>
      <c r="AD335" s="290">
        <f t="shared" ca="1" si="67"/>
        <v>1.0670050562594415</v>
      </c>
    </row>
    <row r="336" spans="1:30">
      <c r="A336" s="90">
        <v>250</v>
      </c>
      <c r="B336" s="90">
        <f t="shared" si="58"/>
        <v>1</v>
      </c>
      <c r="C336" s="291">
        <f t="shared" ca="1" si="59"/>
        <v>-1.697560019682573E-2</v>
      </c>
      <c r="D336" s="292">
        <f t="shared" ca="1" si="60"/>
        <v>0.4436587349957789</v>
      </c>
      <c r="E336" s="291">
        <f t="shared" ca="1" si="61"/>
        <v>-1.6688851161891005E-2</v>
      </c>
      <c r="F336" s="293">
        <f t="shared" ca="1" si="62"/>
        <v>0.98932818715117665</v>
      </c>
      <c r="G336" s="90">
        <v>1</v>
      </c>
      <c r="T336" s="289">
        <f t="shared" ref="T336:AD345" ca="1" si="68">EXP(T$82-$E336*T$83)</f>
        <v>1</v>
      </c>
      <c r="U336" s="290">
        <f t="shared" ca="1" si="68"/>
        <v>1.0081560796778211</v>
      </c>
      <c r="V336" s="290">
        <f t="shared" ca="1" si="68"/>
        <v>1.0159383382350839</v>
      </c>
      <c r="W336" s="290">
        <f t="shared" ca="1" si="68"/>
        <v>1.0233516341068527</v>
      </c>
      <c r="X336" s="290">
        <f t="shared" ca="1" si="68"/>
        <v>1.0304015324727553</v>
      </c>
      <c r="Y336" s="290">
        <f t="shared" ca="1" si="68"/>
        <v>1.0370942675595276</v>
      </c>
      <c r="Z336" s="290">
        <f t="shared" ca="1" si="68"/>
        <v>1.0434367045881623</v>
      </c>
      <c r="AA336" s="290">
        <f t="shared" ca="1" si="68"/>
        <v>1.0494363015716899</v>
      </c>
      <c r="AB336" s="290">
        <f t="shared" ca="1" si="68"/>
        <v>1.0551010711587323</v>
      </c>
      <c r="AC336" s="290">
        <f t="shared" ca="1" si="68"/>
        <v>1.0604395427055449</v>
      </c>
      <c r="AD336" s="290">
        <f t="shared" ca="1" si="68"/>
        <v>1.065460724746464</v>
      </c>
    </row>
    <row r="337" spans="1:30">
      <c r="A337" s="90">
        <v>251</v>
      </c>
      <c r="B337" s="90">
        <f t="shared" si="58"/>
        <v>1.004</v>
      </c>
      <c r="C337" s="291">
        <f t="shared" ca="1" si="59"/>
        <v>-1.6681689162867365E-2</v>
      </c>
      <c r="D337" s="292">
        <f t="shared" ca="1" si="60"/>
        <v>-0.50608341678665614</v>
      </c>
      <c r="E337" s="291">
        <f t="shared" ca="1" si="61"/>
        <v>-1.7008785013603683E-2</v>
      </c>
      <c r="F337" s="293">
        <f t="shared" ca="1" si="62"/>
        <v>0.98926151335533363</v>
      </c>
      <c r="G337" s="90">
        <f ca="1">G336*EXP($B$81*(E336+E337)/2)</f>
        <v>0.99993260699865938</v>
      </c>
      <c r="T337" s="289">
        <f t="shared" ca="1" si="68"/>
        <v>1</v>
      </c>
      <c r="U337" s="290">
        <f t="shared" ca="1" si="68"/>
        <v>1.0083171296040332</v>
      </c>
      <c r="V337" s="290">
        <f t="shared" ca="1" si="68"/>
        <v>1.0162624784133241</v>
      </c>
      <c r="W337" s="290">
        <f t="shared" ca="1" si="68"/>
        <v>1.0238407194357277</v>
      </c>
      <c r="X337" s="290">
        <f t="shared" ca="1" si="68"/>
        <v>1.031057236966451</v>
      </c>
      <c r="Y337" s="290">
        <f t="shared" ca="1" si="68"/>
        <v>1.037918089393487</v>
      </c>
      <c r="Z337" s="290">
        <f t="shared" ca="1" si="68"/>
        <v>1.0444299716071976</v>
      </c>
      <c r="AA337" s="290">
        <f t="shared" ca="1" si="68"/>
        <v>1.0506001772202738</v>
      </c>
      <c r="AB337" s="290">
        <f t="shared" ca="1" si="68"/>
        <v>1.0564365607936719</v>
      </c>
      <c r="AC337" s="290">
        <f t="shared" ca="1" si="68"/>
        <v>1.0619475002519214</v>
      </c>
      <c r="AD337" s="290">
        <f t="shared" ca="1" si="68"/>
        <v>1.0671418596586049</v>
      </c>
    </row>
    <row r="338" spans="1:30">
      <c r="A338" s="90">
        <v>252</v>
      </c>
      <c r="B338" s="90">
        <f t="shared" si="58"/>
        <v>1.008</v>
      </c>
      <c r="C338" s="291">
        <f t="shared" ca="1" si="59"/>
        <v>-1.7001615562087111E-2</v>
      </c>
      <c r="D338" s="292">
        <f t="shared" ca="1" si="60"/>
        <v>-2.2494760337692328</v>
      </c>
      <c r="E338" s="291">
        <f t="shared" ca="1" si="61"/>
        <v>-1.8455514766389396E-2</v>
      </c>
      <c r="F338" s="293">
        <f t="shared" ca="1" si="62"/>
        <v>0.98919134890995508</v>
      </c>
      <c r="G338" s="90">
        <f t="shared" ref="G338:G401" ca="1" si="69">G337*EXP($B$81*(E337+E338)/2)</f>
        <v>0.99986168569439471</v>
      </c>
      <c r="T338" s="289">
        <f t="shared" ca="1" si="68"/>
        <v>1</v>
      </c>
      <c r="U338" s="290">
        <f t="shared" ca="1" si="68"/>
        <v>1.0090457130370132</v>
      </c>
      <c r="V338" s="290">
        <f t="shared" ca="1" si="68"/>
        <v>1.0177295206995229</v>
      </c>
      <c r="W338" s="290">
        <f t="shared" ca="1" si="68"/>
        <v>1.0260552662603331</v>
      </c>
      <c r="X338" s="290">
        <f t="shared" ca="1" si="68"/>
        <v>1.0340275233364977</v>
      </c>
      <c r="Y338" s="290">
        <f t="shared" ca="1" si="68"/>
        <v>1.0416515610275994</v>
      </c>
      <c r="Z338" s="290">
        <f t="shared" ca="1" si="68"/>
        <v>1.048933308480329</v>
      </c>
      <c r="AA338" s="290">
        <f t="shared" ca="1" si="68"/>
        <v>1.0558793190859426</v>
      </c>
      <c r="AB338" s="290">
        <f t="shared" ca="1" si="68"/>
        <v>1.0624967345076537</v>
      </c>
      <c r="AC338" s="290">
        <f t="shared" ca="1" si="68"/>
        <v>1.0687932487238576</v>
      </c>
      <c r="AD338" s="290">
        <f t="shared" ca="1" si="68"/>
        <v>1.0747770722614398</v>
      </c>
    </row>
    <row r="339" spans="1:30">
      <c r="A339" s="90">
        <v>253</v>
      </c>
      <c r="B339" s="90">
        <f t="shared" si="58"/>
        <v>1.012</v>
      </c>
      <c r="C339" s="291">
        <f t="shared" ca="1" si="59"/>
        <v>-1.8448311614958923E-2</v>
      </c>
      <c r="D339" s="292">
        <f t="shared" ca="1" si="60"/>
        <v>0.1072317320898801</v>
      </c>
      <c r="E339" s="291">
        <f t="shared" ca="1" si="61"/>
        <v>-1.8379004750773222E-2</v>
      </c>
      <c r="F339" s="293">
        <f t="shared" ca="1" si="62"/>
        <v>0.98911847881802761</v>
      </c>
      <c r="G339" s="90">
        <f t="shared" ca="1" si="69"/>
        <v>0.99978802955796409</v>
      </c>
      <c r="T339" s="289">
        <f t="shared" ca="1" si="68"/>
        <v>1</v>
      </c>
      <c r="U339" s="290">
        <f t="shared" ca="1" si="68"/>
        <v>1.0090071688656745</v>
      </c>
      <c r="V339" s="290">
        <f t="shared" ca="1" si="68"/>
        <v>1.0176518834489605</v>
      </c>
      <c r="W339" s="290">
        <f t="shared" ca="1" si="68"/>
        <v>1.0259380305210857</v>
      </c>
      <c r="X339" s="290">
        <f t="shared" ca="1" si="68"/>
        <v>1.0338702262504211</v>
      </c>
      <c r="Y339" s="290">
        <f t="shared" ca="1" si="68"/>
        <v>1.041453781215061</v>
      </c>
      <c r="Z339" s="290">
        <f t="shared" ca="1" si="68"/>
        <v>1.0486946648508941</v>
      </c>
      <c r="AA339" s="290">
        <f t="shared" ca="1" si="68"/>
        <v>1.0555994695417468</v>
      </c>
      <c r="AB339" s="290">
        <f t="shared" ca="1" si="68"/>
        <v>1.0621753745486073</v>
      </c>
      <c r="AC339" s="290">
        <f t="shared" ca="1" si="68"/>
        <v>1.0684301099637159</v>
      </c>
      <c r="AD339" s="290">
        <f t="shared" ca="1" si="68"/>
        <v>1.0743719208636109</v>
      </c>
    </row>
    <row r="340" spans="1:30">
      <c r="A340" s="90">
        <v>254</v>
      </c>
      <c r="B340" s="90">
        <f t="shared" si="58"/>
        <v>1.016</v>
      </c>
      <c r="C340" s="291">
        <f t="shared" ca="1" si="59"/>
        <v>-1.8371803381556001E-2</v>
      </c>
      <c r="D340" s="292">
        <f t="shared" ca="1" si="60"/>
        <v>-1.7844557472112879</v>
      </c>
      <c r="E340" s="291">
        <f t="shared" ca="1" si="61"/>
        <v>-1.9525146983370649E-2</v>
      </c>
      <c r="F340" s="293">
        <f t="shared" ca="1" si="62"/>
        <v>0.98904349826632942</v>
      </c>
      <c r="G340" s="90">
        <f t="shared" ca="1" si="69"/>
        <v>0.99971224019638316</v>
      </c>
      <c r="T340" s="289">
        <f t="shared" ca="1" si="68"/>
        <v>1</v>
      </c>
      <c r="U340" s="290">
        <f t="shared" ca="1" si="68"/>
        <v>1.0095847259415955</v>
      </c>
      <c r="V340" s="290">
        <f t="shared" ca="1" si="68"/>
        <v>1.0188155324153119</v>
      </c>
      <c r="W340" s="290">
        <f t="shared" ca="1" si="68"/>
        <v>1.027695659434646</v>
      </c>
      <c r="X340" s="290">
        <f t="shared" ca="1" si="68"/>
        <v>1.036229089892448</v>
      </c>
      <c r="Y340" s="290">
        <f t="shared" ca="1" si="68"/>
        <v>1.0444205164822757</v>
      </c>
      <c r="Z340" s="290">
        <f t="shared" ca="1" si="68"/>
        <v>1.0522753079201659</v>
      </c>
      <c r="AA340" s="290">
        <f t="shared" ca="1" si="68"/>
        <v>1.0597994746730262</v>
      </c>
      <c r="AB340" s="290">
        <f t="shared" ca="1" si="68"/>
        <v>1.0669996343911803</v>
      </c>
      <c r="AC340" s="290">
        <f t="shared" ca="1" si="68"/>
        <v>1.0738829772322207</v>
      </c>
      <c r="AD340" s="290">
        <f t="shared" ca="1" si="68"/>
        <v>1.0804572312523877</v>
      </c>
    </row>
    <row r="341" spans="1:30">
      <c r="A341" s="90">
        <v>255</v>
      </c>
      <c r="B341" s="90">
        <f t="shared" si="58"/>
        <v>1.02</v>
      </c>
      <c r="C341" s="291">
        <f t="shared" ca="1" si="59"/>
        <v>-1.951791891608181E-2</v>
      </c>
      <c r="D341" s="292">
        <f t="shared" ca="1" si="60"/>
        <v>-0.27521682773451234</v>
      </c>
      <c r="E341" s="291">
        <f t="shared" ca="1" si="61"/>
        <v>-1.9695799240587127E-2</v>
      </c>
      <c r="F341" s="293">
        <f t="shared" ca="1" si="62"/>
        <v>0.98896591886538932</v>
      </c>
      <c r="G341" s="90">
        <f t="shared" ca="1" si="69"/>
        <v>0.99963382395195832</v>
      </c>
      <c r="T341" s="289">
        <f t="shared" ca="1" si="68"/>
        <v>1</v>
      </c>
      <c r="U341" s="290">
        <f t="shared" ca="1" si="68"/>
        <v>1.0096707482684715</v>
      </c>
      <c r="V341" s="290">
        <f t="shared" ca="1" si="68"/>
        <v>1.0189889050678602</v>
      </c>
      <c r="W341" s="290">
        <f t="shared" ca="1" si="68"/>
        <v>1.027957615040926</v>
      </c>
      <c r="X341" s="290">
        <f t="shared" ca="1" si="68"/>
        <v>1.0365807675882637</v>
      </c>
      <c r="Y341" s="290">
        <f t="shared" ca="1" si="68"/>
        <v>1.0448629640784513</v>
      </c>
      <c r="Z341" s="290">
        <f t="shared" ca="1" si="68"/>
        <v>1.0528094843389868</v>
      </c>
      <c r="AA341" s="290">
        <f t="shared" ca="1" si="68"/>
        <v>1.0604262526341104</v>
      </c>
      <c r="AB341" s="290">
        <f t="shared" ca="1" si="68"/>
        <v>1.0677198033270754</v>
      </c>
      <c r="AC341" s="290">
        <f t="shared" ca="1" si="68"/>
        <v>1.0746972464141704</v>
      </c>
      <c r="AD341" s="290">
        <f t="shared" ca="1" si="68"/>
        <v>1.0813662331069902</v>
      </c>
    </row>
    <row r="342" spans="1:30">
      <c r="A342" s="90">
        <v>256</v>
      </c>
      <c r="B342" s="90">
        <f t="shared" si="58"/>
        <v>1.024</v>
      </c>
      <c r="C342" s="291">
        <f t="shared" ca="1" si="59"/>
        <v>-1.9688567198149255E-2</v>
      </c>
      <c r="D342" s="292">
        <f t="shared" ca="1" si="60"/>
        <v>1.0206645495568061</v>
      </c>
      <c r="E342" s="291">
        <f t="shared" ca="1" si="61"/>
        <v>-1.9028883185435552E-2</v>
      </c>
      <c r="F342" s="293">
        <f t="shared" ca="1" si="62"/>
        <v>0.98888932704914501</v>
      </c>
      <c r="G342" s="90">
        <f t="shared" ca="1" si="69"/>
        <v>0.99955640594523509</v>
      </c>
      <c r="T342" s="289">
        <f t="shared" ca="1" si="68"/>
        <v>1</v>
      </c>
      <c r="U342" s="290">
        <f t="shared" ca="1" si="68"/>
        <v>1.0093346111130175</v>
      </c>
      <c r="V342" s="290">
        <f t="shared" ca="1" si="68"/>
        <v>1.0183115251957844</v>
      </c>
      <c r="W342" s="290">
        <f t="shared" ca="1" si="68"/>
        <v>1.0269342609964327</v>
      </c>
      <c r="X342" s="290">
        <f t="shared" ca="1" si="68"/>
        <v>1.0352070744902093</v>
      </c>
      <c r="Y342" s="290">
        <f t="shared" ca="1" si="68"/>
        <v>1.0431349249676656</v>
      </c>
      <c r="Z342" s="290">
        <f t="shared" ca="1" si="68"/>
        <v>1.0507234404810635</v>
      </c>
      <c r="AA342" s="290">
        <f t="shared" ca="1" si="68"/>
        <v>1.0579788828554333</v>
      </c>
      <c r="AB342" s="290">
        <f t="shared" ca="1" si="68"/>
        <v>1.0649081124616671</v>
      </c>
      <c r="AC342" s="290">
        <f t="shared" ca="1" si="68"/>
        <v>1.07151855293827</v>
      </c>
      <c r="AD342" s="290">
        <f t="shared" ca="1" si="68"/>
        <v>1.0778181560371474</v>
      </c>
    </row>
    <row r="343" spans="1:30">
      <c r="A343" s="90">
        <v>257</v>
      </c>
      <c r="B343" s="90">
        <f t="shared" ref="B343:B406" si="70">A343*$B$81</f>
        <v>1.028</v>
      </c>
      <c r="C343" s="291">
        <f t="shared" ca="1" si="59"/>
        <v>-1.9021666678043943E-2</v>
      </c>
      <c r="D343" s="292">
        <f t="shared" ca="1" si="60"/>
        <v>-1.5237715321743983</v>
      </c>
      <c r="E343" s="291">
        <f t="shared" ca="1" si="61"/>
        <v>-2.0006522788937768E-2</v>
      </c>
      <c r="F343" s="293">
        <f t="shared" ca="1" si="62"/>
        <v>0.98881212667004215</v>
      </c>
      <c r="G343" s="90">
        <f t="shared" ca="1" si="69"/>
        <v>0.99947837281112906</v>
      </c>
      <c r="T343" s="289">
        <f t="shared" ca="1" si="68"/>
        <v>1</v>
      </c>
      <c r="U343" s="290">
        <f t="shared" ca="1" si="68"/>
        <v>1.0098273965033466</v>
      </c>
      <c r="V343" s="290">
        <f t="shared" ca="1" si="68"/>
        <v>1.0193046576794949</v>
      </c>
      <c r="W343" s="290">
        <f t="shared" ca="1" si="68"/>
        <v>1.0284347551683535</v>
      </c>
      <c r="X343" s="290">
        <f t="shared" ca="1" si="68"/>
        <v>1.0372214087025955</v>
      </c>
      <c r="Y343" s="290">
        <f t="shared" ca="1" si="68"/>
        <v>1.045669053846584</v>
      </c>
      <c r="Z343" s="290">
        <f t="shared" ca="1" si="68"/>
        <v>1.0537828089806744</v>
      </c>
      <c r="AA343" s="290">
        <f t="shared" ca="1" si="68"/>
        <v>1.0615684417367635</v>
      </c>
      <c r="AB343" s="290">
        <f t="shared" ca="1" si="68"/>
        <v>1.0690323350826689</v>
      </c>
      <c r="AC343" s="290">
        <f t="shared" ca="1" si="68"/>
        <v>1.0761814532428899</v>
      </c>
      <c r="AD343" s="290">
        <f t="shared" ca="1" si="68"/>
        <v>1.0830233076327049</v>
      </c>
    </row>
    <row r="344" spans="1:30">
      <c r="A344" s="90">
        <v>258</v>
      </c>
      <c r="B344" s="90">
        <f t="shared" si="70"/>
        <v>1.032</v>
      </c>
      <c r="C344" s="291">
        <f t="shared" ref="C344:C407" ca="1" si="71">E343*EXP(-$B$78*$B$81)+$B$77*(1-EXP(-$B$78*$B$81))</f>
        <v>-1.9999283508550441E-2</v>
      </c>
      <c r="D344" s="292">
        <f t="shared" ref="D344:D407" ca="1" si="72">NORMSINV(RAND())</f>
        <v>-9.7937275136729576E-2</v>
      </c>
      <c r="E344" s="291">
        <f t="shared" ref="E344:E407" ca="1" si="73">C344+($B$82^0.5)*D344</f>
        <v>-2.0062583105547805E-2</v>
      </c>
      <c r="F344" s="293">
        <f t="shared" ref="F344:F407" ca="1" si="74">F343*EXP($B$81*(E343+E344)/2)</f>
        <v>0.98873288820947225</v>
      </c>
      <c r="G344" s="90">
        <f t="shared" ca="1" si="69"/>
        <v>0.99939827961091598</v>
      </c>
      <c r="T344" s="289">
        <f t="shared" ca="1" si="68"/>
        <v>1</v>
      </c>
      <c r="U344" s="290">
        <f t="shared" ca="1" si="68"/>
        <v>1.0098556613509844</v>
      </c>
      <c r="V344" s="290">
        <f t="shared" ca="1" si="68"/>
        <v>1.0193616357505868</v>
      </c>
      <c r="W344" s="290">
        <f t="shared" ca="1" si="68"/>
        <v>1.0285208637162984</v>
      </c>
      <c r="X344" s="290">
        <f t="shared" ca="1" si="68"/>
        <v>1.0373370344483372</v>
      </c>
      <c r="Y344" s="290">
        <f t="shared" ca="1" si="68"/>
        <v>1.0458145536643733</v>
      </c>
      <c r="Z344" s="290">
        <f t="shared" ca="1" si="68"/>
        <v>1.0539585106732874</v>
      </c>
      <c r="AA344" s="290">
        <f t="shared" ca="1" si="68"/>
        <v>1.0617746448937893</v>
      </c>
      <c r="AB344" s="290">
        <f t="shared" ca="1" si="68"/>
        <v>1.0692693120154737</v>
      </c>
      <c r="AC344" s="290">
        <f t="shared" ca="1" si="68"/>
        <v>1.0764494499899113</v>
      </c>
      <c r="AD344" s="290">
        <f t="shared" ca="1" si="68"/>
        <v>1.0833225450288018</v>
      </c>
    </row>
    <row r="345" spans="1:30">
      <c r="A345" s="90">
        <v>259</v>
      </c>
      <c r="B345" s="90">
        <f t="shared" si="70"/>
        <v>1.036</v>
      </c>
      <c r="C345" s="291">
        <f t="shared" ca="1" si="71"/>
        <v>-2.0055342519299559E-2</v>
      </c>
      <c r="D345" s="292">
        <f t="shared" ca="1" si="72"/>
        <v>2.1400347799081967</v>
      </c>
      <c r="E345" s="291">
        <f t="shared" ca="1" si="73"/>
        <v>-1.8672178254831147E-2</v>
      </c>
      <c r="F345" s="293">
        <f t="shared" ca="1" si="74"/>
        <v>0.98865629451140125</v>
      </c>
      <c r="G345" s="90">
        <f t="shared" ca="1" si="69"/>
        <v>0.99932085970206697</v>
      </c>
      <c r="T345" s="289">
        <f t="shared" ca="1" si="68"/>
        <v>1</v>
      </c>
      <c r="U345" s="290">
        <f t="shared" ca="1" si="68"/>
        <v>1.0091548716324095</v>
      </c>
      <c r="V345" s="290">
        <f t="shared" ca="1" si="68"/>
        <v>1.0179494084646177</v>
      </c>
      <c r="W345" s="290">
        <f t="shared" ca="1" si="68"/>
        <v>1.0263873308341496</v>
      </c>
      <c r="X345" s="290">
        <f t="shared" ca="1" si="68"/>
        <v>1.0344730920681788</v>
      </c>
      <c r="Y345" s="290">
        <f t="shared" ca="1" si="68"/>
        <v>1.0422118439791257</v>
      </c>
      <c r="Z345" s="290">
        <f t="shared" ca="1" si="68"/>
        <v>1.0496094017606663</v>
      </c>
      <c r="AA345" s="290">
        <f t="shared" ca="1" si="68"/>
        <v>1.0566722084906894</v>
      </c>
      <c r="AB345" s="290">
        <f t="shared" ca="1" si="68"/>
        <v>1.063407299438405</v>
      </c>
      <c r="AC345" s="290">
        <f t="shared" ca="1" si="68"/>
        <v>1.0698222663617898</v>
      </c>
      <c r="AD345" s="290">
        <f t="shared" ca="1" si="68"/>
        <v>1.0759252219700608</v>
      </c>
    </row>
    <row r="346" spans="1:30">
      <c r="A346" s="90">
        <v>260</v>
      </c>
      <c r="B346" s="90">
        <f t="shared" si="70"/>
        <v>1.04</v>
      </c>
      <c r="C346" s="291">
        <f t="shared" ca="1" si="71"/>
        <v>-1.866497005647267E-2</v>
      </c>
      <c r="D346" s="292">
        <f t="shared" ca="1" si="72"/>
        <v>8.5935818161114435E-3</v>
      </c>
      <c r="E346" s="291">
        <f t="shared" ca="1" si="73"/>
        <v>-1.8659415784465772E-2</v>
      </c>
      <c r="F346" s="293">
        <f t="shared" ca="1" si="74"/>
        <v>0.98858248103614799</v>
      </c>
      <c r="G346" s="90">
        <f t="shared" ca="1" si="69"/>
        <v>0.99924625000610168</v>
      </c>
      <c r="T346" s="289">
        <f t="shared" ref="T346:AD355" ca="1" si="75">EXP(T$82-$E346*T$83)</f>
        <v>1</v>
      </c>
      <c r="U346" s="290">
        <f t="shared" ca="1" si="75"/>
        <v>1.0091484413646146</v>
      </c>
      <c r="V346" s="290">
        <f t="shared" ca="1" si="75"/>
        <v>1.017936454752904</v>
      </c>
      <c r="W346" s="290">
        <f t="shared" ca="1" si="75"/>
        <v>1.0263677677337149</v>
      </c>
      <c r="X346" s="290">
        <f t="shared" ca="1" si="75"/>
        <v>1.0344468407112177</v>
      </c>
      <c r="Y346" s="290">
        <f t="shared" ca="1" si="75"/>
        <v>1.0421788323994001</v>
      </c>
      <c r="Z346" s="290">
        <f t="shared" ca="1" si="75"/>
        <v>1.0495695646984933</v>
      </c>
      <c r="AA346" s="290">
        <f t="shared" ca="1" si="75"/>
        <v>1.0566254871798673</v>
      </c>
      <c r="AB346" s="290">
        <f t="shared" ca="1" si="75"/>
        <v>1.0633536413765932</v>
      </c>
      <c r="AC346" s="290">
        <f t="shared" ca="1" si="75"/>
        <v>1.0697616250658402</v>
      </c>
      <c r="AD346" s="290">
        <f t="shared" ca="1" si="75"/>
        <v>1.0758575567177731</v>
      </c>
    </row>
    <row r="347" spans="1:30">
      <c r="A347" s="90">
        <v>261</v>
      </c>
      <c r="B347" s="90">
        <f t="shared" si="70"/>
        <v>1.044</v>
      </c>
      <c r="C347" s="291">
        <f t="shared" ca="1" si="71"/>
        <v>-1.8652207883394435E-2</v>
      </c>
      <c r="D347" s="292">
        <f t="shared" ca="1" si="72"/>
        <v>2.2410386071330772</v>
      </c>
      <c r="E347" s="291">
        <f t="shared" ca="1" si="73"/>
        <v>-1.720376202364373E-2</v>
      </c>
      <c r="F347" s="293">
        <f t="shared" ca="1" si="74"/>
        <v>0.98851157616046181</v>
      </c>
      <c r="G347" s="90">
        <f t="shared" ca="1" si="69"/>
        <v>0.9991745802845603</v>
      </c>
      <c r="T347" s="289">
        <f t="shared" ca="1" si="75"/>
        <v>1</v>
      </c>
      <c r="U347" s="290">
        <f t="shared" ca="1" si="75"/>
        <v>1.008415290737825</v>
      </c>
      <c r="V347" s="290">
        <f t="shared" ca="1" si="75"/>
        <v>1.0164600695973449</v>
      </c>
      <c r="W347" s="290">
        <f t="shared" ca="1" si="75"/>
        <v>1.024138896909748</v>
      </c>
      <c r="X347" s="290">
        <f t="shared" ca="1" si="75"/>
        <v>1.03145704700359</v>
      </c>
      <c r="Y347" s="290">
        <f t="shared" ca="1" si="75"/>
        <v>1.0384204713190752</v>
      </c>
      <c r="Z347" s="290">
        <f t="shared" ca="1" si="75"/>
        <v>1.045035761102024</v>
      </c>
      <c r="AA347" s="290">
        <f t="shared" ca="1" si="75"/>
        <v>1.05131010988386</v>
      </c>
      <c r="AB347" s="290">
        <f t="shared" ca="1" si="75"/>
        <v>1.0572512759434722</v>
      </c>
      <c r="AC347" s="290">
        <f t="shared" ca="1" si="75"/>
        <v>1.0628675449347342</v>
      </c>
      <c r="AD347" s="290">
        <f t="shared" ca="1" si="75"/>
        <v>1.0681676928510018</v>
      </c>
    </row>
    <row r="348" spans="1:30">
      <c r="A348" s="90">
        <v>262</v>
      </c>
      <c r="B348" s="90">
        <f t="shared" si="70"/>
        <v>1.048</v>
      </c>
      <c r="C348" s="291">
        <f t="shared" ca="1" si="71"/>
        <v>-1.7196588030360848E-2</v>
      </c>
      <c r="D348" s="292">
        <f t="shared" ca="1" si="72"/>
        <v>-1.1539469095760371</v>
      </c>
      <c r="E348" s="291">
        <f t="shared" ca="1" si="73"/>
        <v>-1.7942416155868137E-2</v>
      </c>
      <c r="F348" s="293">
        <f t="shared" ca="1" si="74"/>
        <v>0.98844209379455361</v>
      </c>
      <c r="G348" s="90">
        <f t="shared" ca="1" si="69"/>
        <v>0.99910434841730877</v>
      </c>
      <c r="T348" s="289">
        <f t="shared" ca="1" si="75"/>
        <v>1</v>
      </c>
      <c r="U348" s="290">
        <f t="shared" ca="1" si="75"/>
        <v>1.0087872526863075</v>
      </c>
      <c r="V348" s="290">
        <f t="shared" ca="1" si="75"/>
        <v>1.0172089758292835</v>
      </c>
      <c r="W348" s="290">
        <f t="shared" ca="1" si="75"/>
        <v>1.0252693052578019</v>
      </c>
      <c r="X348" s="290">
        <f t="shared" ca="1" si="75"/>
        <v>1.0329731006639511</v>
      </c>
      <c r="Y348" s="290">
        <f t="shared" ca="1" si="75"/>
        <v>1.0403259099032087</v>
      </c>
      <c r="Z348" s="290">
        <f t="shared" ca="1" si="75"/>
        <v>1.0473339327830187</v>
      </c>
      <c r="AA348" s="290">
        <f t="shared" ca="1" si="75"/>
        <v>1.0540039845463318</v>
      </c>
      <c r="AB348" s="290">
        <f t="shared" ca="1" si="75"/>
        <v>1.0603434592467651</v>
      </c>
      <c r="AC348" s="290">
        <f t="shared" ca="1" si="75"/>
        <v>1.0663602932004894</v>
      </c>
      <c r="AD348" s="290">
        <f t="shared" ca="1" si="75"/>
        <v>1.0720629286879821</v>
      </c>
    </row>
    <row r="349" spans="1:30">
      <c r="A349" s="90">
        <v>263</v>
      </c>
      <c r="B349" s="90">
        <f t="shared" si="70"/>
        <v>1.052</v>
      </c>
      <c r="C349" s="291">
        <f t="shared" ca="1" si="71"/>
        <v>-1.7935224956482587E-2</v>
      </c>
      <c r="D349" s="292">
        <f t="shared" ca="1" si="72"/>
        <v>1.838186325052559</v>
      </c>
      <c r="E349" s="291">
        <f t="shared" ca="1" si="73"/>
        <v>-1.6747153781136413E-2</v>
      </c>
      <c r="F349" s="293">
        <f t="shared" ca="1" si="74"/>
        <v>0.98837351891113157</v>
      </c>
      <c r="G349" s="90">
        <f t="shared" ca="1" si="69"/>
        <v>0.9990350338214925</v>
      </c>
      <c r="T349" s="289">
        <f t="shared" ca="1" si="75"/>
        <v>1</v>
      </c>
      <c r="U349" s="290">
        <f t="shared" ca="1" si="75"/>
        <v>1.0081854264294248</v>
      </c>
      <c r="V349" s="290">
        <f t="shared" ca="1" si="75"/>
        <v>1.0159973996828746</v>
      </c>
      <c r="W349" s="290">
        <f t="shared" ca="1" si="75"/>
        <v>1.0234407443554316</v>
      </c>
      <c r="X349" s="290">
        <f t="shared" ca="1" si="75"/>
        <v>1.030520992623484</v>
      </c>
      <c r="Y349" s="290">
        <f t="shared" ca="1" si="75"/>
        <v>1.0372443466385486</v>
      </c>
      <c r="Z349" s="290">
        <f t="shared" ca="1" si="75"/>
        <v>1.0436176405582995</v>
      </c>
      <c r="AA349" s="290">
        <f t="shared" ca="1" si="75"/>
        <v>1.0496483024208638</v>
      </c>
      <c r="AB349" s="290">
        <f t="shared" ca="1" si="75"/>
        <v>1.0553443160576181</v>
      </c>
      <c r="AC349" s="290">
        <f t="shared" ca="1" si="75"/>
        <v>1.0607141832273219</v>
      </c>
      <c r="AD349" s="290">
        <f t="shared" ca="1" si="75"/>
        <v>1.0657668861416778</v>
      </c>
    </row>
    <row r="350" spans="1:30">
      <c r="A350" s="90">
        <v>264</v>
      </c>
      <c r="B350" s="90">
        <f t="shared" si="70"/>
        <v>1.056</v>
      </c>
      <c r="C350" s="291">
        <f t="shared" ca="1" si="71"/>
        <v>-1.6739990424019979E-2</v>
      </c>
      <c r="D350" s="292">
        <f t="shared" ca="1" si="72"/>
        <v>0.94965642119533056</v>
      </c>
      <c r="E350" s="291">
        <f t="shared" ca="1" si="73"/>
        <v>-1.6126200948422442E-2</v>
      </c>
      <c r="F350" s="293">
        <f t="shared" ca="1" si="74"/>
        <v>0.98830853874068625</v>
      </c>
      <c r="G350" s="90">
        <f t="shared" ca="1" si="69"/>
        <v>0.99896935271456644</v>
      </c>
      <c r="T350" s="289">
        <f t="shared" ca="1" si="75"/>
        <v>1</v>
      </c>
      <c r="U350" s="290">
        <f t="shared" ca="1" si="75"/>
        <v>1.0078729123525465</v>
      </c>
      <c r="V350" s="290">
        <f t="shared" ca="1" si="75"/>
        <v>1.015368541350794</v>
      </c>
      <c r="W350" s="290">
        <f t="shared" ca="1" si="75"/>
        <v>1.0224920730851328</v>
      </c>
      <c r="X350" s="290">
        <f t="shared" ca="1" si="75"/>
        <v>1.0292493921115276</v>
      </c>
      <c r="Y350" s="290">
        <f t="shared" ca="1" si="75"/>
        <v>1.0356470428816202</v>
      </c>
      <c r="Z350" s="290">
        <f t="shared" ca="1" si="75"/>
        <v>1.0416921908895516</v>
      </c>
      <c r="AA350" s="290">
        <f t="shared" ca="1" si="75"/>
        <v>1.0473925837410436</v>
      </c>
      <c r="AB350" s="290">
        <f t="shared" ca="1" si="75"/>
        <v>1.0527565123389706</v>
      </c>
      <c r="AC350" s="290">
        <f t="shared" ca="1" si="75"/>
        <v>1.0577927723668232</v>
      </c>
      <c r="AD350" s="290">
        <f t="shared" ca="1" si="75"/>
        <v>1.0625106262383213</v>
      </c>
    </row>
    <row r="351" spans="1:30">
      <c r="A351" s="90">
        <v>265</v>
      </c>
      <c r="B351" s="90">
        <f t="shared" si="70"/>
        <v>1.06</v>
      </c>
      <c r="C351" s="291">
        <f t="shared" ca="1" si="71"/>
        <v>-1.6119052055691606E-2</v>
      </c>
      <c r="D351" s="292">
        <f t="shared" ca="1" si="72"/>
        <v>-0.94854418931051054</v>
      </c>
      <c r="E351" s="291">
        <f t="shared" ca="1" si="73"/>
        <v>-1.6732122664749532E-2</v>
      </c>
      <c r="F351" s="293">
        <f t="shared" ca="1" si="74"/>
        <v>0.98824359255114136</v>
      </c>
      <c r="G351" s="90">
        <f t="shared" ca="1" si="69"/>
        <v>0.99890370595509026</v>
      </c>
      <c r="T351" s="289">
        <f t="shared" ca="1" si="75"/>
        <v>1</v>
      </c>
      <c r="U351" s="290">
        <f t="shared" ca="1" si="75"/>
        <v>1.0081778604022096</v>
      </c>
      <c r="V351" s="290">
        <f t="shared" ca="1" si="75"/>
        <v>1.0159821726028768</v>
      </c>
      <c r="W351" s="290">
        <f t="shared" ca="1" si="75"/>
        <v>1.0234177699193732</v>
      </c>
      <c r="X351" s="290">
        <f t="shared" ca="1" si="75"/>
        <v>1.0304901930350334</v>
      </c>
      <c r="Y351" s="290">
        <f t="shared" ca="1" si="75"/>
        <v>1.0372056523694309</v>
      </c>
      <c r="Z351" s="290">
        <f t="shared" ca="1" si="75"/>
        <v>1.0435709900877619</v>
      </c>
      <c r="AA351" s="290">
        <f t="shared" ca="1" si="75"/>
        <v>1.0495936419553988</v>
      </c>
      <c r="AB351" s="290">
        <f t="shared" ca="1" si="75"/>
        <v>1.0552815992328153</v>
      </c>
      <c r="AC351" s="290">
        <f t="shared" ca="1" si="75"/>
        <v>1.0606433707936929</v>
      </c>
      <c r="AD351" s="290">
        <f t="shared" ca="1" si="75"/>
        <v>1.0656879456362509</v>
      </c>
    </row>
    <row r="352" spans="1:30">
      <c r="A352" s="90">
        <v>266</v>
      </c>
      <c r="B352" s="90">
        <f t="shared" si="70"/>
        <v>1.0640000000000001</v>
      </c>
      <c r="C352" s="291">
        <f t="shared" ca="1" si="71"/>
        <v>-1.6724959657765753E-2</v>
      </c>
      <c r="D352" s="292">
        <f t="shared" ca="1" si="72"/>
        <v>6.1112836310976915E-2</v>
      </c>
      <c r="E352" s="291">
        <f t="shared" ca="1" si="73"/>
        <v>-1.6685460724346887E-2</v>
      </c>
      <c r="F352" s="293">
        <f t="shared" ca="1" si="74"/>
        <v>0.98817754533297875</v>
      </c>
      <c r="G352" s="90">
        <f t="shared" ca="1" si="69"/>
        <v>0.99883694629027897</v>
      </c>
      <c r="T352" s="289">
        <f t="shared" ca="1" si="75"/>
        <v>1</v>
      </c>
      <c r="U352" s="290">
        <f t="shared" ca="1" si="75"/>
        <v>1.0081543731199105</v>
      </c>
      <c r="V352" s="290">
        <f t="shared" ca="1" si="75"/>
        <v>1.0159349037754701</v>
      </c>
      <c r="W352" s="290">
        <f t="shared" ca="1" si="75"/>
        <v>1.0233464523702824</v>
      </c>
      <c r="X352" s="290">
        <f t="shared" ca="1" si="75"/>
        <v>1.0303945860037333</v>
      </c>
      <c r="Y352" s="290">
        <f t="shared" ca="1" si="75"/>
        <v>1.037085540768234</v>
      </c>
      <c r="Z352" s="290">
        <f t="shared" ca="1" si="75"/>
        <v>1.0434261836914958</v>
      </c>
      <c r="AA352" s="290">
        <f t="shared" ca="1" si="75"/>
        <v>1.0494239745298684</v>
      </c>
      <c r="AB352" s="290">
        <f t="shared" ca="1" si="75"/>
        <v>1.055086927607872</v>
      </c>
      <c r="AC352" s="290">
        <f t="shared" ca="1" si="75"/>
        <v>1.0604235738866361</v>
      </c>
      <c r="AD352" s="290">
        <f t="shared" ca="1" si="75"/>
        <v>1.0654429234311475</v>
      </c>
    </row>
    <row r="353" spans="1:30">
      <c r="A353" s="90">
        <v>267</v>
      </c>
      <c r="B353" s="90">
        <f t="shared" si="70"/>
        <v>1.0680000000000001</v>
      </c>
      <c r="C353" s="291">
        <f t="shared" ca="1" si="71"/>
        <v>-1.6678298804299607E-2</v>
      </c>
      <c r="D353" s="292">
        <f t="shared" ca="1" si="72"/>
        <v>-2.0049316447909464</v>
      </c>
      <c r="E353" s="291">
        <f t="shared" ca="1" si="73"/>
        <v>-1.7974142138161536E-2</v>
      </c>
      <c r="F353" s="293">
        <f t="shared" ca="1" si="74"/>
        <v>0.98810904802453781</v>
      </c>
      <c r="G353" s="90">
        <f t="shared" ca="1" si="69"/>
        <v>0.99876771010623966</v>
      </c>
      <c r="T353" s="289">
        <f t="shared" ca="1" si="75"/>
        <v>1</v>
      </c>
      <c r="U353" s="290">
        <f t="shared" ca="1" si="75"/>
        <v>1.0088032319211195</v>
      </c>
      <c r="V353" s="290">
        <f t="shared" ca="1" si="75"/>
        <v>1.0172411545059734</v>
      </c>
      <c r="W353" s="290">
        <f t="shared" ca="1" si="75"/>
        <v>1.025317885437397</v>
      </c>
      <c r="X353" s="290">
        <f t="shared" ca="1" si="75"/>
        <v>1.0330382666710105</v>
      </c>
      <c r="Y353" s="290">
        <f t="shared" ca="1" si="75"/>
        <v>1.040407828786881</v>
      </c>
      <c r="Z353" s="290">
        <f t="shared" ca="1" si="75"/>
        <v>1.0474327548257145</v>
      </c>
      <c r="AA353" s="290">
        <f t="shared" ca="1" si="75"/>
        <v>1.054119843816145</v>
      </c>
      <c r="AB353" s="290">
        <f t="shared" ca="1" si="75"/>
        <v>1.0604764741898016</v>
      </c>
      <c r="AC353" s="290">
        <f t="shared" ca="1" si="75"/>
        <v>1.0665105672693225</v>
      </c>
      <c r="AD353" s="290">
        <f t="shared" ca="1" si="75"/>
        <v>1.0722305510025134</v>
      </c>
    </row>
    <row r="354" spans="1:30">
      <c r="A354" s="90">
        <v>268</v>
      </c>
      <c r="B354" s="90">
        <f t="shared" si="70"/>
        <v>1.0720000000000001</v>
      </c>
      <c r="C354" s="291">
        <f t="shared" ca="1" si="71"/>
        <v>-1.7966950199755537E-2</v>
      </c>
      <c r="D354" s="292">
        <f t="shared" ca="1" si="72"/>
        <v>1.2024206998754772</v>
      </c>
      <c r="E354" s="291">
        <f t="shared" ca="1" si="73"/>
        <v>-1.7189792109364034E-2</v>
      </c>
      <c r="F354" s="293">
        <f t="shared" ca="1" si="74"/>
        <v>0.98803955886489037</v>
      </c>
      <c r="G354" s="90">
        <f t="shared" ca="1" si="69"/>
        <v>0.9986974713719653</v>
      </c>
      <c r="T354" s="289">
        <f t="shared" ca="1" si="75"/>
        <v>1</v>
      </c>
      <c r="U354" s="290">
        <f t="shared" ca="1" si="75"/>
        <v>1.0084082572696798</v>
      </c>
      <c r="V354" s="290">
        <f t="shared" ca="1" si="75"/>
        <v>1.0164459111024364</v>
      </c>
      <c r="W354" s="290">
        <f t="shared" ca="1" si="75"/>
        <v>1.0241175298942076</v>
      </c>
      <c r="X354" s="290">
        <f t="shared" ca="1" si="75"/>
        <v>1.0314283958456001</v>
      </c>
      <c r="Y354" s="290">
        <f t="shared" ca="1" si="75"/>
        <v>1.0383844680539847</v>
      </c>
      <c r="Z354" s="290">
        <f t="shared" ca="1" si="75"/>
        <v>1.0449923451870211</v>
      </c>
      <c r="AA354" s="290">
        <f t="shared" ca="1" si="75"/>
        <v>1.0512592279439483</v>
      </c>
      <c r="AB354" s="290">
        <f t="shared" ca="1" si="75"/>
        <v>1.0571928815004694</v>
      </c>
      <c r="AC354" s="290">
        <f t="shared" ca="1" si="75"/>
        <v>1.0628015981209906</v>
      </c>
      <c r="AD354" s="290">
        <f t="shared" ca="1" si="75"/>
        <v>1.068094160109498</v>
      </c>
    </row>
    <row r="355" spans="1:30">
      <c r="A355" s="90">
        <v>269</v>
      </c>
      <c r="B355" s="90">
        <f t="shared" si="70"/>
        <v>1.0760000000000001</v>
      </c>
      <c r="C355" s="291">
        <f t="shared" ca="1" si="71"/>
        <v>-1.7182618441494317E-2</v>
      </c>
      <c r="D355" s="292">
        <f t="shared" ca="1" si="72"/>
        <v>0.65938810011933358</v>
      </c>
      <c r="E355" s="291">
        <f t="shared" ca="1" si="73"/>
        <v>-1.6756437491042706E-2</v>
      </c>
      <c r="F355" s="293">
        <f t="shared" ca="1" si="74"/>
        <v>0.98797248070652766</v>
      </c>
      <c r="G355" s="90">
        <f t="shared" ca="1" si="69"/>
        <v>0.9986296696462752</v>
      </c>
      <c r="T355" s="289">
        <f t="shared" ca="1" si="75"/>
        <v>1</v>
      </c>
      <c r="U355" s="290">
        <f t="shared" ca="1" si="75"/>
        <v>1.0081900994840638</v>
      </c>
      <c r="V355" s="290">
        <f t="shared" ca="1" si="75"/>
        <v>1.0160068045403325</v>
      </c>
      <c r="W355" s="290">
        <f t="shared" ca="1" si="75"/>
        <v>1.0234549343774353</v>
      </c>
      <c r="X355" s="290">
        <f t="shared" ca="1" si="75"/>
        <v>1.0305400159181772</v>
      </c>
      <c r="Y355" s="290">
        <f t="shared" ca="1" si="75"/>
        <v>1.0372682462079148</v>
      </c>
      <c r="Z355" s="290">
        <f t="shared" ca="1" si="75"/>
        <v>1.043646454458953</v>
      </c>
      <c r="AA355" s="290">
        <f t="shared" ca="1" si="75"/>
        <v>1.0496820639370459</v>
      </c>
      <c r="AB355" s="290">
        <f t="shared" ca="1" si="75"/>
        <v>1.0553830538852333</v>
      </c>
      <c r="AC355" s="290">
        <f t="shared" ca="1" si="75"/>
        <v>1.0607579216678846</v>
      </c>
      <c r="AD355" s="290">
        <f t="shared" ca="1" si="75"/>
        <v>1.0658156453050505</v>
      </c>
    </row>
    <row r="356" spans="1:30">
      <c r="A356" s="90">
        <v>270</v>
      </c>
      <c r="B356" s="90">
        <f t="shared" si="70"/>
        <v>1.08</v>
      </c>
      <c r="C356" s="291">
        <f t="shared" ca="1" si="71"/>
        <v>-1.6749273917672874E-2</v>
      </c>
      <c r="D356" s="292">
        <f t="shared" ca="1" si="72"/>
        <v>0.31611076185076531</v>
      </c>
      <c r="E356" s="291">
        <f t="shared" ca="1" si="73"/>
        <v>-1.6544962701093197E-2</v>
      </c>
      <c r="F356" s="293">
        <f t="shared" ca="1" si="74"/>
        <v>0.98790668116385127</v>
      </c>
      <c r="G356" s="90">
        <f t="shared" ca="1" si="69"/>
        <v>0.99856316032860792</v>
      </c>
      <c r="T356" s="289">
        <f t="shared" ref="T356:AD365" ca="1" si="76">EXP(T$82-$E356*T$83)</f>
        <v>1</v>
      </c>
      <c r="U356" s="290">
        <f t="shared" ca="1" si="76"/>
        <v>1.008083656760242</v>
      </c>
      <c r="V356" s="290">
        <f t="shared" ca="1" si="76"/>
        <v>1.0157925917088593</v>
      </c>
      <c r="W356" s="290">
        <f t="shared" ca="1" si="76"/>
        <v>1.0231317468882555</v>
      </c>
      <c r="X356" s="290">
        <f t="shared" ca="1" si="76"/>
        <v>1.0301067690033785</v>
      </c>
      <c r="Y356" s="290">
        <f t="shared" ca="1" si="76"/>
        <v>1.0367239714996868</v>
      </c>
      <c r="Z356" s="290">
        <f t="shared" ca="1" si="76"/>
        <v>1.0429902963040478</v>
      </c>
      <c r="AA356" s="290">
        <f t="shared" ca="1" si="76"/>
        <v>1.0489132754344832</v>
      </c>
      <c r="AB356" s="290">
        <f t="shared" ca="1" si="76"/>
        <v>1.0545009926736866</v>
      </c>
      <c r="AC356" s="290">
        <f t="shared" ca="1" si="76"/>
        <v>1.0597620454887027</v>
      </c>
      <c r="AD356" s="290">
        <f t="shared" ca="1" si="76"/>
        <v>1.064705507366279</v>
      </c>
    </row>
    <row r="357" spans="1:30">
      <c r="A357" s="90">
        <v>271</v>
      </c>
      <c r="B357" s="90">
        <f t="shared" si="70"/>
        <v>1.0840000000000001</v>
      </c>
      <c r="C357" s="291">
        <f t="shared" ca="1" si="71"/>
        <v>-1.6537804053786579E-2</v>
      </c>
      <c r="D357" s="292">
        <f t="shared" ca="1" si="72"/>
        <v>0.14471097416367723</v>
      </c>
      <c r="E357" s="291">
        <f t="shared" ca="1" si="73"/>
        <v>-1.644427330838991E-2</v>
      </c>
      <c r="F357" s="293">
        <f t="shared" ca="1" si="74"/>
        <v>0.98784150274074078</v>
      </c>
      <c r="G357" s="90">
        <f t="shared" ca="1" si="69"/>
        <v>0.99849727883047923</v>
      </c>
      <c r="T357" s="289">
        <f t="shared" ca="1" si="76"/>
        <v>1</v>
      </c>
      <c r="U357" s="290">
        <f t="shared" ca="1" si="76"/>
        <v>1.0080329801852694</v>
      </c>
      <c r="V357" s="290">
        <f t="shared" ca="1" si="76"/>
        <v>1.0156906145256646</v>
      </c>
      <c r="W357" s="290">
        <f t="shared" ca="1" si="76"/>
        <v>1.0229779036464626</v>
      </c>
      <c r="X357" s="290">
        <f t="shared" ca="1" si="76"/>
        <v>1.0299005513641653</v>
      </c>
      <c r="Y357" s="290">
        <f t="shared" ca="1" si="76"/>
        <v>1.0364649266079067</v>
      </c>
      <c r="Z357" s="290">
        <f t="shared" ca="1" si="76"/>
        <v>1.0426780250166638</v>
      </c>
      <c r="AA357" s="290">
        <f t="shared" ca="1" si="76"/>
        <v>1.0485474304181066</v>
      </c>
      <c r="AB357" s="290">
        <f t="shared" ca="1" si="76"/>
        <v>1.0540812763838459</v>
      </c>
      <c r="AC357" s="290">
        <f t="shared" ca="1" si="76"/>
        <v>1.0592882080432462</v>
      </c>
      <c r="AD357" s="290">
        <f t="shared" ca="1" si="76"/>
        <v>1.0641773443250133</v>
      </c>
    </row>
    <row r="358" spans="1:30">
      <c r="A358" s="90">
        <v>272</v>
      </c>
      <c r="B358" s="90">
        <f t="shared" si="70"/>
        <v>1.0880000000000001</v>
      </c>
      <c r="C358" s="291">
        <f t="shared" ca="1" si="71"/>
        <v>-1.643711700652746E-2</v>
      </c>
      <c r="D358" s="292">
        <f t="shared" ca="1" si="72"/>
        <v>0.41280567234792004</v>
      </c>
      <c r="E358" s="291">
        <f t="shared" ca="1" si="73"/>
        <v>-1.6170309167924952E-2</v>
      </c>
      <c r="F358" s="293">
        <f t="shared" ca="1" si="74"/>
        <v>0.98777706876592142</v>
      </c>
      <c r="G358" s="90">
        <f t="shared" ca="1" si="69"/>
        <v>0.99843214981095252</v>
      </c>
      <c r="T358" s="289">
        <f t="shared" ca="1" si="76"/>
        <v>1</v>
      </c>
      <c r="U358" s="290">
        <f t="shared" ca="1" si="76"/>
        <v>1.0078951080071661</v>
      </c>
      <c r="V358" s="290">
        <f t="shared" ca="1" si="76"/>
        <v>1.015413198277433</v>
      </c>
      <c r="W358" s="290">
        <f t="shared" ca="1" si="76"/>
        <v>1.0225594311459227</v>
      </c>
      <c r="X358" s="290">
        <f t="shared" ca="1" si="76"/>
        <v>1.0293396660757193</v>
      </c>
      <c r="Y358" s="290">
        <f t="shared" ca="1" si="76"/>
        <v>1.0357604231558046</v>
      </c>
      <c r="Z358" s="290">
        <f t="shared" ca="1" si="76"/>
        <v>1.0418288443100179</v>
      </c>
      <c r="AA358" s="290">
        <f t="shared" ca="1" si="76"/>
        <v>1.0475526544226208</v>
      </c>
      <c r="AB358" s="290">
        <f t="shared" ca="1" si="76"/>
        <v>1.0529401225747752</v>
      </c>
      <c r="AC358" s="290">
        <f t="shared" ca="1" si="76"/>
        <v>1.0580000235734466</v>
      </c>
      <c r="AD358" s="290">
        <f t="shared" ca="1" si="76"/>
        <v>1.0627415999411209</v>
      </c>
    </row>
    <row r="359" spans="1:30">
      <c r="A359" s="90">
        <v>273</v>
      </c>
      <c r="B359" s="90">
        <f t="shared" si="70"/>
        <v>1.0920000000000001</v>
      </c>
      <c r="C359" s="291">
        <f t="shared" ca="1" si="71"/>
        <v>-1.6163159247743621E-2</v>
      </c>
      <c r="D359" s="292">
        <f t="shared" ca="1" si="72"/>
        <v>-2.5012968556291799</v>
      </c>
      <c r="E359" s="291">
        <f t="shared" ca="1" si="73"/>
        <v>-1.7779817284339597E-2</v>
      </c>
      <c r="F359" s="293">
        <f t="shared" ca="1" si="74"/>
        <v>0.98771000073013293</v>
      </c>
      <c r="G359" s="90">
        <f t="shared" ca="1" si="69"/>
        <v>0.99836435831702819</v>
      </c>
      <c r="T359" s="289">
        <f t="shared" ca="1" si="76"/>
        <v>1</v>
      </c>
      <c r="U359" s="290">
        <f t="shared" ca="1" si="76"/>
        <v>1.0087053614626513</v>
      </c>
      <c r="V359" s="290">
        <f t="shared" ca="1" si="76"/>
        <v>1.0170440728295491</v>
      </c>
      <c r="W359" s="290">
        <f t="shared" ca="1" si="76"/>
        <v>1.0250203630443759</v>
      </c>
      <c r="X359" s="290">
        <f t="shared" ca="1" si="76"/>
        <v>1.0326391827966304</v>
      </c>
      <c r="Y359" s="290">
        <f t="shared" ca="1" si="76"/>
        <v>1.0399061685586319</v>
      </c>
      <c r="Z359" s="290">
        <f t="shared" ca="1" si="76"/>
        <v>1.0468276061308341</v>
      </c>
      <c r="AA359" s="290">
        <f t="shared" ca="1" si="76"/>
        <v>1.0534103939019779</v>
      </c>
      <c r="AB359" s="290">
        <f t="shared" ca="1" si="76"/>
        <v>1.0596620060205819</v>
      </c>
      <c r="AC359" s="290">
        <f t="shared" ca="1" si="76"/>
        <v>1.0655904556626183</v>
      </c>
      <c r="AD359" s="290">
        <f t="shared" ca="1" si="76"/>
        <v>1.0712042585681187</v>
      </c>
    </row>
    <row r="360" spans="1:30">
      <c r="A360" s="90">
        <v>274</v>
      </c>
      <c r="B360" s="90">
        <f t="shared" si="70"/>
        <v>1.0960000000000001</v>
      </c>
      <c r="C360" s="291">
        <f t="shared" ca="1" si="71"/>
        <v>-1.7772629872508675E-2</v>
      </c>
      <c r="D360" s="292">
        <f t="shared" ca="1" si="72"/>
        <v>-9.6190439779899384E-2</v>
      </c>
      <c r="E360" s="291">
        <f t="shared" ca="1" si="73"/>
        <v>-1.7834800441013533E-2</v>
      </c>
      <c r="F360" s="293">
        <f t="shared" ca="1" si="74"/>
        <v>0.98763964940749915</v>
      </c>
      <c r="G360" s="90">
        <f t="shared" ca="1" si="69"/>
        <v>0.99829324811967657</v>
      </c>
      <c r="T360" s="289">
        <f t="shared" ca="1" si="76"/>
        <v>1</v>
      </c>
      <c r="U360" s="290">
        <f t="shared" ca="1" si="76"/>
        <v>1.0087330524114031</v>
      </c>
      <c r="V360" s="290">
        <f t="shared" ca="1" si="76"/>
        <v>1.0170998321404068</v>
      </c>
      <c r="W360" s="290">
        <f t="shared" ca="1" si="76"/>
        <v>1.0251045366223812</v>
      </c>
      <c r="X360" s="290">
        <f t="shared" ca="1" si="76"/>
        <v>1.0327520857579435</v>
      </c>
      <c r="Y360" s="290">
        <f t="shared" ca="1" si="76"/>
        <v>1.0400480860388239</v>
      </c>
      <c r="Z360" s="290">
        <f t="shared" ca="1" si="76"/>
        <v>1.0469987941752938</v>
      </c>
      <c r="AA360" s="290">
        <f t="shared" ca="1" si="76"/>
        <v>1.0536110804317027</v>
      </c>
      <c r="AB360" s="290">
        <f t="shared" ca="1" si="76"/>
        <v>1.0598923918666765</v>
      </c>
      <c r="AC360" s="290">
        <f t="shared" ca="1" si="76"/>
        <v>1.0658507156629113</v>
      </c>
      <c r="AD360" s="290">
        <f t="shared" ca="1" si="76"/>
        <v>1.071494542719446</v>
      </c>
    </row>
    <row r="361" spans="1:30">
      <c r="A361" s="90">
        <v>275</v>
      </c>
      <c r="B361" s="90">
        <f t="shared" si="70"/>
        <v>1.1000000000000001</v>
      </c>
      <c r="C361" s="291">
        <f t="shared" ca="1" si="71"/>
        <v>-1.7827611748412901E-2</v>
      </c>
      <c r="D361" s="292">
        <f t="shared" ca="1" si="72"/>
        <v>1.0134251203153961</v>
      </c>
      <c r="E361" s="291">
        <f t="shared" ca="1" si="73"/>
        <v>-1.7172606781066066E-2</v>
      </c>
      <c r="F361" s="293">
        <f t="shared" ca="1" si="74"/>
        <v>0.9875705024213931</v>
      </c>
      <c r="G361" s="90">
        <f t="shared" ca="1" si="69"/>
        <v>0.99822335524994532</v>
      </c>
      <c r="T361" s="289">
        <f t="shared" ca="1" si="76"/>
        <v>1</v>
      </c>
      <c r="U361" s="290">
        <f t="shared" ca="1" si="76"/>
        <v>1.0083996049961834</v>
      </c>
      <c r="V361" s="290">
        <f t="shared" ca="1" si="76"/>
        <v>1.0164284940589914</v>
      </c>
      <c r="W361" s="290">
        <f t="shared" ca="1" si="76"/>
        <v>1.0240912455071458</v>
      </c>
      <c r="X361" s="290">
        <f t="shared" ca="1" si="76"/>
        <v>1.0313931512266754</v>
      </c>
      <c r="Y361" s="290">
        <f t="shared" ca="1" si="76"/>
        <v>1.0383401797357279</v>
      </c>
      <c r="Z361" s="290">
        <f t="shared" ca="1" si="76"/>
        <v>1.0449389388329651</v>
      </c>
      <c r="AA361" s="290">
        <f t="shared" ca="1" si="76"/>
        <v>1.0511966380358637</v>
      </c>
      <c r="AB361" s="290">
        <f t="shared" ca="1" si="76"/>
        <v>1.0571210510047317</v>
      </c>
      <c r="AC361" s="290">
        <f t="shared" ca="1" si="76"/>
        <v>1.0627204781361672</v>
      </c>
      <c r="AD361" s="290">
        <f t="shared" ca="1" si="76"/>
        <v>1.0680037094971946</v>
      </c>
    </row>
    <row r="362" spans="1:30">
      <c r="A362" s="90">
        <v>276</v>
      </c>
      <c r="B362" s="90">
        <f t="shared" si="70"/>
        <v>1.1040000000000001</v>
      </c>
      <c r="C362" s="291">
        <f t="shared" ca="1" si="71"/>
        <v>-1.7165433513508903E-2</v>
      </c>
      <c r="D362" s="292">
        <f t="shared" ca="1" si="72"/>
        <v>1.8179725390244923</v>
      </c>
      <c r="E362" s="291">
        <f t="shared" ca="1" si="73"/>
        <v>-1.5990427072785796E-2</v>
      </c>
      <c r="F362" s="293">
        <f t="shared" ca="1" si="74"/>
        <v>0.98750500292556931</v>
      </c>
      <c r="G362" s="90">
        <f t="shared" ca="1" si="69"/>
        <v>0.99815714921571486</v>
      </c>
      <c r="T362" s="289">
        <f t="shared" ca="1" si="76"/>
        <v>1</v>
      </c>
      <c r="U362" s="290">
        <f t="shared" ca="1" si="76"/>
        <v>1.0078045927794166</v>
      </c>
      <c r="V362" s="290">
        <f t="shared" ca="1" si="76"/>
        <v>1.0152310907723987</v>
      </c>
      <c r="W362" s="290">
        <f t="shared" ca="1" si="76"/>
        <v>1.0222847594208611</v>
      </c>
      <c r="X362" s="290">
        <f t="shared" ca="1" si="76"/>
        <v>1.0289715605790444</v>
      </c>
      <c r="Y362" s="290">
        <f t="shared" ca="1" si="76"/>
        <v>1.0352981137354185</v>
      </c>
      <c r="Z362" s="290">
        <f t="shared" ca="1" si="76"/>
        <v>1.0412716569688862</v>
      </c>
      <c r="AA362" s="290">
        <f t="shared" ca="1" si="76"/>
        <v>1.0469000078446931</v>
      </c>
      <c r="AB362" s="290">
        <f t="shared" ca="1" si="76"/>
        <v>1.0521915244440216</v>
      </c>
      <c r="AC362" s="290">
        <f t="shared" ca="1" si="76"/>
        <v>1.0571550667083438</v>
      </c>
      <c r="AD362" s="290">
        <f t="shared" ca="1" si="76"/>
        <v>1.0617999582663593</v>
      </c>
    </row>
    <row r="363" spans="1:30">
      <c r="A363" s="90">
        <v>277</v>
      </c>
      <c r="B363" s="90">
        <f t="shared" si="70"/>
        <v>1.1080000000000001</v>
      </c>
      <c r="C363" s="291">
        <f t="shared" ca="1" si="71"/>
        <v>-1.5983281342752009E-2</v>
      </c>
      <c r="D363" s="292">
        <f t="shared" ca="1" si="72"/>
        <v>-0.7848108343768837</v>
      </c>
      <c r="E363" s="291">
        <f t="shared" ca="1" si="73"/>
        <v>-1.6490526510292841E-2</v>
      </c>
      <c r="F363" s="293">
        <f t="shared" ca="1" si="74"/>
        <v>0.98744085480085797</v>
      </c>
      <c r="G363" s="90">
        <f t="shared" ca="1" si="69"/>
        <v>0.9980923091297409</v>
      </c>
      <c r="T363" s="289">
        <f t="shared" ca="1" si="76"/>
        <v>1</v>
      </c>
      <c r="U363" s="290">
        <f t="shared" ca="1" si="76"/>
        <v>1.0080562589233615</v>
      </c>
      <c r="V363" s="290">
        <f t="shared" ca="1" si="76"/>
        <v>1.0157374580223717</v>
      </c>
      <c r="W363" s="290">
        <f t="shared" ca="1" si="76"/>
        <v>1.0230485710036028</v>
      </c>
      <c r="X363" s="290">
        <f t="shared" ca="1" si="76"/>
        <v>1.029995275442195</v>
      </c>
      <c r="Y363" s="290">
        <f t="shared" ca="1" si="76"/>
        <v>1.0365839147751212</v>
      </c>
      <c r="Z363" s="290">
        <f t="shared" ca="1" si="76"/>
        <v>1.0428214599643364</v>
      </c>
      <c r="AA363" s="290">
        <f t="shared" ca="1" si="76"/>
        <v>1.0487154710356854</v>
      </c>
      <c r="AB363" s="290">
        <f t="shared" ca="1" si="76"/>
        <v>1.0542740586884076</v>
      </c>
      <c r="AC363" s="290">
        <f t="shared" ca="1" si="76"/>
        <v>1.0595058461575033</v>
      </c>
      <c r="AD363" s="290">
        <f t="shared" ca="1" si="76"/>
        <v>1.064419931498314</v>
      </c>
    </row>
    <row r="364" spans="1:30">
      <c r="A364" s="90">
        <v>278</v>
      </c>
      <c r="B364" s="90">
        <f t="shared" si="70"/>
        <v>1.1120000000000001</v>
      </c>
      <c r="C364" s="291">
        <f t="shared" ca="1" si="71"/>
        <v>-1.6483369131014988E-2</v>
      </c>
      <c r="D364" s="292">
        <f t="shared" ca="1" si="72"/>
        <v>-0.47077534113792413</v>
      </c>
      <c r="E364" s="291">
        <f t="shared" ca="1" si="73"/>
        <v>-1.6787644386056795E-2</v>
      </c>
      <c r="F364" s="293">
        <f t="shared" ca="1" si="74"/>
        <v>0.98737513653683362</v>
      </c>
      <c r="G364" s="90">
        <f t="shared" ca="1" si="69"/>
        <v>0.99802588196747277</v>
      </c>
      <c r="T364" s="289">
        <f t="shared" ca="1" si="76"/>
        <v>1</v>
      </c>
      <c r="U364" s="290">
        <f t="shared" ca="1" si="76"/>
        <v>1.0082058079671004</v>
      </c>
      <c r="V364" s="290">
        <f t="shared" ca="1" si="76"/>
        <v>1.0160384193071663</v>
      </c>
      <c r="W364" s="290">
        <f t="shared" ca="1" si="76"/>
        <v>1.0235026351264669</v>
      </c>
      <c r="X364" s="290">
        <f t="shared" ca="1" si="76"/>
        <v>1.0306039646913518</v>
      </c>
      <c r="Y364" s="290">
        <f t="shared" ca="1" si="76"/>
        <v>1.0373485878855657</v>
      </c>
      <c r="Z364" s="290">
        <f t="shared" ca="1" si="76"/>
        <v>1.0437433172996293</v>
      </c>
      <c r="AA364" s="290">
        <f t="shared" ca="1" si="76"/>
        <v>1.049795560158387</v>
      </c>
      <c r="AB364" s="290">
        <f t="shared" ca="1" si="76"/>
        <v>1.0555132802820064</v>
      </c>
      <c r="AC364" s="290">
        <f t="shared" ca="1" si="76"/>
        <v>1.0609049602633571</v>
      </c>
      <c r="AD364" s="290">
        <f t="shared" ca="1" si="76"/>
        <v>1.0659795640319689</v>
      </c>
    </row>
    <row r="365" spans="1:30">
      <c r="A365" s="90">
        <v>279</v>
      </c>
      <c r="B365" s="90">
        <f t="shared" si="70"/>
        <v>1.1160000000000001</v>
      </c>
      <c r="C365" s="291">
        <f t="shared" ca="1" si="71"/>
        <v>-1.6780480085758061E-2</v>
      </c>
      <c r="D365" s="292">
        <f t="shared" ca="1" si="72"/>
        <v>-3.0515148771527252</v>
      </c>
      <c r="E365" s="291">
        <f t="shared" ca="1" si="73"/>
        <v>-1.875275940112154E-2</v>
      </c>
      <c r="F365" s="293">
        <f t="shared" ca="1" si="74"/>
        <v>0.98730495560903775</v>
      </c>
      <c r="G365" s="90">
        <f t="shared" ca="1" si="69"/>
        <v>0.99795494400299611</v>
      </c>
      <c r="T365" s="289">
        <f t="shared" ca="1" si="76"/>
        <v>1</v>
      </c>
      <c r="U365" s="290">
        <f t="shared" ca="1" si="76"/>
        <v>1.0091954727393506</v>
      </c>
      <c r="V365" s="290">
        <f t="shared" ca="1" si="76"/>
        <v>1.0180312008986647</v>
      </c>
      <c r="W365" s="290">
        <f t="shared" ca="1" si="76"/>
        <v>1.0265108591870766</v>
      </c>
      <c r="X365" s="290">
        <f t="shared" ca="1" si="76"/>
        <v>1.0346388562734372</v>
      </c>
      <c r="Y365" s="290">
        <f t="shared" ca="1" si="76"/>
        <v>1.0424203004153136</v>
      </c>
      <c r="Z365" s="290">
        <f t="shared" ca="1" si="76"/>
        <v>1.0498609644788204</v>
      </c>
      <c r="AA365" s="290">
        <f t="shared" ca="1" si="76"/>
        <v>1.0569672505558054</v>
      </c>
      <c r="AB365" s="290">
        <f t="shared" ca="1" si="76"/>
        <v>1.0637461543756304</v>
      </c>
      <c r="AC365" s="290">
        <f t="shared" ca="1" si="76"/>
        <v>1.0702052296978446</v>
      </c>
      <c r="AD365" s="290">
        <f t="shared" ca="1" si="76"/>
        <v>1.0763525528605986</v>
      </c>
    </row>
    <row r="366" spans="1:30">
      <c r="A366" s="90">
        <v>280</v>
      </c>
      <c r="B366" s="90">
        <f t="shared" si="70"/>
        <v>1.1200000000000001</v>
      </c>
      <c r="C366" s="291">
        <f t="shared" ca="1" si="71"/>
        <v>-1.8745549325717478E-2</v>
      </c>
      <c r="D366" s="292">
        <f t="shared" ca="1" si="72"/>
        <v>0.79240211985678599</v>
      </c>
      <c r="E366" s="291">
        <f t="shared" ca="1" si="73"/>
        <v>-1.8233397698293019E-2</v>
      </c>
      <c r="F366" s="293">
        <f ca="1">F365*EXP($B$81*(E365+E366)/2)</f>
        <v>0.98723192507780344</v>
      </c>
      <c r="G366" s="90">
        <f t="shared" ca="1" si="69"/>
        <v>0.99788112569661125</v>
      </c>
      <c r="T366" s="289">
        <f t="shared" ref="T366:AD375" ca="1" si="77">EXP(T$82-$E366*T$83)</f>
        <v>1</v>
      </c>
      <c r="U366" s="290">
        <f t="shared" ca="1" si="77"/>
        <v>1.0089338190963737</v>
      </c>
      <c r="V366" s="290">
        <f t="shared" ca="1" si="77"/>
        <v>1.0175041475037203</v>
      </c>
      <c r="W366" s="290">
        <f t="shared" ca="1" si="77"/>
        <v>1.0257149548984901</v>
      </c>
      <c r="X366" s="290">
        <f t="shared" ca="1" si="77"/>
        <v>1.0335709385331502</v>
      </c>
      <c r="Y366" s="290">
        <f t="shared" ca="1" si="77"/>
        <v>1.041077488010244</v>
      </c>
      <c r="Z366" s="290">
        <f t="shared" ca="1" si="77"/>
        <v>1.0482406495094989</v>
      </c>
      <c r="AA366" s="290">
        <f t="shared" ca="1" si="77"/>
        <v>1.05506708967457</v>
      </c>
      <c r="AB366" s="290">
        <f t="shared" ca="1" si="77"/>
        <v>1.061564059356316</v>
      </c>
      <c r="AC366" s="290">
        <f t="shared" ca="1" si="77"/>
        <v>1.0677393573981813</v>
      </c>
      <c r="AD366" s="290">
        <f t="shared" ca="1" si="77"/>
        <v>1.0736012946374613</v>
      </c>
    </row>
    <row r="367" spans="1:30">
      <c r="A367" s="90">
        <v>281</v>
      </c>
      <c r="B367" s="90">
        <f t="shared" si="70"/>
        <v>1.1240000000000001</v>
      </c>
      <c r="C367" s="291">
        <f t="shared" ca="1" si="71"/>
        <v>-1.822619972082545E-2</v>
      </c>
      <c r="D367" s="292">
        <f t="shared" ca="1" si="72"/>
        <v>-1.6180479548628712</v>
      </c>
      <c r="E367" s="291">
        <f t="shared" ca="1" si="73"/>
        <v>-1.927198931750599E-2</v>
      </c>
      <c r="F367" s="293">
        <f ca="1">F366*EXP($B$81*(E366+E367)/2)</f>
        <v>0.98715787482427275</v>
      </c>
      <c r="G367" s="90">
        <f t="shared" ca="1" si="69"/>
        <v>0.99780627666825805</v>
      </c>
      <c r="T367" s="289">
        <f t="shared" ca="1" si="77"/>
        <v>1</v>
      </c>
      <c r="U367" s="290">
        <f t="shared" ca="1" si="77"/>
        <v>1.0094571278191009</v>
      </c>
      <c r="V367" s="290">
        <f t="shared" ca="1" si="77"/>
        <v>1.0185583934580411</v>
      </c>
      <c r="W367" s="290">
        <f t="shared" ca="1" si="77"/>
        <v>1.0273071788648283</v>
      </c>
      <c r="X367" s="290">
        <f t="shared" ca="1" si="77"/>
        <v>1.0357076060187509</v>
      </c>
      <c r="Y367" s="290">
        <f t="shared" ca="1" si="77"/>
        <v>1.0437645034254615</v>
      </c>
      <c r="Z367" s="290">
        <f t="shared" ca="1" si="77"/>
        <v>1.0514833719418293</v>
      </c>
      <c r="AA367" s="290">
        <f t="shared" ca="1" si="77"/>
        <v>1.0588703501368988</v>
      </c>
      <c r="AB367" s="290">
        <f t="shared" ca="1" si="77"/>
        <v>1.0659321793864216</v>
      </c>
      <c r="AC367" s="290">
        <f t="shared" ca="1" si="77"/>
        <v>1.0726761688878625</v>
      </c>
      <c r="AD367" s="290">
        <f t="shared" ca="1" si="77"/>
        <v>1.0791101607716767</v>
      </c>
    </row>
    <row r="368" spans="1:30">
      <c r="A368" s="90">
        <v>282</v>
      </c>
      <c r="B368" s="90">
        <f t="shared" si="70"/>
        <v>1.1280000000000001</v>
      </c>
      <c r="C368" s="291">
        <f t="shared" ca="1" si="71"/>
        <v>-1.9264767147235254E-2</v>
      </c>
      <c r="D368" s="292">
        <f t="shared" ca="1" si="72"/>
        <v>0.37279758982888378</v>
      </c>
      <c r="E368" s="291">
        <f t="shared" ca="1" si="73"/>
        <v>-1.9023817650071762E-2</v>
      </c>
      <c r="F368" s="293">
        <f ca="1">F367*EXP($B$81*(E367+E368)/2)</f>
        <v>0.98708226970482726</v>
      </c>
      <c r="G368" s="90">
        <f t="shared" ca="1" si="69"/>
        <v>0.99772985600176189</v>
      </c>
      <c r="T368" s="289">
        <f t="shared" ca="1" si="77"/>
        <v>1</v>
      </c>
      <c r="U368" s="290">
        <f t="shared" ca="1" si="77"/>
        <v>1.0093320584243863</v>
      </c>
      <c r="V368" s="290">
        <f t="shared" ca="1" si="77"/>
        <v>1.0183063819063589</v>
      </c>
      <c r="W368" s="290">
        <f t="shared" ca="1" si="77"/>
        <v>1.026926492049657</v>
      </c>
      <c r="X368" s="290">
        <f t="shared" ca="1" si="77"/>
        <v>1.0351966476259824</v>
      </c>
      <c r="Y368" s="290">
        <f t="shared" ca="1" si="77"/>
        <v>1.0431218106547382</v>
      </c>
      <c r="Z368" s="290">
        <f t="shared" ca="1" si="77"/>
        <v>1.0507076118415763</v>
      </c>
      <c r="AA368" s="290">
        <f t="shared" ca="1" si="77"/>
        <v>1.0579603155821971</v>
      </c>
      <c r="AB368" s="290">
        <f t="shared" ca="1" si="77"/>
        <v>1.0648867847287762</v>
      </c>
      <c r="AC368" s="290">
        <f t="shared" ca="1" si="77"/>
        <v>1.0714944453056428</v>
      </c>
      <c r="AD368" s="290">
        <f t="shared" ca="1" si="77"/>
        <v>1.077791251349568</v>
      </c>
    </row>
    <row r="369" spans="1:30">
      <c r="A369" s="90">
        <v>283</v>
      </c>
      <c r="B369" s="90">
        <f t="shared" si="70"/>
        <v>1.1320000000000001</v>
      </c>
      <c r="C369" s="291">
        <f t="shared" ca="1" si="71"/>
        <v>-1.9016601260675999E-2</v>
      </c>
      <c r="D369" s="292">
        <f t="shared" ca="1" si="72"/>
        <v>0.80764246314498733</v>
      </c>
      <c r="E369" s="291">
        <f t="shared" ca="1" si="73"/>
        <v>-1.8494599373614466E-2</v>
      </c>
      <c r="F369" s="293">
        <f t="shared" ca="1" si="74"/>
        <v>0.98700820495519126</v>
      </c>
      <c r="G369" s="90">
        <f t="shared" ca="1" si="69"/>
        <v>0.99765499232093491</v>
      </c>
      <c r="T369" s="289">
        <f t="shared" ca="1" si="77"/>
        <v>1</v>
      </c>
      <c r="U369" s="290">
        <f t="shared" ca="1" si="77"/>
        <v>1.009065403625991</v>
      </c>
      <c r="V369" s="290">
        <f t="shared" ca="1" si="77"/>
        <v>1.0177691834325133</v>
      </c>
      <c r="W369" s="290">
        <f t="shared" ca="1" si="77"/>
        <v>1.0261151604888237</v>
      </c>
      <c r="X369" s="290">
        <f t="shared" ca="1" si="77"/>
        <v>1.034107886689644</v>
      </c>
      <c r="Y369" s="290">
        <f t="shared" ca="1" si="77"/>
        <v>1.0417526099577494</v>
      </c>
      <c r="Z369" s="290">
        <f t="shared" ca="1" si="77"/>
        <v>1.0490552388681722</v>
      </c>
      <c r="AA369" s="290">
        <f t="shared" ca="1" si="77"/>
        <v>1.0560223069005932</v>
      </c>
      <c r="AB369" s="290">
        <f t="shared" ca="1" si="77"/>
        <v>1.0626609365170065</v>
      </c>
      <c r="AC369" s="290">
        <f t="shared" ca="1" si="77"/>
        <v>1.0689788032506062</v>
      </c>
      <c r="AD369" s="290">
        <f t="shared" ca="1" si="77"/>
        <v>1.0749840999802278</v>
      </c>
    </row>
    <row r="370" spans="1:30">
      <c r="A370" s="90">
        <v>284</v>
      </c>
      <c r="B370" s="90">
        <f t="shared" si="70"/>
        <v>1.1360000000000001</v>
      </c>
      <c r="C370" s="291">
        <f t="shared" ca="1" si="71"/>
        <v>-1.8487395311752797E-2</v>
      </c>
      <c r="D370" s="292">
        <f t="shared" ca="1" si="72"/>
        <v>0.11257999463305118</v>
      </c>
      <c r="E370" s="291">
        <f t="shared" ca="1" si="73"/>
        <v>-1.841463171607088E-2</v>
      </c>
      <c r="F370" s="293">
        <f t="shared" ca="1" si="74"/>
        <v>0.98693534821646234</v>
      </c>
      <c r="G370" s="90">
        <f t="shared" ca="1" si="69"/>
        <v>0.99758134968174283</v>
      </c>
      <c r="T370" s="289">
        <f t="shared" ca="1" si="77"/>
        <v>1</v>
      </c>
      <c r="U370" s="290">
        <f t="shared" ca="1" si="77"/>
        <v>1.0090251168144337</v>
      </c>
      <c r="V370" s="290">
        <f t="shared" ca="1" si="77"/>
        <v>1.0176880345754875</v>
      </c>
      <c r="W370" s="290">
        <f t="shared" ca="1" si="77"/>
        <v>1.0259926197937352</v>
      </c>
      <c r="X370" s="290">
        <f t="shared" ca="1" si="77"/>
        <v>1.0339434688187574</v>
      </c>
      <c r="Y370" s="290">
        <f t="shared" ca="1" si="77"/>
        <v>1.04154587291022</v>
      </c>
      <c r="Z370" s="290">
        <f t="shared" ca="1" si="77"/>
        <v>1.0488057827401629</v>
      </c>
      <c r="AA370" s="290">
        <f t="shared" ca="1" si="77"/>
        <v>1.0557297725330783</v>
      </c>
      <c r="AB370" s="290">
        <f t="shared" ca="1" si="77"/>
        <v>1.0623250040408059</v>
      </c>
      <c r="AC370" s="290">
        <f t="shared" ca="1" si="77"/>
        <v>1.0685991905380887</v>
      </c>
      <c r="AD370" s="290">
        <f t="shared" ca="1" si="77"/>
        <v>1.0745605610129481</v>
      </c>
    </row>
    <row r="371" spans="1:30">
      <c r="A371" s="90">
        <v>285</v>
      </c>
      <c r="B371" s="90">
        <f t="shared" si="70"/>
        <v>1.1400000000000001</v>
      </c>
      <c r="C371" s="291">
        <f t="shared" ca="1" si="71"/>
        <v>-1.8407429516964276E-2</v>
      </c>
      <c r="D371" s="292">
        <f t="shared" ca="1" si="72"/>
        <v>-0.69598958827426938</v>
      </c>
      <c r="E371" s="291">
        <f t="shared" ca="1" si="73"/>
        <v>-1.8857267031747262E-2</v>
      </c>
      <c r="F371" s="293">
        <f t="shared" ca="1" si="74"/>
        <v>0.98686178104974565</v>
      </c>
      <c r="G371" s="90">
        <f t="shared" ca="1" si="69"/>
        <v>0.9975069889512268</v>
      </c>
      <c r="T371" s="289">
        <f t="shared" ca="1" si="77"/>
        <v>1</v>
      </c>
      <c r="U371" s="290">
        <f t="shared" ca="1" si="77"/>
        <v>1.0092481317264765</v>
      </c>
      <c r="V371" s="290">
        <f t="shared" ca="1" si="77"/>
        <v>1.0181372892664931</v>
      </c>
      <c r="W371" s="290">
        <f t="shared" ca="1" si="77"/>
        <v>1.0266710882291339</v>
      </c>
      <c r="X371" s="290">
        <f t="shared" ca="1" si="77"/>
        <v>1.034853879430166</v>
      </c>
      <c r="Y371" s="290">
        <f t="shared" ca="1" si="77"/>
        <v>1.0426907146944584</v>
      </c>
      <c r="Z371" s="290">
        <f t="shared" ca="1" si="77"/>
        <v>1.0501873120368512</v>
      </c>
      <c r="AA371" s="290">
        <f t="shared" ca="1" si="77"/>
        <v>1.0573500204279678</v>
      </c>
      <c r="AB371" s="290">
        <f t="shared" ca="1" si="77"/>
        <v>1.0641857843422686</v>
      </c>
      <c r="AC371" s="290">
        <f t="shared" ca="1" si="77"/>
        <v>1.0707021082747725</v>
      </c>
      <c r="AD371" s="290">
        <f t="shared" ca="1" si="77"/>
        <v>1.0769070214014931</v>
      </c>
    </row>
    <row r="372" spans="1:30">
      <c r="A372" s="90">
        <v>286</v>
      </c>
      <c r="B372" s="90">
        <f t="shared" si="70"/>
        <v>1.1440000000000001</v>
      </c>
      <c r="C372" s="291">
        <f t="shared" ca="1" si="71"/>
        <v>-1.8850054521957548E-2</v>
      </c>
      <c r="D372" s="292">
        <f t="shared" ca="1" si="72"/>
        <v>0.63019690858694422</v>
      </c>
      <c r="E372" s="291">
        <f t="shared" ca="1" si="73"/>
        <v>-1.8442740654108485E-2</v>
      </c>
      <c r="F372" s="293">
        <f t="shared" ca="1" si="74"/>
        <v>0.98678816389166435</v>
      </c>
      <c r="G372" s="90">
        <f t="shared" ca="1" si="69"/>
        <v>0.99743257769009275</v>
      </c>
      <c r="T372" s="289">
        <f t="shared" ca="1" si="77"/>
        <v>1</v>
      </c>
      <c r="U372" s="290">
        <f t="shared" ca="1" si="77"/>
        <v>1.0090392775997377</v>
      </c>
      <c r="V372" s="290">
        <f t="shared" ca="1" si="77"/>
        <v>1.0177165579722087</v>
      </c>
      <c r="W372" s="290">
        <f t="shared" ca="1" si="77"/>
        <v>1.0260356916495987</v>
      </c>
      <c r="X372" s="290">
        <f t="shared" ca="1" si="77"/>
        <v>1.034001259350684</v>
      </c>
      <c r="Y372" s="290">
        <f t="shared" ca="1" si="77"/>
        <v>1.0416185370981064</v>
      </c>
      <c r="Z372" s="290">
        <f t="shared" ca="1" si="77"/>
        <v>1.048893460763481</v>
      </c>
      <c r="AA372" s="290">
        <f t="shared" ca="1" si="77"/>
        <v>1.0558325902469166</v>
      </c>
      <c r="AB372" s="290">
        <f t="shared" ca="1" si="77"/>
        <v>1.0624430734879937</v>
      </c>
      <c r="AC372" s="290">
        <f t="shared" ca="1" si="77"/>
        <v>1.0687326104940857</v>
      </c>
      <c r="AD372" s="290">
        <f t="shared" ca="1" si="77"/>
        <v>1.0747094175602416</v>
      </c>
    </row>
    <row r="373" spans="1:30">
      <c r="A373" s="90">
        <v>287</v>
      </c>
      <c r="B373" s="90">
        <f t="shared" si="70"/>
        <v>1.1480000000000001</v>
      </c>
      <c r="C373" s="291">
        <f t="shared" ca="1" si="71"/>
        <v>-1.8435537800236337E-2</v>
      </c>
      <c r="D373" s="292">
        <f t="shared" ca="1" si="72"/>
        <v>-1.027794274301586</v>
      </c>
      <c r="E373" s="291">
        <f t="shared" ca="1" si="73"/>
        <v>-1.9099829953235919E-2</v>
      </c>
      <c r="F373" s="293">
        <f t="shared" ca="1" si="74"/>
        <v>0.98671407354460638</v>
      </c>
      <c r="G373" s="90">
        <f t="shared" ca="1" si="69"/>
        <v>0.99735768813572634</v>
      </c>
      <c r="T373" s="289">
        <f t="shared" ca="1" si="77"/>
        <v>1</v>
      </c>
      <c r="U373" s="290">
        <f t="shared" ca="1" si="77"/>
        <v>1.0093703641837528</v>
      </c>
      <c r="V373" s="290">
        <f t="shared" ca="1" si="77"/>
        <v>1.0183835636996841</v>
      </c>
      <c r="W373" s="290">
        <f t="shared" ca="1" si="77"/>
        <v>1.027043077322862</v>
      </c>
      <c r="X373" s="290">
        <f t="shared" ca="1" si="77"/>
        <v>1.0353531218808327</v>
      </c>
      <c r="Y373" s="290">
        <f t="shared" ca="1" si="77"/>
        <v>1.043318618460306</v>
      </c>
      <c r="Z373" s="290">
        <f t="shared" ca="1" si="77"/>
        <v>1.0509451579637288</v>
      </c>
      <c r="AA373" s="290">
        <f t="shared" ca="1" si="77"/>
        <v>1.0582389662221547</v>
      </c>
      <c r="AB373" s="290">
        <f t="shared" ca="1" si="77"/>
        <v>1.0652068688618237</v>
      </c>
      <c r="AC373" s="290">
        <f t="shared" ca="1" si="77"/>
        <v>1.0718562561111564</v>
      </c>
      <c r="AD373" s="290">
        <f t="shared" ca="1" si="77"/>
        <v>1.0781950477236644</v>
      </c>
    </row>
    <row r="374" spans="1:30">
      <c r="A374" s="90">
        <v>288</v>
      </c>
      <c r="B374" s="90">
        <f t="shared" si="70"/>
        <v>1.1520000000000001</v>
      </c>
      <c r="C374" s="291">
        <f t="shared" ca="1" si="71"/>
        <v>-1.9092611793220547E-2</v>
      </c>
      <c r="D374" s="292">
        <f t="shared" ca="1" si="72"/>
        <v>0.80537015030071701</v>
      </c>
      <c r="E374" s="291">
        <f t="shared" ca="1" si="73"/>
        <v>-1.8572078565431936E-2</v>
      </c>
      <c r="F374" s="293">
        <f t="shared" ca="1" si="74"/>
        <v>0.98663973354054602</v>
      </c>
      <c r="G374" s="90">
        <f t="shared" ca="1" si="69"/>
        <v>0.99728254623132517</v>
      </c>
      <c r="T374" s="289">
        <f t="shared" ca="1" si="77"/>
        <v>1</v>
      </c>
      <c r="U374" s="290">
        <f t="shared" ca="1" si="77"/>
        <v>1.0091044383105519</v>
      </c>
      <c r="V374" s="290">
        <f t="shared" ca="1" si="77"/>
        <v>1.0178478132385476</v>
      </c>
      <c r="W374" s="290">
        <f t="shared" ca="1" si="77"/>
        <v>1.0262339018729874</v>
      </c>
      <c r="X374" s="290">
        <f t="shared" ca="1" si="77"/>
        <v>1.0342672130770598</v>
      </c>
      <c r="Y374" s="290">
        <f t="shared" ca="1" si="77"/>
        <v>1.0419529528184082</v>
      </c>
      <c r="Z374" s="290">
        <f t="shared" ca="1" si="77"/>
        <v>1.0492969889117434</v>
      </c>
      <c r="AA374" s="290">
        <f t="shared" ca="1" si="77"/>
        <v>1.0563058153803639</v>
      </c>
      <c r="AB374" s="290">
        <f t="shared" ca="1" si="77"/>
        <v>1.0629865166337185</v>
      </c>
      <c r="AC374" s="290">
        <f t="shared" ca="1" si="77"/>
        <v>1.0693467316470695</v>
      </c>
      <c r="AD374" s="290">
        <f t="shared" ca="1" si="77"/>
        <v>1.0753946183177461</v>
      </c>
    </row>
    <row r="375" spans="1:30">
      <c r="A375" s="90">
        <v>289</v>
      </c>
      <c r="B375" s="90">
        <f t="shared" si="70"/>
        <v>1.1559999999999999</v>
      </c>
      <c r="C375" s="291">
        <f t="shared" ca="1" si="71"/>
        <v>-1.8564872698781165E-2</v>
      </c>
      <c r="D375" s="292">
        <f t="shared" ca="1" si="72"/>
        <v>-2.9036889080292713E-2</v>
      </c>
      <c r="E375" s="291">
        <f t="shared" ca="1" si="73"/>
        <v>-1.8583640051398169E-2</v>
      </c>
      <c r="F375" s="293">
        <f t="shared" ca="1" si="74"/>
        <v>0.9865664176480532</v>
      </c>
      <c r="G375" s="90">
        <f t="shared" ca="1" si="69"/>
        <v>0.99720843948551019</v>
      </c>
      <c r="T375" s="289">
        <f t="shared" ca="1" si="77"/>
        <v>1</v>
      </c>
      <c r="U375" s="290">
        <f t="shared" ca="1" si="77"/>
        <v>1.0091102632162927</v>
      </c>
      <c r="V375" s="290">
        <f t="shared" ca="1" si="77"/>
        <v>1.0178595469406315</v>
      </c>
      <c r="W375" s="290">
        <f t="shared" ca="1" si="77"/>
        <v>1.0262516217032478</v>
      </c>
      <c r="X375" s="290">
        <f t="shared" ca="1" si="77"/>
        <v>1.0342909899495372</v>
      </c>
      <c r="Y375" s="290">
        <f t="shared" ca="1" si="77"/>
        <v>1.0419828513893987</v>
      </c>
      <c r="Z375" s="290">
        <f t="shared" ca="1" si="77"/>
        <v>1.0493330677575425</v>
      </c>
      <c r="AA375" s="290">
        <f t="shared" ca="1" si="77"/>
        <v>1.0563481271913182</v>
      </c>
      <c r="AB375" s="290">
        <f t="shared" ca="1" si="77"/>
        <v>1.0630351084232141</v>
      </c>
      <c r="AC375" s="290">
        <f t="shared" ca="1" si="77"/>
        <v>1.0694016449740946</v>
      </c>
      <c r="AD375" s="290">
        <f t="shared" ca="1" si="77"/>
        <v>1.0754558895216915</v>
      </c>
    </row>
    <row r="376" spans="1:30">
      <c r="A376" s="90">
        <v>290</v>
      </c>
      <c r="B376" s="90">
        <f t="shared" si="70"/>
        <v>1.1599999999999999</v>
      </c>
      <c r="C376" s="291">
        <f t="shared" ca="1" si="71"/>
        <v>-1.8576433915435814E-2</v>
      </c>
      <c r="D376" s="292">
        <f t="shared" ca="1" si="72"/>
        <v>0.50770101913086796</v>
      </c>
      <c r="E376" s="291">
        <f t="shared" ca="1" si="73"/>
        <v>-1.824829256311343E-2</v>
      </c>
      <c r="F376" s="293">
        <f t="shared" ca="1" si="74"/>
        <v>0.98649374602909312</v>
      </c>
      <c r="G376" s="90">
        <f t="shared" ca="1" si="69"/>
        <v>0.99713498396296074</v>
      </c>
      <c r="T376" s="289">
        <f t="shared" ref="T376:AD385" ca="1" si="78">EXP(T$82-$E376*T$83)</f>
        <v>1</v>
      </c>
      <c r="U376" s="290">
        <f t="shared" ca="1" si="78"/>
        <v>1.0089413221618508</v>
      </c>
      <c r="V376" s="290">
        <f t="shared" ca="1" si="78"/>
        <v>1.0175192591586859</v>
      </c>
      <c r="W376" s="290">
        <f t="shared" ca="1" si="78"/>
        <v>1.0257377721788239</v>
      </c>
      <c r="X376" s="290">
        <f t="shared" ca="1" si="78"/>
        <v>1.0336015501740174</v>
      </c>
      <c r="Y376" s="290">
        <f t="shared" ca="1" si="78"/>
        <v>1.0411159746578702</v>
      </c>
      <c r="Z376" s="290">
        <f t="shared" ca="1" si="78"/>
        <v>1.0482870839555003</v>
      </c>
      <c r="AA376" s="290">
        <f t="shared" ca="1" si="78"/>
        <v>1.0551215371110423</v>
      </c>
      <c r="AB376" s="290">
        <f t="shared" ca="1" si="78"/>
        <v>1.0616265776498905</v>
      </c>
      <c r="AC376" s="290">
        <f t="shared" ca="1" si="78"/>
        <v>1.067809997381284</v>
      </c>
      <c r="AD376" s="290">
        <f t="shared" ca="1" si="78"/>
        <v>1.0736801004150398</v>
      </c>
    </row>
    <row r="377" spans="1:30">
      <c r="A377" s="90">
        <v>291</v>
      </c>
      <c r="B377" s="90">
        <f t="shared" si="70"/>
        <v>1.1639999999999999</v>
      </c>
      <c r="C377" s="291">
        <f t="shared" ca="1" si="71"/>
        <v>-1.8241094238687031E-2</v>
      </c>
      <c r="D377" s="292">
        <f t="shared" ca="1" si="72"/>
        <v>-0.22983754535272108</v>
      </c>
      <c r="E377" s="291">
        <f t="shared" ca="1" si="73"/>
        <v>-1.8389644665226669E-2</v>
      </c>
      <c r="F377" s="293">
        <f t="shared" ca="1" si="74"/>
        <v>0.98642146248555906</v>
      </c>
      <c r="G377" s="90">
        <f t="shared" ca="1" si="69"/>
        <v>0.9970619207019793</v>
      </c>
      <c r="T377" s="289">
        <f t="shared" ca="1" si="78"/>
        <v>1</v>
      </c>
      <c r="U377" s="290">
        <f t="shared" ca="1" si="78"/>
        <v>1.0090125289474734</v>
      </c>
      <c r="V377" s="290">
        <f t="shared" ca="1" si="78"/>
        <v>1.0176626797685133</v>
      </c>
      <c r="W377" s="290">
        <f t="shared" ca="1" si="78"/>
        <v>1.025954333182534</v>
      </c>
      <c r="X377" s="290">
        <f t="shared" ca="1" si="78"/>
        <v>1.0338920994382077</v>
      </c>
      <c r="Y377" s="290">
        <f t="shared" ca="1" si="78"/>
        <v>1.0414812833435101</v>
      </c>
      <c r="Z377" s="290">
        <f t="shared" ca="1" si="78"/>
        <v>1.0487278487299765</v>
      </c>
      <c r="AA377" s="290">
        <f t="shared" ca="1" si="78"/>
        <v>1.0556383825577511</v>
      </c>
      <c r="AB377" s="290">
        <f t="shared" ca="1" si="78"/>
        <v>1.0622200588584447</v>
      </c>
      <c r="AC377" s="290">
        <f t="shared" ca="1" si="78"/>
        <v>1.0684806027016001</v>
      </c>
      <c r="AD377" s="290">
        <f t="shared" ca="1" si="78"/>
        <v>1.0744282543588777</v>
      </c>
    </row>
    <row r="378" spans="1:30">
      <c r="A378" s="90">
        <v>292</v>
      </c>
      <c r="B378" s="90">
        <f t="shared" si="70"/>
        <v>1.1679999999999999</v>
      </c>
      <c r="C378" s="291">
        <f t="shared" ca="1" si="71"/>
        <v>-1.8382443048164818E-2</v>
      </c>
      <c r="D378" s="292">
        <f t="shared" ca="1" si="72"/>
        <v>0.30963915770005795</v>
      </c>
      <c r="E378" s="291">
        <f t="shared" ca="1" si="73"/>
        <v>-1.8182314610145137E-2</v>
      </c>
      <c r="F378" s="293">
        <f t="shared" ca="1" si="74"/>
        <v>0.9863493143930796</v>
      </c>
      <c r="G378" s="90">
        <f t="shared" ca="1" si="69"/>
        <v>0.99698899435315336</v>
      </c>
      <c r="T378" s="289">
        <f t="shared" ca="1" si="78"/>
        <v>1</v>
      </c>
      <c r="U378" s="290">
        <f t="shared" ca="1" si="78"/>
        <v>1.0089080871782241</v>
      </c>
      <c r="V378" s="290">
        <f t="shared" ca="1" si="78"/>
        <v>1.0174523226217469</v>
      </c>
      <c r="W378" s="290">
        <f t="shared" ca="1" si="78"/>
        <v>1.0256367051303523</v>
      </c>
      <c r="X378" s="290">
        <f t="shared" ca="1" si="78"/>
        <v>1.0334659604351324</v>
      </c>
      <c r="Y378" s="290">
        <f t="shared" ca="1" si="78"/>
        <v>1.0409455058890844</v>
      </c>
      <c r="Z378" s="290">
        <f t="shared" ca="1" si="78"/>
        <v>1.0480814146169382</v>
      </c>
      <c r="AA378" s="290">
        <f t="shared" ca="1" si="78"/>
        <v>1.0548803793307986</v>
      </c>
      <c r="AB378" s="290">
        <f t="shared" ca="1" si="78"/>
        <v>1.0613496760084618</v>
      </c>
      <c r="AC378" s="290">
        <f t="shared" ca="1" si="78"/>
        <v>1.0674971276198957</v>
      </c>
      <c r="AD378" s="290">
        <f t="shared" ca="1" si="78"/>
        <v>1.0733310680755579</v>
      </c>
    </row>
    <row r="379" spans="1:30">
      <c r="A379" s="90">
        <v>293</v>
      </c>
      <c r="B379" s="90">
        <f t="shared" si="70"/>
        <v>1.1719999999999999</v>
      </c>
      <c r="C379" s="291">
        <f t="shared" ca="1" si="71"/>
        <v>-1.8175117822599642E-2</v>
      </c>
      <c r="D379" s="292">
        <f t="shared" ca="1" si="72"/>
        <v>2.208629913273537</v>
      </c>
      <c r="E379" s="291">
        <f t="shared" ca="1" si="73"/>
        <v>-1.6747618607092979E-2</v>
      </c>
      <c r="F379" s="293">
        <f t="shared" ca="1" si="74"/>
        <v>0.98628041056855231</v>
      </c>
      <c r="G379" s="90">
        <f t="shared" ca="1" si="69"/>
        <v>0.9969193472679676</v>
      </c>
      <c r="T379" s="289">
        <f t="shared" ca="1" si="78"/>
        <v>1</v>
      </c>
      <c r="U379" s="290">
        <f t="shared" ca="1" si="78"/>
        <v>1.0081856604040247</v>
      </c>
      <c r="V379" s="290">
        <f t="shared" ca="1" si="78"/>
        <v>1.0159978705724961</v>
      </c>
      <c r="W379" s="290">
        <f t="shared" ca="1" si="78"/>
        <v>1.0234414548307893</v>
      </c>
      <c r="X379" s="290">
        <f t="shared" ca="1" si="78"/>
        <v>1.0305219450922398</v>
      </c>
      <c r="Y379" s="290">
        <f t="shared" ca="1" si="78"/>
        <v>1.0372455432526961</v>
      </c>
      <c r="Z379" s="290">
        <f t="shared" ca="1" si="78"/>
        <v>1.0436190832222167</v>
      </c>
      <c r="AA379" s="290">
        <f t="shared" ca="1" si="78"/>
        <v>1.0496499927999765</v>
      </c>
      <c r="AB379" s="290">
        <f t="shared" ca="1" si="78"/>
        <v>1.0553462555876161</v>
      </c>
      <c r="AC379" s="290">
        <f t="shared" ca="1" si="78"/>
        <v>1.0607163731238727</v>
      </c>
      <c r="AD379" s="290">
        <f t="shared" ca="1" si="78"/>
        <v>1.0657693274105782</v>
      </c>
    </row>
    <row r="380" spans="1:30">
      <c r="A380" s="90">
        <v>294</v>
      </c>
      <c r="B380" s="90">
        <f t="shared" si="70"/>
        <v>1.1759999999999999</v>
      </c>
      <c r="C380" s="291">
        <f t="shared" ca="1" si="71"/>
        <v>-1.6740455239148955E-2</v>
      </c>
      <c r="D380" s="292">
        <f t="shared" ca="1" si="72"/>
        <v>-0.77331127647396936</v>
      </c>
      <c r="E380" s="291">
        <f t="shared" ca="1" si="73"/>
        <v>-1.7240267921153653E-2</v>
      </c>
      <c r="F380" s="293">
        <f t="shared" ca="1" si="74"/>
        <v>0.98621336967379758</v>
      </c>
      <c r="G380" s="90">
        <f t="shared" ca="1" si="69"/>
        <v>0.99685158320784539</v>
      </c>
      <c r="T380" s="289">
        <f t="shared" ca="1" si="78"/>
        <v>1</v>
      </c>
      <c r="U380" s="290">
        <f t="shared" ca="1" si="78"/>
        <v>1.008433670686155</v>
      </c>
      <c r="V380" s="290">
        <f t="shared" ca="1" si="78"/>
        <v>1.0164970692210102</v>
      </c>
      <c r="W380" s="290">
        <f t="shared" ca="1" si="78"/>
        <v>1.0241947348673062</v>
      </c>
      <c r="X380" s="290">
        <f t="shared" ca="1" si="78"/>
        <v>1.0315319213876346</v>
      </c>
      <c r="Y380" s="290">
        <f t="shared" ca="1" si="78"/>
        <v>1.0385145602167418</v>
      </c>
      <c r="Z380" s="290">
        <f t="shared" ca="1" si="78"/>
        <v>1.045149223208955</v>
      </c>
      <c r="AA380" s="290">
        <f t="shared" ca="1" si="78"/>
        <v>1.0514430851670848</v>
      </c>
      <c r="AB380" s="290">
        <f t="shared" ca="1" si="78"/>
        <v>1.0574038863487014</v>
      </c>
      <c r="AC380" s="290">
        <f t="shared" ca="1" si="78"/>
        <v>1.0630398951336375</v>
      </c>
      <c r="AD380" s="290">
        <f t="shared" ca="1" si="78"/>
        <v>1.0683598710241389</v>
      </c>
    </row>
    <row r="381" spans="1:30">
      <c r="A381" s="90">
        <v>295</v>
      </c>
      <c r="B381" s="90">
        <f t="shared" si="70"/>
        <v>1.18</v>
      </c>
      <c r="C381" s="291">
        <f t="shared" ca="1" si="71"/>
        <v>-1.7233093077507668E-2</v>
      </c>
      <c r="D381" s="292">
        <f t="shared" ca="1" si="72"/>
        <v>-0.308730485230097</v>
      </c>
      <c r="E381" s="291">
        <f t="shared" ca="1" si="73"/>
        <v>-1.7432634215124403E-2</v>
      </c>
      <c r="F381" s="293">
        <f t="shared" ca="1" si="74"/>
        <v>0.98614498228570979</v>
      </c>
      <c r="G381" s="90">
        <f t="shared" ca="1" si="69"/>
        <v>0.99678245812986221</v>
      </c>
      <c r="T381" s="289">
        <f t="shared" ca="1" si="78"/>
        <v>1</v>
      </c>
      <c r="U381" s="290">
        <f t="shared" ca="1" si="78"/>
        <v>1.0085305285859059</v>
      </c>
      <c r="V381" s="290">
        <f t="shared" ca="1" si="78"/>
        <v>1.0166920594323141</v>
      </c>
      <c r="W381" s="290">
        <f t="shared" ca="1" si="78"/>
        <v>1.0244890209320157</v>
      </c>
      <c r="X381" s="290">
        <f t="shared" ca="1" si="78"/>
        <v>1.0319265585998614</v>
      </c>
      <c r="Y381" s="290">
        <f t="shared" ca="1" si="78"/>
        <v>1.0390104985518329</v>
      </c>
      <c r="Z381" s="290">
        <f t="shared" ca="1" si="78"/>
        <v>1.045747310535279</v>
      </c>
      <c r="AA381" s="290">
        <f t="shared" ca="1" si="78"/>
        <v>1.0521440707167538</v>
      </c>
      <c r="AB381" s="290">
        <f t="shared" ca="1" si="78"/>
        <v>1.0582084244235783</v>
      </c>
      <c r="AC381" s="290">
        <f t="shared" ca="1" si="78"/>
        <v>1.0639485490233553</v>
      </c>
      <c r="AD381" s="290">
        <f t="shared" ca="1" si="78"/>
        <v>1.0693731171133369</v>
      </c>
    </row>
    <row r="382" spans="1:30">
      <c r="A382" s="90">
        <v>296</v>
      </c>
      <c r="B382" s="90">
        <f t="shared" si="70"/>
        <v>1.1839999999999999</v>
      </c>
      <c r="C382" s="291">
        <f t="shared" ca="1" si="71"/>
        <v>-1.742545489052575E-2</v>
      </c>
      <c r="D382" s="292">
        <f t="shared" ca="1" si="72"/>
        <v>-0.28883584809912188</v>
      </c>
      <c r="E382" s="291">
        <f t="shared" ca="1" si="73"/>
        <v>-1.7612137568367683E-2</v>
      </c>
      <c r="F382" s="293">
        <f t="shared" ca="1" si="74"/>
        <v>0.98607586625619426</v>
      </c>
      <c r="G382" s="90">
        <f t="shared" ca="1" si="69"/>
        <v>0.99671259655064803</v>
      </c>
      <c r="T382" s="289">
        <f t="shared" ca="1" si="78"/>
        <v>1</v>
      </c>
      <c r="U382" s="290">
        <f t="shared" ca="1" si="78"/>
        <v>1.0086209182873371</v>
      </c>
      <c r="V382" s="290">
        <f t="shared" ca="1" si="78"/>
        <v>1.0168740449855846</v>
      </c>
      <c r="W382" s="290">
        <f t="shared" ca="1" si="78"/>
        <v>1.0247637052610263</v>
      </c>
      <c r="X382" s="290">
        <f t="shared" ca="1" si="78"/>
        <v>1.0322949438100875</v>
      </c>
      <c r="Y382" s="290">
        <f t="shared" ca="1" si="78"/>
        <v>1.0394734886261916</v>
      </c>
      <c r="Z382" s="290">
        <f t="shared" ca="1" si="78"/>
        <v>1.0463057142955619</v>
      </c>
      <c r="AA382" s="290">
        <f t="shared" ca="1" si="78"/>
        <v>1.0527986050284608</v>
      </c>
      <c r="AB382" s="290">
        <f t="shared" ca="1" si="78"/>
        <v>1.0589597176221961</v>
      </c>
      <c r="AC382" s="290">
        <f t="shared" ca="1" si="78"/>
        <v>1.0647971445404372</v>
      </c>
      <c r="AD382" s="290">
        <f t="shared" ca="1" si="78"/>
        <v>1.0703194772811999</v>
      </c>
    </row>
    <row r="383" spans="1:30">
      <c r="A383" s="90">
        <v>297</v>
      </c>
      <c r="B383" s="90">
        <f t="shared" si="70"/>
        <v>1.1879999999999999</v>
      </c>
      <c r="C383" s="291">
        <f t="shared" ca="1" si="71"/>
        <v>-1.7604954062443844E-2</v>
      </c>
      <c r="D383" s="292">
        <f t="shared" ca="1" si="72"/>
        <v>0.63662740858717082</v>
      </c>
      <c r="E383" s="291">
        <f t="shared" ca="1" si="73"/>
        <v>-1.719348398279557E-2</v>
      </c>
      <c r="F383" s="293">
        <f t="shared" ca="1" si="74"/>
        <v>0.98600722667842189</v>
      </c>
      <c r="G383" s="90">
        <f t="shared" ca="1" si="69"/>
        <v>0.996643216562628</v>
      </c>
      <c r="T383" s="289">
        <f t="shared" ca="1" si="78"/>
        <v>1</v>
      </c>
      <c r="U383" s="290">
        <f t="shared" ca="1" si="78"/>
        <v>1.0084101160217831</v>
      </c>
      <c r="V383" s="290">
        <f t="shared" ca="1" si="78"/>
        <v>1.0164496527934943</v>
      </c>
      <c r="W383" s="290">
        <f t="shared" ca="1" si="78"/>
        <v>1.0241231765796468</v>
      </c>
      <c r="X383" s="290">
        <f t="shared" ca="1" si="78"/>
        <v>1.0314359675003706</v>
      </c>
      <c r="Y383" s="290">
        <f t="shared" ca="1" si="78"/>
        <v>1.0383939826293687</v>
      </c>
      <c r="Z383" s="290">
        <f t="shared" ca="1" si="78"/>
        <v>1.0450038186728441</v>
      </c>
      <c r="AA383" s="290">
        <f t="shared" ca="1" si="78"/>
        <v>1.0512726744357297</v>
      </c>
      <c r="AB383" s="290">
        <f t="shared" ca="1" si="78"/>
        <v>1.0572083132710595</v>
      </c>
      <c r="AC383" s="290">
        <f t="shared" ca="1" si="78"/>
        <v>1.0628190256962438</v>
      </c>
      <c r="AD383" s="290">
        <f t="shared" ca="1" si="78"/>
        <v>1.0681135923475449</v>
      </c>
    </row>
    <row r="384" spans="1:30">
      <c r="A384" s="90">
        <v>298</v>
      </c>
      <c r="B384" s="90">
        <f t="shared" si="70"/>
        <v>1.1919999999999999</v>
      </c>
      <c r="C384" s="291">
        <f t="shared" ca="1" si="71"/>
        <v>-1.7186310228927887E-2</v>
      </c>
      <c r="D384" s="292">
        <f t="shared" ca="1" si="72"/>
        <v>-2.1675605803141769E-2</v>
      </c>
      <c r="E384" s="291">
        <f t="shared" ca="1" si="73"/>
        <v>-1.7200319778510487E-2</v>
      </c>
      <c r="F384" s="293">
        <f t="shared" ca="1" si="74"/>
        <v>0.98593940393300761</v>
      </c>
      <c r="G384" s="90">
        <f t="shared" ca="1" si="69"/>
        <v>0.99657466221807867</v>
      </c>
      <c r="T384" s="289">
        <f t="shared" ca="1" si="78"/>
        <v>1</v>
      </c>
      <c r="U384" s="290">
        <f t="shared" ca="1" si="78"/>
        <v>1.0084135576573896</v>
      </c>
      <c r="V384" s="290">
        <f t="shared" ca="1" si="78"/>
        <v>1.0164565808668478</v>
      </c>
      <c r="W384" s="290">
        <f t="shared" ca="1" si="78"/>
        <v>1.0241336319466285</v>
      </c>
      <c r="X384" s="290">
        <f t="shared" ca="1" si="78"/>
        <v>1.0314499871648937</v>
      </c>
      <c r="Y384" s="290">
        <f t="shared" ca="1" si="78"/>
        <v>1.0384115998485248</v>
      </c>
      <c r="Z384" s="290">
        <f t="shared" ca="1" si="78"/>
        <v>1.0450250630720537</v>
      </c>
      <c r="AA384" s="290">
        <f t="shared" ca="1" si="78"/>
        <v>1.0512975721330404</v>
      </c>
      <c r="AB384" s="290">
        <f t="shared" ca="1" si="78"/>
        <v>1.057236887009753</v>
      </c>
      <c r="AC384" s="290">
        <f t="shared" ca="1" si="78"/>
        <v>1.0628512949849187</v>
      </c>
      <c r="AD384" s="290">
        <f t="shared" ca="1" si="78"/>
        <v>1.0681495736068645</v>
      </c>
    </row>
    <row r="385" spans="1:30">
      <c r="A385" s="90">
        <v>299</v>
      </c>
      <c r="B385" s="90">
        <f t="shared" si="70"/>
        <v>1.196</v>
      </c>
      <c r="C385" s="291">
        <f t="shared" ca="1" si="71"/>
        <v>-1.7193145865410764E-2</v>
      </c>
      <c r="D385" s="292">
        <f t="shared" ca="1" si="72"/>
        <v>0.4759436765016683</v>
      </c>
      <c r="E385" s="291">
        <f t="shared" ca="1" si="73"/>
        <v>-1.6885530170835435E-2</v>
      </c>
      <c r="F385" s="293">
        <f t="shared" ca="1" si="74"/>
        <v>0.98587219305881013</v>
      </c>
      <c r="G385" s="90">
        <f t="shared" ca="1" si="69"/>
        <v>0.99650672634495752</v>
      </c>
      <c r="T385" s="289">
        <f t="shared" ca="1" si="78"/>
        <v>1</v>
      </c>
      <c r="U385" s="290">
        <f t="shared" ca="1" si="78"/>
        <v>1.0082550819093559</v>
      </c>
      <c r="V385" s="290">
        <f t="shared" ca="1" si="78"/>
        <v>1.0161375908343298</v>
      </c>
      <c r="W385" s="290">
        <f t="shared" ca="1" si="78"/>
        <v>1.023652271140564</v>
      </c>
      <c r="X385" s="290">
        <f t="shared" ca="1" si="78"/>
        <v>1.0308045767450698</v>
      </c>
      <c r="Y385" s="290">
        <f t="shared" ca="1" si="78"/>
        <v>1.0376006337273478</v>
      </c>
      <c r="Z385" s="290">
        <f t="shared" ca="1" si="78"/>
        <v>1.0440472025601941</v>
      </c>
      <c r="AA385" s="290">
        <f t="shared" ca="1" si="78"/>
        <v>1.0501516401663511</v>
      </c>
      <c r="AB385" s="290">
        <f t="shared" ca="1" si="78"/>
        <v>1.0559218619964303</v>
      </c>
      <c r="AC385" s="290">
        <f t="shared" ca="1" si="78"/>
        <v>1.0613663043112458</v>
      </c>
      <c r="AD385" s="290">
        <f t="shared" ca="1" si="78"/>
        <v>1.0664938868390228</v>
      </c>
    </row>
    <row r="386" spans="1:30">
      <c r="A386" s="90">
        <v>300</v>
      </c>
      <c r="B386" s="90">
        <f t="shared" si="70"/>
        <v>1.2</v>
      </c>
      <c r="C386" s="291">
        <f t="shared" ca="1" si="71"/>
        <v>-1.6878363590399369E-2</v>
      </c>
      <c r="D386" s="292">
        <f t="shared" ca="1" si="72"/>
        <v>-1.5591783202569385</v>
      </c>
      <c r="E386" s="291">
        <f t="shared" ca="1" si="73"/>
        <v>-1.7886104097591404E-2</v>
      </c>
      <c r="F386" s="293">
        <f t="shared" ca="1" si="74"/>
        <v>0.98580363466806009</v>
      </c>
      <c r="G386" s="90">
        <f t="shared" ca="1" si="69"/>
        <v>0.9964374284197185</v>
      </c>
      <c r="T386" s="289">
        <f t="shared" ref="T386:AD395" ca="1" si="79">EXP(T$82-$E386*T$83)</f>
        <v>1</v>
      </c>
      <c r="U386" s="290">
        <f t="shared" ca="1" si="79"/>
        <v>1.008758890953706</v>
      </c>
      <c r="V386" s="290">
        <f t="shared" ca="1" si="79"/>
        <v>1.0171518627675209</v>
      </c>
      <c r="W386" s="290">
        <f t="shared" ca="1" si="79"/>
        <v>1.0251830834966815</v>
      </c>
      <c r="X386" s="290">
        <f t="shared" ca="1" si="79"/>
        <v>1.0328574443297982</v>
      </c>
      <c r="Y386" s="290">
        <f t="shared" ca="1" si="79"/>
        <v>1.0401805237977562</v>
      </c>
      <c r="Z386" s="290">
        <f t="shared" ca="1" si="79"/>
        <v>1.0471585514778963</v>
      </c>
      <c r="AA386" s="290">
        <f t="shared" ca="1" si="79"/>
        <v>1.0537983714000358</v>
      </c>
      <c r="AB386" s="290">
        <f t="shared" ca="1" si="79"/>
        <v>1.0601074053509254</v>
      </c>
      <c r="AC386" s="290">
        <f t="shared" ca="1" si="79"/>
        <v>1.0660936162621655</v>
      </c>
      <c r="AD386" s="290">
        <f t="shared" ca="1" si="79"/>
        <v>1.071765471854583</v>
      </c>
    </row>
    <row r="387" spans="1:30">
      <c r="A387" s="90">
        <v>301</v>
      </c>
      <c r="B387" s="90">
        <f t="shared" si="70"/>
        <v>1.204</v>
      </c>
      <c r="C387" s="291">
        <f t="shared" ca="1" si="71"/>
        <v>-1.7878914209930805E-2</v>
      </c>
      <c r="D387" s="292">
        <f t="shared" ca="1" si="72"/>
        <v>-0.33219254278612925</v>
      </c>
      <c r="E387" s="291">
        <f t="shared" ca="1" si="73"/>
        <v>-1.8093619530806189E-2</v>
      </c>
      <c r="F387" s="293">
        <f t="shared" ca="1" si="74"/>
        <v>0.98573269933566987</v>
      </c>
      <c r="G387" s="90">
        <f t="shared" ca="1" si="69"/>
        <v>0.99636572791293876</v>
      </c>
      <c r="T387" s="289">
        <f t="shared" ca="1" si="79"/>
        <v>1</v>
      </c>
      <c r="U387" s="290">
        <f t="shared" ca="1" si="79"/>
        <v>1.0088634106528156</v>
      </c>
      <c r="V387" s="290">
        <f t="shared" ca="1" si="79"/>
        <v>1.0173623458431735</v>
      </c>
      <c r="W387" s="290">
        <f t="shared" ca="1" si="79"/>
        <v>1.0255008549836493</v>
      </c>
      <c r="X387" s="290">
        <f t="shared" ca="1" si="79"/>
        <v>1.0332837132915531</v>
      </c>
      <c r="Y387" s="290">
        <f t="shared" ca="1" si="79"/>
        <v>1.0407163863348869</v>
      </c>
      <c r="Z387" s="290">
        <f t="shared" ca="1" si="79"/>
        <v>1.0478049940482856</v>
      </c>
      <c r="AA387" s="290">
        <f t="shared" ca="1" si="79"/>
        <v>1.0545562744255292</v>
      </c>
      <c r="AB387" s="290">
        <f t="shared" ca="1" si="79"/>
        <v>1.0609775470854057</v>
      </c>
      <c r="AC387" s="290">
        <f t="shared" ca="1" si="79"/>
        <v>1.0670766768962829</v>
      </c>
      <c r="AD387" s="290">
        <f t="shared" ca="1" si="79"/>
        <v>1.0728620378328628</v>
      </c>
    </row>
    <row r="388" spans="1:30">
      <c r="A388" s="90">
        <v>302</v>
      </c>
      <c r="B388" s="90">
        <f t="shared" si="70"/>
        <v>1.208</v>
      </c>
      <c r="C388" s="291">
        <f t="shared" ca="1" si="71"/>
        <v>-1.8086424809311063E-2</v>
      </c>
      <c r="D388" s="292">
        <f t="shared" ca="1" si="72"/>
        <v>-1.0816201077802994</v>
      </c>
      <c r="E388" s="291">
        <f t="shared" ca="1" si="73"/>
        <v>-1.8785506102221808E-2</v>
      </c>
      <c r="F388" s="293">
        <f t="shared" ca="1" si="74"/>
        <v>0.98565999609681587</v>
      </c>
      <c r="G388" s="90">
        <f t="shared" ca="1" si="69"/>
        <v>0.99629224042941389</v>
      </c>
      <c r="T388" s="289">
        <f t="shared" ca="1" si="79"/>
        <v>1</v>
      </c>
      <c r="U388" s="290">
        <f t="shared" ca="1" si="79"/>
        <v>1.0092119727519349</v>
      </c>
      <c r="V388" s="290">
        <f t="shared" ca="1" si="79"/>
        <v>1.0180644417229321</v>
      </c>
      <c r="W388" s="290">
        <f t="shared" ca="1" si="79"/>
        <v>1.0265610630942292</v>
      </c>
      <c r="X388" s="290">
        <f t="shared" ca="1" si="79"/>
        <v>1.0347062273988603</v>
      </c>
      <c r="Y388" s="290">
        <f t="shared" ca="1" si="79"/>
        <v>1.0425050252049466</v>
      </c>
      <c r="Z388" s="290">
        <f t="shared" ca="1" si="79"/>
        <v>1.0499632121859337</v>
      </c>
      <c r="AA388" s="290">
        <f t="shared" ca="1" si="79"/>
        <v>1.0570871737842886</v>
      </c>
      <c r="AB388" s="290">
        <f t="shared" ca="1" si="79"/>
        <v>1.0638838896659188</v>
      </c>
      <c r="AC388" s="290">
        <f t="shared" ca="1" si="79"/>
        <v>1.070360898151649</v>
      </c>
      <c r="AD388" s="290">
        <f t="shared" ca="1" si="79"/>
        <v>1.0765262608006669</v>
      </c>
    </row>
    <row r="389" spans="1:30">
      <c r="A389" s="90">
        <v>303</v>
      </c>
      <c r="B389" s="90">
        <f t="shared" si="70"/>
        <v>1.212</v>
      </c>
      <c r="C389" s="291">
        <f t="shared" ca="1" si="71"/>
        <v>-1.8778295264020819E-2</v>
      </c>
      <c r="D389" s="292">
        <f t="shared" ca="1" si="72"/>
        <v>0.23373530979279383</v>
      </c>
      <c r="E389" s="291">
        <f t="shared" ca="1" si="73"/>
        <v>-1.8627225603431604E-2</v>
      </c>
      <c r="F389" s="293">
        <f t="shared" ca="1" si="74"/>
        <v>0.98558624639005432</v>
      </c>
      <c r="G389" s="90">
        <f t="shared" ca="1" si="69"/>
        <v>0.99621769518980652</v>
      </c>
      <c r="T389" s="289">
        <f t="shared" ca="1" si="79"/>
        <v>1</v>
      </c>
      <c r="U389" s="290">
        <f t="shared" ca="1" si="79"/>
        <v>1.0091322227834401</v>
      </c>
      <c r="V389" s="290">
        <f t="shared" ca="1" si="79"/>
        <v>1.0179037829449922</v>
      </c>
      <c r="W389" s="290">
        <f t="shared" ca="1" si="79"/>
        <v>1.0263184262983918</v>
      </c>
      <c r="X389" s="290">
        <f t="shared" ca="1" si="79"/>
        <v>1.0343806311026151</v>
      </c>
      <c r="Y389" s="290">
        <f t="shared" ca="1" si="79"/>
        <v>1.0420955734831776</v>
      </c>
      <c r="Z389" s="290">
        <f t="shared" ca="1" si="79"/>
        <v>1.049469092259196</v>
      </c>
      <c r="AA389" s="290">
        <f t="shared" ca="1" si="79"/>
        <v>1.0565076533827686</v>
      </c>
      <c r="AB389" s="290">
        <f t="shared" ca="1" si="79"/>
        <v>1.0632183141878397</v>
      </c>
      <c r="AC389" s="290">
        <f t="shared" ca="1" si="79"/>
        <v>1.069608687634682</v>
      </c>
      <c r="AD389" s="290">
        <f t="shared" ca="1" si="79"/>
        <v>1.0756869067245953</v>
      </c>
    </row>
    <row r="390" spans="1:30">
      <c r="A390" s="90">
        <v>304</v>
      </c>
      <c r="B390" s="90">
        <f t="shared" si="70"/>
        <v>1.216</v>
      </c>
      <c r="C390" s="291">
        <f t="shared" ca="1" si="71"/>
        <v>-1.8620018452193694E-2</v>
      </c>
      <c r="D390" s="292">
        <f t="shared" ca="1" si="72"/>
        <v>0.53467508434898314</v>
      </c>
      <c r="E390" s="291">
        <f t="shared" ca="1" si="73"/>
        <v>-1.82744430079456E-2</v>
      </c>
      <c r="F390" s="293">
        <f t="shared" ca="1" si="74"/>
        <v>0.98551350952009475</v>
      </c>
      <c r="G390" s="90">
        <f t="shared" ca="1" si="69"/>
        <v>0.99614417371239972</v>
      </c>
      <c r="T390" s="289">
        <f t="shared" ca="1" si="79"/>
        <v>1</v>
      </c>
      <c r="U390" s="290">
        <f t="shared" ca="1" si="79"/>
        <v>1.0089544951924654</v>
      </c>
      <c r="V390" s="290">
        <f t="shared" ca="1" si="79"/>
        <v>1.0175457907580565</v>
      </c>
      <c r="W390" s="290">
        <f t="shared" ca="1" si="79"/>
        <v>1.025777832986783</v>
      </c>
      <c r="X390" s="290">
        <f t="shared" ca="1" si="79"/>
        <v>1.0336552962605108</v>
      </c>
      <c r="Y390" s="290">
        <f t="shared" ca="1" si="79"/>
        <v>1.0411835478941642</v>
      </c>
      <c r="Z390" s="290">
        <f t="shared" ca="1" si="79"/>
        <v>1.0483686124250196</v>
      </c>
      <c r="AA390" s="290">
        <f t="shared" ca="1" si="79"/>
        <v>1.0552171355566748</v>
      </c>
      <c r="AB390" s="290">
        <f t="shared" ca="1" si="79"/>
        <v>1.0617363479546267</v>
      </c>
      <c r="AC390" s="290">
        <f t="shared" ca="1" si="79"/>
        <v>1.0679340290790857</v>
      </c>
      <c r="AD390" s="290">
        <f t="shared" ca="1" si="79"/>
        <v>1.0738184712289012</v>
      </c>
    </row>
    <row r="391" spans="1:30">
      <c r="A391" s="90">
        <v>305</v>
      </c>
      <c r="B391" s="90">
        <f t="shared" si="70"/>
        <v>1.22</v>
      </c>
      <c r="C391" s="291">
        <f t="shared" ca="1" si="71"/>
        <v>-1.8267244074374515E-2</v>
      </c>
      <c r="D391" s="292">
        <f t="shared" ca="1" si="72"/>
        <v>-0.39691855277358579</v>
      </c>
      <c r="E391" s="291">
        <f t="shared" ca="1" si="73"/>
        <v>-1.8523783623757211E-2</v>
      </c>
      <c r="F391" s="293">
        <f t="shared" ca="1" si="74"/>
        <v>0.98544098189007179</v>
      </c>
      <c r="G391" s="90">
        <f t="shared" ca="1" si="69"/>
        <v>0.99607086373198583</v>
      </c>
      <c r="T391" s="289">
        <f t="shared" ca="1" si="79"/>
        <v>1</v>
      </c>
      <c r="U391" s="290">
        <f t="shared" ca="1" si="79"/>
        <v>1.0090801067254607</v>
      </c>
      <c r="V391" s="290">
        <f t="shared" ca="1" si="79"/>
        <v>1.0177988003738223</v>
      </c>
      <c r="W391" s="290">
        <f t="shared" ca="1" si="79"/>
        <v>1.0261598854427563</v>
      </c>
      <c r="X391" s="290">
        <f t="shared" ca="1" si="79"/>
        <v>1.0341678976135693</v>
      </c>
      <c r="Y391" s="290">
        <f t="shared" ca="1" si="79"/>
        <v>1.041828069001854</v>
      </c>
      <c r="Z391" s="290">
        <f t="shared" ca="1" si="79"/>
        <v>1.0491462928262629</v>
      </c>
      <c r="AA391" s="290">
        <f t="shared" ca="1" si="79"/>
        <v>1.0561290877019676</v>
      </c>
      <c r="AB391" s="290">
        <f t="shared" ca="1" si="79"/>
        <v>1.0627835617559156</v>
      </c>
      <c r="AC391" s="290">
        <f t="shared" ca="1" si="79"/>
        <v>1.0691173767498694</v>
      </c>
      <c r="AD391" s="290">
        <f t="shared" ca="1" si="79"/>
        <v>1.0751387123856226</v>
      </c>
    </row>
    <row r="392" spans="1:30">
      <c r="A392" s="90">
        <v>306</v>
      </c>
      <c r="B392" s="90">
        <f t="shared" si="70"/>
        <v>1.224</v>
      </c>
      <c r="C392" s="291">
        <f t="shared" ca="1" si="71"/>
        <v>-1.8516578882081833E-2</v>
      </c>
      <c r="D392" s="292">
        <f t="shared" ca="1" si="72"/>
        <v>-1.5205580831189196</v>
      </c>
      <c r="E392" s="291">
        <f t="shared" ca="1" si="73"/>
        <v>-1.9499358051076884E-2</v>
      </c>
      <c r="F392" s="293">
        <f t="shared" ca="1" si="74"/>
        <v>0.98536604561528729</v>
      </c>
      <c r="G392" s="90">
        <f t="shared" ca="1" si="69"/>
        <v>0.99599511912493055</v>
      </c>
      <c r="T392" s="289">
        <f t="shared" ca="1" si="79"/>
        <v>1</v>
      </c>
      <c r="U392" s="290">
        <f t="shared" ca="1" si="79"/>
        <v>1.0095717269035944</v>
      </c>
      <c r="V392" s="290">
        <f t="shared" ca="1" si="79"/>
        <v>1.0187893349432726</v>
      </c>
      <c r="W392" s="290">
        <f t="shared" ca="1" si="79"/>
        <v>1.0276560785665589</v>
      </c>
      <c r="X392" s="290">
        <f t="shared" ca="1" si="79"/>
        <v>1.0361759548135581</v>
      </c>
      <c r="Y392" s="290">
        <f t="shared" ca="1" si="79"/>
        <v>1.044353670194768</v>
      </c>
      <c r="Z392" s="290">
        <f t="shared" ca="1" si="79"/>
        <v>1.0521946068722856</v>
      </c>
      <c r="AA392" s="290">
        <f t="shared" ca="1" si="79"/>
        <v>1.0597047883506285</v>
      </c>
      <c r="AB392" s="290">
        <f t="shared" ca="1" si="79"/>
        <v>1.0668908448746939</v>
      </c>
      <c r="AC392" s="290">
        <f t="shared" ca="1" si="79"/>
        <v>1.0737599787219887</v>
      </c>
      <c r="AD392" s="290">
        <f t="shared" ca="1" si="79"/>
        <v>1.0803199295653056</v>
      </c>
    </row>
    <row r="393" spans="1:30">
      <c r="A393" s="90">
        <v>307</v>
      </c>
      <c r="B393" s="90">
        <f t="shared" si="70"/>
        <v>1.228</v>
      </c>
      <c r="C393" s="291">
        <f t="shared" ca="1" si="71"/>
        <v>-1.9492130584511706E-2</v>
      </c>
      <c r="D393" s="292">
        <f t="shared" ca="1" si="72"/>
        <v>0.23838906166425355</v>
      </c>
      <c r="E393" s="291">
        <f t="shared" ca="1" si="73"/>
        <v>-1.9338053074075965E-2</v>
      </c>
      <c r="F393" s="293">
        <f t="shared" ca="1" si="74"/>
        <v>0.98528951045530855</v>
      </c>
      <c r="G393" s="90">
        <f t="shared" ca="1" si="69"/>
        <v>0.99591775838562002</v>
      </c>
      <c r="T393" s="289">
        <f t="shared" ca="1" si="79"/>
        <v>1</v>
      </c>
      <c r="U393" s="290">
        <f t="shared" ca="1" si="79"/>
        <v>1.0094904241349352</v>
      </c>
      <c r="V393" s="290">
        <f t="shared" ca="1" si="79"/>
        <v>1.0186254899093172</v>
      </c>
      <c r="W393" s="290">
        <f t="shared" ca="1" si="79"/>
        <v>1.027408542180249</v>
      </c>
      <c r="X393" s="290">
        <f t="shared" ca="1" si="79"/>
        <v>1.0358436665864241</v>
      </c>
      <c r="Y393" s="290">
        <f t="shared" ca="1" si="79"/>
        <v>1.0439356561542017</v>
      </c>
      <c r="Z393" s="290">
        <f t="shared" ca="1" si="79"/>
        <v>1.0516899772257609</v>
      </c>
      <c r="AA393" s="290">
        <f t="shared" ca="1" si="79"/>
        <v>1.0591127349156448</v>
      </c>
      <c r="AB393" s="290">
        <f t="shared" ca="1" si="79"/>
        <v>1.0662106382931793</v>
      </c>
      <c r="AC393" s="290">
        <f t="shared" ca="1" si="79"/>
        <v>1.0729909654777334</v>
      </c>
      <c r="AD393" s="290">
        <f t="shared" ca="1" si="79"/>
        <v>1.079461528822738</v>
      </c>
    </row>
    <row r="394" spans="1:30">
      <c r="A394" s="90">
        <v>308</v>
      </c>
      <c r="B394" s="90">
        <f t="shared" si="70"/>
        <v>1.232</v>
      </c>
      <c r="C394" s="291">
        <f t="shared" ca="1" si="71"/>
        <v>-1.9330829364925625E-2</v>
      </c>
      <c r="D394" s="292">
        <f t="shared" ca="1" si="72"/>
        <v>0.43098967457765536</v>
      </c>
      <c r="E394" s="291">
        <f t="shared" ca="1" si="73"/>
        <v>-1.905226869767504E-2</v>
      </c>
      <c r="F394" s="293">
        <f t="shared" ca="1" si="74"/>
        <v>0.98521386219681728</v>
      </c>
      <c r="G394" s="90">
        <f t="shared" ca="1" si="69"/>
        <v>0.99584129411474032</v>
      </c>
      <c r="T394" s="289">
        <f t="shared" ca="1" si="79"/>
        <v>1</v>
      </c>
      <c r="U394" s="290">
        <f t="shared" ca="1" si="79"/>
        <v>1.0093463959197415</v>
      </c>
      <c r="V394" s="290">
        <f t="shared" ca="1" si="79"/>
        <v>1.018335270003635</v>
      </c>
      <c r="W394" s="290">
        <f t="shared" ca="1" si="79"/>
        <v>1.0269701278193417</v>
      </c>
      <c r="X394" s="290">
        <f t="shared" ca="1" si="79"/>
        <v>1.0352552124343339</v>
      </c>
      <c r="Y394" s="290">
        <f t="shared" ca="1" si="79"/>
        <v>1.043195470543119</v>
      </c>
      <c r="Z394" s="290">
        <f t="shared" ca="1" si="79"/>
        <v>1.0507965179499348</v>
      </c>
      <c r="AA394" s="290">
        <f t="shared" ca="1" si="79"/>
        <v>1.0580646046133388</v>
      </c>
      <c r="AB394" s="290">
        <f t="shared" ca="1" si="79"/>
        <v>1.0650065794500865</v>
      </c>
      <c r="AC394" s="290">
        <f t="shared" ca="1" si="79"/>
        <v>1.0716298550849508</v>
      </c>
      <c r="AD394" s="290">
        <f t="shared" ca="1" si="79"/>
        <v>1.0779423727218975</v>
      </c>
    </row>
    <row r="395" spans="1:30">
      <c r="A395" s="90">
        <v>309</v>
      </c>
      <c r="B395" s="90">
        <f t="shared" si="70"/>
        <v>1.236</v>
      </c>
      <c r="C395" s="291">
        <f t="shared" ca="1" si="71"/>
        <v>-1.9045051645544684E-2</v>
      </c>
      <c r="D395" s="292">
        <f t="shared" ca="1" si="72"/>
        <v>1.5549359612390652</v>
      </c>
      <c r="E395" s="291">
        <f t="shared" ca="1" si="73"/>
        <v>-1.8040053093504805E-2</v>
      </c>
      <c r="F395" s="293">
        <f t="shared" ca="1" si="74"/>
        <v>0.98514077716852477</v>
      </c>
      <c r="G395" s="90">
        <f t="shared" ca="1" si="69"/>
        <v>0.99576742072344127</v>
      </c>
      <c r="T395" s="289">
        <f t="shared" ca="1" si="79"/>
        <v>1</v>
      </c>
      <c r="U395" s="290">
        <f t="shared" ca="1" si="79"/>
        <v>1.0088364297049837</v>
      </c>
      <c r="V395" s="290">
        <f t="shared" ca="1" si="79"/>
        <v>1.0173080091913553</v>
      </c>
      <c r="W395" s="290">
        <f t="shared" ca="1" si="79"/>
        <v>1.0254188184669641</v>
      </c>
      <c r="X395" s="290">
        <f t="shared" ca="1" si="79"/>
        <v>1.033173662659604</v>
      </c>
      <c r="Y395" s="290">
        <f t="shared" ca="1" si="79"/>
        <v>1.0405780364757817</v>
      </c>
      <c r="Z395" s="290">
        <f t="shared" ca="1" si="79"/>
        <v>1.0476380881359859</v>
      </c>
      <c r="AA395" s="290">
        <f t="shared" ca="1" si="79"/>
        <v>1.0543605829930303</v>
      </c>
      <c r="AB395" s="290">
        <f t="shared" ca="1" si="79"/>
        <v>1.0607528670302118</v>
      </c>
      <c r="AC395" s="290">
        <f t="shared" ca="1" si="79"/>
        <v>1.0668228304245562</v>
      </c>
      <c r="AD395" s="290">
        <f t="shared" ca="1" si="79"/>
        <v>1.0725788713485018</v>
      </c>
    </row>
    <row r="396" spans="1:30">
      <c r="A396" s="90">
        <v>310</v>
      </c>
      <c r="B396" s="90">
        <f t="shared" si="70"/>
        <v>1.24</v>
      </c>
      <c r="C396" s="291">
        <f t="shared" ca="1" si="71"/>
        <v>-1.8032859619778532E-2</v>
      </c>
      <c r="D396" s="292">
        <f t="shared" ca="1" si="72"/>
        <v>-0.12347161726999395</v>
      </c>
      <c r="E396" s="291">
        <f t="shared" ca="1" si="73"/>
        <v>-1.8112662775450285E-2</v>
      </c>
      <c r="F396" s="293">
        <f t="shared" ca="1" si="74"/>
        <v>0.98506954871444208</v>
      </c>
      <c r="G396" s="90">
        <f t="shared" ca="1" si="69"/>
        <v>0.99569542393308619</v>
      </c>
      <c r="T396" s="289">
        <f t="shared" ref="T396:AD405" ca="1" si="80">EXP(T$82-$E396*T$83)</f>
        <v>1</v>
      </c>
      <c r="U396" s="290">
        <f t="shared" ca="1" si="80"/>
        <v>1.0088730027431148</v>
      </c>
      <c r="V396" s="290">
        <f t="shared" ca="1" si="80"/>
        <v>1.0173816636037629</v>
      </c>
      <c r="W396" s="290">
        <f t="shared" ca="1" si="80"/>
        <v>1.0255300211227936</v>
      </c>
      <c r="X396" s="290">
        <f t="shared" ca="1" si="80"/>
        <v>1.03332283988844</v>
      </c>
      <c r="Y396" s="290">
        <f t="shared" ca="1" si="80"/>
        <v>1.0407655751132985</v>
      </c>
      <c r="Z396" s="290">
        <f t="shared" ca="1" si="80"/>
        <v>1.0478643366789882</v>
      </c>
      <c r="AA396" s="290">
        <f t="shared" ca="1" si="80"/>
        <v>1.0546258528550623</v>
      </c>
      <c r="AB396" s="290">
        <f t="shared" ca="1" si="80"/>
        <v>1.0610574338889798</v>
      </c>
      <c r="AC396" s="290">
        <f t="shared" ca="1" si="80"/>
        <v>1.06716693565252</v>
      </c>
      <c r="AD396" s="290">
        <f t="shared" ca="1" si="80"/>
        <v>1.0729627235181556</v>
      </c>
    </row>
    <row r="397" spans="1:30">
      <c r="A397" s="90">
        <v>311</v>
      </c>
      <c r="B397" s="90">
        <f t="shared" si="70"/>
        <v>1.244</v>
      </c>
      <c r="C397" s="291">
        <f t="shared" ca="1" si="71"/>
        <v>-1.8105467610364568E-2</v>
      </c>
      <c r="D397" s="292">
        <f t="shared" ca="1" si="72"/>
        <v>0.25611257100507545</v>
      </c>
      <c r="E397" s="291">
        <f t="shared" ca="1" si="73"/>
        <v>-1.7939934900699658E-2</v>
      </c>
      <c r="F397" s="293">
        <f t="shared" ca="1" si="74"/>
        <v>0.98499852264290155</v>
      </c>
      <c r="G397" s="90">
        <f t="shared" ca="1" si="69"/>
        <v>0.99562363170835932</v>
      </c>
      <c r="T397" s="289">
        <f t="shared" ca="1" si="80"/>
        <v>1</v>
      </c>
      <c r="U397" s="290">
        <f t="shared" ca="1" si="80"/>
        <v>1.0087860029781022</v>
      </c>
      <c r="V397" s="290">
        <f t="shared" ca="1" si="80"/>
        <v>1.0172064592122887</v>
      </c>
      <c r="W397" s="290">
        <f t="shared" ca="1" si="80"/>
        <v>1.025265505950925</v>
      </c>
      <c r="X397" s="290">
        <f t="shared" ca="1" si="80"/>
        <v>1.0329680042735101</v>
      </c>
      <c r="Y397" s="290">
        <f t="shared" ca="1" si="80"/>
        <v>1.0403195033868258</v>
      </c>
      <c r="Z397" s="290">
        <f t="shared" ca="1" si="80"/>
        <v>1.0473262044097924</v>
      </c>
      <c r="AA397" s="290">
        <f t="shared" ca="1" si="80"/>
        <v>1.0539949238535902</v>
      </c>
      <c r="AB397" s="290">
        <f t="shared" ca="1" si="80"/>
        <v>1.0603330569936986</v>
      </c>
      <c r="AC397" s="290">
        <f t="shared" ca="1" si="80"/>
        <v>1.0663485413189628</v>
      </c>
      <c r="AD397" s="290">
        <f t="shared" ca="1" si="80"/>
        <v>1.0720498202308133</v>
      </c>
    </row>
    <row r="398" spans="1:30">
      <c r="A398" s="90">
        <v>312</v>
      </c>
      <c r="B398" s="90">
        <f t="shared" si="70"/>
        <v>1.248</v>
      </c>
      <c r="C398" s="291">
        <f t="shared" ca="1" si="71"/>
        <v>-1.7932743759112107E-2</v>
      </c>
      <c r="D398" s="292">
        <f t="shared" ca="1" si="72"/>
        <v>0.12397109605922123</v>
      </c>
      <c r="E398" s="291">
        <f t="shared" ca="1" si="73"/>
        <v>-1.7852617776344924E-2</v>
      </c>
      <c r="F398" s="293">
        <f t="shared" ca="1" si="74"/>
        <v>0.98492801394360097</v>
      </c>
      <c r="G398" s="90">
        <f t="shared" ca="1" si="69"/>
        <v>0.99555236243673007</v>
      </c>
      <c r="T398" s="289">
        <f t="shared" ca="1" si="80"/>
        <v>1</v>
      </c>
      <c r="U398" s="290">
        <f t="shared" ca="1" si="80"/>
        <v>1.0087420258482873</v>
      </c>
      <c r="V398" s="290">
        <f t="shared" ca="1" si="80"/>
        <v>1.0171179016449232</v>
      </c>
      <c r="W398" s="290">
        <f t="shared" ca="1" si="80"/>
        <v>1.0251318146196471</v>
      </c>
      <c r="X398" s="290">
        <f t="shared" ca="1" si="80"/>
        <v>1.0327886746998267</v>
      </c>
      <c r="Y398" s="290">
        <f t="shared" ca="1" si="80"/>
        <v>1.0400940786651474</v>
      </c>
      <c r="Z398" s="290">
        <f t="shared" ca="1" si="80"/>
        <v>1.0470542738016808</v>
      </c>
      <c r="AA398" s="290">
        <f t="shared" ca="1" si="80"/>
        <v>1.0536761212618859</v>
      </c>
      <c r="AB398" s="290">
        <f t="shared" ca="1" si="80"/>
        <v>1.0599670593271069</v>
      </c>
      <c r="AC398" s="290">
        <f t="shared" ca="1" si="80"/>
        <v>1.065935066757534</v>
      </c>
      <c r="AD398" s="290">
        <f t="shared" ca="1" si="80"/>
        <v>1.0715886264025547</v>
      </c>
    </row>
    <row r="399" spans="1:30">
      <c r="A399" s="90">
        <v>313</v>
      </c>
      <c r="B399" s="90">
        <f t="shared" si="70"/>
        <v>1.252</v>
      </c>
      <c r="C399" s="291">
        <f t="shared" ca="1" si="71"/>
        <v>-1.7845428668709855E-2</v>
      </c>
      <c r="D399" s="292">
        <f t="shared" ca="1" si="72"/>
        <v>-0.88261121869701609</v>
      </c>
      <c r="E399" s="291">
        <f t="shared" ca="1" si="73"/>
        <v>-1.8415884956888964E-2</v>
      </c>
      <c r="F399" s="293">
        <f t="shared" ca="1" si="74"/>
        <v>0.98485657280596384</v>
      </c>
      <c r="G399" s="90">
        <f t="shared" ca="1" si="69"/>
        <v>0.99548015066861817</v>
      </c>
      <c r="T399" s="289">
        <f t="shared" ca="1" si="80"/>
        <v>1</v>
      </c>
      <c r="U399" s="290">
        <f t="shared" ca="1" si="80"/>
        <v>1.0090257481707361</v>
      </c>
      <c r="V399" s="290">
        <f t="shared" ca="1" si="80"/>
        <v>1.0176893062779755</v>
      </c>
      <c r="W399" s="290">
        <f t="shared" ca="1" si="80"/>
        <v>1.0259945401197648</v>
      </c>
      <c r="X399" s="290">
        <f t="shared" ca="1" si="80"/>
        <v>1.033946045348674</v>
      </c>
      <c r="Y399" s="290">
        <f t="shared" ca="1" si="80"/>
        <v>1.0415491125449328</v>
      </c>
      <c r="Z399" s="290">
        <f t="shared" ca="1" si="80"/>
        <v>1.0488096917206302</v>
      </c>
      <c r="AA399" s="290">
        <f t="shared" ca="1" si="80"/>
        <v>1.0557343564615478</v>
      </c>
      <c r="AB399" s="290">
        <f t="shared" ca="1" si="80"/>
        <v>1.0623302679036644</v>
      </c>
      <c r="AC399" s="290">
        <f t="shared" ca="1" si="80"/>
        <v>1.0686051387301707</v>
      </c>
      <c r="AD399" s="290">
        <f t="shared" ca="1" si="80"/>
        <v>1.0745671973631608</v>
      </c>
    </row>
    <row r="400" spans="1:30">
      <c r="A400" s="90">
        <v>314</v>
      </c>
      <c r="B400" s="90">
        <f t="shared" si="70"/>
        <v>1.256</v>
      </c>
      <c r="C400" s="291">
        <f t="shared" ca="1" si="71"/>
        <v>-1.8408682728589549E-2</v>
      </c>
      <c r="D400" s="292">
        <f t="shared" ca="1" si="72"/>
        <v>0.35402354686178689</v>
      </c>
      <c r="E400" s="291">
        <f t="shared" ca="1" si="73"/>
        <v>-1.8179867419886673E-2</v>
      </c>
      <c r="F400" s="293">
        <f t="shared" ca="1" si="74"/>
        <v>0.98478449230930598</v>
      </c>
      <c r="G400" s="90">
        <f t="shared" ca="1" si="69"/>
        <v>0.99540729264476524</v>
      </c>
      <c r="T400" s="289">
        <f t="shared" ca="1" si="80"/>
        <v>1</v>
      </c>
      <c r="U400" s="290">
        <f t="shared" ca="1" si="80"/>
        <v>1.008906854479493</v>
      </c>
      <c r="V400" s="290">
        <f t="shared" ca="1" si="80"/>
        <v>1.0174498399613146</v>
      </c>
      <c r="W400" s="290">
        <f t="shared" ca="1" si="80"/>
        <v>1.025632956640923</v>
      </c>
      <c r="X400" s="290">
        <f t="shared" ca="1" si="80"/>
        <v>1.0334609316141241</v>
      </c>
      <c r="Y400" s="290">
        <f t="shared" ca="1" si="80"/>
        <v>1.0409391835636712</v>
      </c>
      <c r="Z400" s="290">
        <f t="shared" ca="1" si="80"/>
        <v>1.0480737869053951</v>
      </c>
      <c r="AA400" s="290">
        <f t="shared" ca="1" si="80"/>
        <v>1.0548714356004432</v>
      </c>
      <c r="AB400" s="290">
        <f t="shared" ca="1" si="80"/>
        <v>1.0613394068304864</v>
      </c>
      <c r="AC400" s="290">
        <f t="shared" ca="1" si="80"/>
        <v>1.0674855247213832</v>
      </c>
      <c r="AD400" s="290">
        <f t="shared" ca="1" si="80"/>
        <v>1.0733181242889644</v>
      </c>
    </row>
    <row r="401" spans="1:30">
      <c r="A401" s="90">
        <v>315</v>
      </c>
      <c r="B401" s="90">
        <f t="shared" si="70"/>
        <v>1.26</v>
      </c>
      <c r="C401" s="291">
        <f t="shared" ca="1" si="71"/>
        <v>-1.8172670689345676E-2</v>
      </c>
      <c r="D401" s="292">
        <f t="shared" ca="1" si="72"/>
        <v>-0.14635791281209909</v>
      </c>
      <c r="E401" s="291">
        <f t="shared" ca="1" si="73"/>
        <v>-1.8267265897201394E-2</v>
      </c>
      <c r="F401" s="293">
        <f t="shared" ca="1" si="74"/>
        <v>0.98471270978224557</v>
      </c>
      <c r="G401" s="90">
        <f t="shared" ca="1" si="69"/>
        <v>0.99533473580468657</v>
      </c>
      <c r="T401" s="289">
        <f t="shared" ca="1" si="80"/>
        <v>1</v>
      </c>
      <c r="U401" s="290">
        <f t="shared" ca="1" si="80"/>
        <v>1.008950879776056</v>
      </c>
      <c r="V401" s="290">
        <f t="shared" ca="1" si="80"/>
        <v>1.0175385089688047</v>
      </c>
      <c r="W401" s="290">
        <f t="shared" ca="1" si="80"/>
        <v>1.0257668379566531</v>
      </c>
      <c r="X401" s="290">
        <f t="shared" ca="1" si="80"/>
        <v>1.0336405451198063</v>
      </c>
      <c r="Y401" s="290">
        <f t="shared" ca="1" si="80"/>
        <v>1.0411650016697236</v>
      </c>
      <c r="Z401" s="290">
        <f t="shared" ca="1" si="80"/>
        <v>1.0483462359275326</v>
      </c>
      <c r="AA401" s="290">
        <f t="shared" ca="1" si="80"/>
        <v>1.0551908972579871</v>
      </c>
      <c r="AB401" s="290">
        <f t="shared" ca="1" si="80"/>
        <v>1.0617062198558904</v>
      </c>
      <c r="AC401" s="290">
        <f t="shared" ca="1" si="80"/>
        <v>1.0678999865706116</v>
      </c>
      <c r="AD401" s="290">
        <f t="shared" ca="1" si="80"/>
        <v>1.0737804929425416</v>
      </c>
    </row>
    <row r="402" spans="1:30">
      <c r="A402" s="90">
        <v>316</v>
      </c>
      <c r="B402" s="90">
        <f t="shared" si="70"/>
        <v>1.264</v>
      </c>
      <c r="C402" s="291">
        <f t="shared" ca="1" si="71"/>
        <v>-1.826006713081289E-2</v>
      </c>
      <c r="D402" s="292">
        <f t="shared" ca="1" si="72"/>
        <v>0.91410650334758603</v>
      </c>
      <c r="E402" s="291">
        <f t="shared" ca="1" si="73"/>
        <v>-1.7669254560279436E-2</v>
      </c>
      <c r="F402" s="293">
        <f t="shared" ca="1" si="74"/>
        <v>0.98464193802868694</v>
      </c>
      <c r="G402" s="90">
        <f t="shared" ref="G402:G465" ca="1" si="81">G401*EXP($B$81*(E401+E402)/2)</f>
        <v>0.99526320064125162</v>
      </c>
      <c r="T402" s="289">
        <f t="shared" ca="1" si="80"/>
        <v>1</v>
      </c>
      <c r="U402" s="290">
        <f t="shared" ca="1" si="80"/>
        <v>1.0086496814982782</v>
      </c>
      <c r="V402" s="290">
        <f t="shared" ca="1" si="80"/>
        <v>1.0169319586314503</v>
      </c>
      <c r="W402" s="290">
        <f t="shared" ca="1" si="80"/>
        <v>1.0248511237669755</v>
      </c>
      <c r="X402" s="290">
        <f t="shared" ca="1" si="80"/>
        <v>1.0324121895608469</v>
      </c>
      <c r="Y402" s="290">
        <f t="shared" ca="1" si="80"/>
        <v>1.0396208528163264</v>
      </c>
      <c r="Z402" s="290">
        <f t="shared" ca="1" si="80"/>
        <v>1.0464834578645823</v>
      </c>
      <c r="AA402" s="290">
        <f t="shared" ca="1" si="80"/>
        <v>1.0530069596737379</v>
      </c>
      <c r="AB402" s="290">
        <f t="shared" ca="1" si="80"/>
        <v>1.0591988868827167</v>
      </c>
      <c r="AC402" s="290">
        <f t="shared" ca="1" si="80"/>
        <v>1.0650673049445358</v>
      </c>
      <c r="AD402" s="290">
        <f t="shared" ca="1" si="80"/>
        <v>1.070620779551535</v>
      </c>
    </row>
    <row r="403" spans="1:30">
      <c r="A403" s="90">
        <v>317</v>
      </c>
      <c r="B403" s="90">
        <f t="shared" si="70"/>
        <v>1.268</v>
      </c>
      <c r="C403" s="291">
        <f t="shared" ca="1" si="71"/>
        <v>-1.7662069723880638E-2</v>
      </c>
      <c r="D403" s="292">
        <f t="shared" ca="1" si="72"/>
        <v>0.84574457949633508</v>
      </c>
      <c r="E403" s="291">
        <f t="shared" ca="1" si="73"/>
        <v>-1.7115441374561297E-2</v>
      </c>
      <c r="F403" s="293">
        <f t="shared" ca="1" si="74"/>
        <v>0.98457343947057796</v>
      </c>
      <c r="G403" s="90">
        <f t="shared" ca="1" si="81"/>
        <v>0.99519396319406417</v>
      </c>
      <c r="T403" s="289">
        <f t="shared" ca="1" si="80"/>
        <v>1</v>
      </c>
      <c r="U403" s="290">
        <f t="shared" ca="1" si="80"/>
        <v>1.0083708245421337</v>
      </c>
      <c r="V403" s="290">
        <f t="shared" ca="1" si="80"/>
        <v>1.0163705600209556</v>
      </c>
      <c r="W403" s="290">
        <f t="shared" ca="1" si="80"/>
        <v>1.024003817776614</v>
      </c>
      <c r="X403" s="290">
        <f t="shared" ca="1" si="80"/>
        <v>1.0312759219245264</v>
      </c>
      <c r="Y403" s="290">
        <f t="shared" ca="1" si="80"/>
        <v>1.0381928723295393</v>
      </c>
      <c r="Z403" s="290">
        <f t="shared" ca="1" si="80"/>
        <v>1.0447613071708339</v>
      </c>
      <c r="AA403" s="290">
        <f t="shared" ca="1" si="80"/>
        <v>1.0509884653038739</v>
      </c>
      <c r="AB403" s="290">
        <f t="shared" ca="1" si="80"/>
        <v>1.0568821486151272</v>
      </c>
      <c r="AC403" s="290">
        <f t="shared" ca="1" si="80"/>
        <v>1.0624506845531749</v>
      </c>
      <c r="AD403" s="290">
        <f t="shared" ca="1" si="80"/>
        <v>1.0677028890072982</v>
      </c>
    </row>
    <row r="404" spans="1:30">
      <c r="A404" s="90">
        <v>318</v>
      </c>
      <c r="B404" s="90">
        <f t="shared" si="70"/>
        <v>1.272</v>
      </c>
      <c r="C404" s="291">
        <f t="shared" ca="1" si="71"/>
        <v>-1.7108269438606858E-2</v>
      </c>
      <c r="D404" s="292">
        <f t="shared" ca="1" si="72"/>
        <v>-0.40177414872431699</v>
      </c>
      <c r="E404" s="291">
        <f t="shared" ca="1" si="73"/>
        <v>-1.7367947295303436E-2</v>
      </c>
      <c r="F404" s="293">
        <f t="shared" ca="1" si="74"/>
        <v>0.98450553895487014</v>
      </c>
      <c r="G404" s="90">
        <f t="shared" ca="1" si="81"/>
        <v>0.99512533024031868</v>
      </c>
      <c r="T404" s="289">
        <f t="shared" ca="1" si="80"/>
        <v>1</v>
      </c>
      <c r="U404" s="290">
        <f t="shared" ca="1" si="80"/>
        <v>1.0084979571890782</v>
      </c>
      <c r="V404" s="290">
        <f t="shared" ca="1" si="80"/>
        <v>1.0166264859952916</v>
      </c>
      <c r="W404" s="290">
        <f t="shared" ca="1" si="80"/>
        <v>1.0243900520654259</v>
      </c>
      <c r="X404" s="290">
        <f t="shared" ca="1" si="80"/>
        <v>1.0317938372913589</v>
      </c>
      <c r="Y404" s="290">
        <f t="shared" ca="1" si="80"/>
        <v>1.0388437031857849</v>
      </c>
      <c r="Z404" s="290">
        <f t="shared" ca="1" si="80"/>
        <v>1.0455461538171447</v>
      </c>
      <c r="AA404" s="290">
        <f t="shared" ca="1" si="80"/>
        <v>1.051908298510168</v>
      </c>
      <c r="AB404" s="290">
        <f t="shared" ca="1" si="80"/>
        <v>1.0579378145080842</v>
      </c>
      <c r="AC404" s="290">
        <f t="shared" ca="1" si="80"/>
        <v>1.0636429097805971</v>
      </c>
      <c r="AD404" s="290">
        <f t="shared" ca="1" si="80"/>
        <v>1.0690322861493713</v>
      </c>
    </row>
    <row r="405" spans="1:30">
      <c r="A405" s="90">
        <v>319</v>
      </c>
      <c r="B405" s="90">
        <f t="shared" si="70"/>
        <v>1.276</v>
      </c>
      <c r="C405" s="291">
        <f t="shared" ca="1" si="71"/>
        <v>-1.7360769477512548E-2</v>
      </c>
      <c r="D405" s="292">
        <f t="shared" ca="1" si="72"/>
        <v>1.0561331798962637</v>
      </c>
      <c r="E405" s="291">
        <f t="shared" ca="1" si="73"/>
        <v>-1.6678161098122299E-2</v>
      </c>
      <c r="F405" s="293">
        <f t="shared" ca="1" si="74"/>
        <v>0.9844385040725866</v>
      </c>
      <c r="G405" s="90">
        <f t="shared" ca="1" si="81"/>
        <v>0.99505757225752367</v>
      </c>
      <c r="T405" s="289">
        <f t="shared" ca="1" si="80"/>
        <v>1</v>
      </c>
      <c r="U405" s="290">
        <f t="shared" ca="1" si="80"/>
        <v>1.0081506989033904</v>
      </c>
      <c r="V405" s="290">
        <f t="shared" ca="1" si="80"/>
        <v>1.0159275094089535</v>
      </c>
      <c r="W405" s="290">
        <f t="shared" ca="1" si="80"/>
        <v>1.023335296158812</v>
      </c>
      <c r="X405" s="290">
        <f t="shared" ca="1" si="80"/>
        <v>1.0303796303858017</v>
      </c>
      <c r="Y405" s="290">
        <f t="shared" ca="1" si="80"/>
        <v>1.0370667521992958</v>
      </c>
      <c r="Z405" s="290">
        <f t="shared" ca="1" si="80"/>
        <v>1.0434035325169952</v>
      </c>
      <c r="AA405" s="290">
        <f t="shared" ca="1" si="80"/>
        <v>1.0493974348486987</v>
      </c>
      <c r="AB405" s="290">
        <f t="shared" ca="1" si="80"/>
        <v>1.0550564771271829</v>
      </c>
      <c r="AC405" s="290">
        <f t="shared" ca="1" si="80"/>
        <v>1.0603891937688812</v>
      </c>
      <c r="AD405" s="290">
        <f t="shared" ca="1" si="80"/>
        <v>1.0654045981342499</v>
      </c>
    </row>
    <row r="406" spans="1:30">
      <c r="A406" s="90">
        <v>320</v>
      </c>
      <c r="B406" s="90">
        <f t="shared" si="70"/>
        <v>1.28</v>
      </c>
      <c r="C406" s="291">
        <f t="shared" ca="1" si="71"/>
        <v>-1.6670999348111459E-2</v>
      </c>
      <c r="D406" s="292">
        <f t="shared" ca="1" si="72"/>
        <v>-2.3463302112284468</v>
      </c>
      <c r="E406" s="291">
        <f t="shared" ca="1" si="73"/>
        <v>-1.8187498113123601E-2</v>
      </c>
      <c r="F406" s="293">
        <f t="shared" ca="1" si="74"/>
        <v>0.98436986027113094</v>
      </c>
      <c r="G406" s="90">
        <f t="shared" ca="1" si="81"/>
        <v>0.99498818800025979</v>
      </c>
      <c r="T406" s="289">
        <f t="shared" ref="T406:AD415" ca="1" si="82">EXP(T$82-$E406*T$83)</f>
        <v>1</v>
      </c>
      <c r="U406" s="290">
        <f t="shared" ca="1" si="82"/>
        <v>1.008910698217433</v>
      </c>
      <c r="V406" s="290">
        <f t="shared" ca="1" si="82"/>
        <v>1.0174575812756901</v>
      </c>
      <c r="W406" s="290">
        <f t="shared" ca="1" si="82"/>
        <v>1.0256446450184626</v>
      </c>
      <c r="X406" s="290">
        <f t="shared" ca="1" si="82"/>
        <v>1.0334766122863075</v>
      </c>
      <c r="Y406" s="290">
        <f t="shared" ca="1" si="82"/>
        <v>1.0409588976157078</v>
      </c>
      <c r="Z406" s="290">
        <f t="shared" ca="1" si="82"/>
        <v>1.0480975713967366</v>
      </c>
      <c r="AA406" s="290">
        <f t="shared" ca="1" si="82"/>
        <v>1.0548993236959088</v>
      </c>
      <c r="AB406" s="290">
        <f t="shared" ca="1" si="82"/>
        <v>1.0613714279410809</v>
      </c>
      <c r="AC406" s="290">
        <f t="shared" ca="1" si="82"/>
        <v>1.0675217046539027</v>
      </c>
      <c r="AD406" s="290">
        <f t="shared" ca="1" si="82"/>
        <v>1.0733584854035012</v>
      </c>
    </row>
    <row r="407" spans="1:30">
      <c r="A407" s="90">
        <v>321</v>
      </c>
      <c r="B407" s="90">
        <f t="shared" ref="B407:B470" si="83">A407*$B$81</f>
        <v>1.284</v>
      </c>
      <c r="C407" s="291">
        <f t="shared" ca="1" si="71"/>
        <v>-1.8180301204834336E-2</v>
      </c>
      <c r="D407" s="292">
        <f t="shared" ca="1" si="72"/>
        <v>1.2041334146519602</v>
      </c>
      <c r="E407" s="291">
        <f t="shared" ca="1" si="73"/>
        <v>-1.7402036139034627E-2</v>
      </c>
      <c r="F407" s="293">
        <f t="shared" ca="1" si="74"/>
        <v>0.98429979623498909</v>
      </c>
      <c r="G407" s="90">
        <f t="shared" ca="1" si="81"/>
        <v>0.9949173681883392</v>
      </c>
      <c r="T407" s="289">
        <f t="shared" ca="1" si="82"/>
        <v>1</v>
      </c>
      <c r="U407" s="290">
        <f t="shared" ca="1" si="82"/>
        <v>1.0085151215984915</v>
      </c>
      <c r="V407" s="290">
        <f t="shared" ca="1" si="82"/>
        <v>1.0166610414905115</v>
      </c>
      <c r="W407" s="290">
        <f t="shared" ca="1" si="82"/>
        <v>1.0244422056870783</v>
      </c>
      <c r="X407" s="290">
        <f t="shared" ca="1" si="82"/>
        <v>1.0318637769070556</v>
      </c>
      <c r="Y407" s="290">
        <f t="shared" ca="1" si="82"/>
        <v>1.0389315980073131</v>
      </c>
      <c r="Z407" s="290">
        <f t="shared" ca="1" si="82"/>
        <v>1.0456521549678564</v>
      </c>
      <c r="AA407" s="290">
        <f t="shared" ca="1" si="82"/>
        <v>1.0520325396383439</v>
      </c>
      <c r="AB407" s="290">
        <f t="shared" ca="1" si="82"/>
        <v>1.0580804124420855</v>
      </c>
      <c r="AC407" s="290">
        <f t="shared" ca="1" si="82"/>
        <v>1.0638039652216857</v>
      </c>
      <c r="AD407" s="290">
        <f t="shared" ca="1" si="82"/>
        <v>1.0692118843981633</v>
      </c>
    </row>
    <row r="408" spans="1:30">
      <c r="A408" s="90">
        <v>322</v>
      </c>
      <c r="B408" s="90">
        <f t="shared" si="83"/>
        <v>1.288</v>
      </c>
      <c r="C408" s="291">
        <f t="shared" ref="C408:C471" ca="1" si="84">E407*EXP(-$B$78*$B$81)+$B$77*(1-EXP(-$B$78*$B$81))</f>
        <v>-1.7394857527183137E-2</v>
      </c>
      <c r="D408" s="292">
        <f t="shared" ref="D408:D471" ca="1" si="85">NORMSINV(RAND())</f>
        <v>-1.0596862750155931</v>
      </c>
      <c r="E408" s="291">
        <f t="shared" ref="E408:E471" ca="1" si="86">C408+($B$82^0.5)*D408</f>
        <v>-1.8079762371211928E-2</v>
      </c>
      <c r="F408" s="293">
        <f t="shared" ref="F408:F471" ca="1" si="87">F407*EXP($B$81*(E407+E408)/2)</f>
        <v>0.98422994925922735</v>
      </c>
      <c r="G408" s="90">
        <f t="shared" ca="1" si="81"/>
        <v>0.99484676777821346</v>
      </c>
      <c r="T408" s="289">
        <f t="shared" ca="1" si="82"/>
        <v>1</v>
      </c>
      <c r="U408" s="290">
        <f t="shared" ca="1" si="82"/>
        <v>1.0088564308530532</v>
      </c>
      <c r="V408" s="290">
        <f t="shared" ca="1" si="82"/>
        <v>1.0173482891576779</v>
      </c>
      <c r="W408" s="290">
        <f t="shared" ca="1" si="82"/>
        <v>1.0254796322391428</v>
      </c>
      <c r="X408" s="290">
        <f t="shared" ca="1" si="82"/>
        <v>1.0332552430506214</v>
      </c>
      <c r="Y408" s="290">
        <f t="shared" ca="1" si="82"/>
        <v>1.0406805946965809</v>
      </c>
      <c r="Z408" s="290">
        <f t="shared" ca="1" si="82"/>
        <v>1.0477618144278416</v>
      </c>
      <c r="AA408" s="290">
        <f t="shared" ca="1" si="82"/>
        <v>1.0545056473148866</v>
      </c>
      <c r="AB408" s="290">
        <f t="shared" ca="1" si="82"/>
        <v>1.0609194197961975</v>
      </c>
      <c r="AC408" s="290">
        <f t="shared" ca="1" si="82"/>
        <v>1.0670110032869431</v>
      </c>
      <c r="AD408" s="290">
        <f t="shared" ca="1" si="82"/>
        <v>1.0727887780214724</v>
      </c>
    </row>
    <row r="409" spans="1:30">
      <c r="A409" s="90">
        <v>323</v>
      </c>
      <c r="B409" s="90">
        <f t="shared" si="83"/>
        <v>1.292</v>
      </c>
      <c r="C409" s="291">
        <f t="shared" ca="1" si="84"/>
        <v>-1.8072567972503475E-2</v>
      </c>
      <c r="D409" s="292">
        <f t="shared" ca="1" si="85"/>
        <v>-0.85597241263838053</v>
      </c>
      <c r="E409" s="291">
        <f t="shared" ca="1" si="86"/>
        <v>-1.8625806856117789E-2</v>
      </c>
      <c r="F409" s="293">
        <f t="shared" ca="1" si="87"/>
        <v>0.98415769847018986</v>
      </c>
      <c r="G409" s="90">
        <f t="shared" ca="1" si="81"/>
        <v>0.99477373762504906</v>
      </c>
      <c r="T409" s="289">
        <f t="shared" ca="1" si="82"/>
        <v>1</v>
      </c>
      <c r="U409" s="290">
        <f t="shared" ca="1" si="82"/>
        <v>1.0091315079730638</v>
      </c>
      <c r="V409" s="290">
        <f t="shared" ca="1" si="82"/>
        <v>1.0179023429946237</v>
      </c>
      <c r="W409" s="290">
        <f t="shared" ca="1" si="82"/>
        <v>1.0263162516827253</v>
      </c>
      <c r="X409" s="290">
        <f t="shared" ca="1" si="82"/>
        <v>1.0343777130834355</v>
      </c>
      <c r="Y409" s="290">
        <f t="shared" ca="1" si="82"/>
        <v>1.0420919040897954</v>
      </c>
      <c r="Z409" s="290">
        <f t="shared" ca="1" si="82"/>
        <v>1.0494646642667107</v>
      </c>
      <c r="AA409" s="290">
        <f t="shared" ca="1" si="82"/>
        <v>1.0565024602883255</v>
      </c>
      <c r="AB409" s="290">
        <f t="shared" ca="1" si="82"/>
        <v>1.0632123501850503</v>
      </c>
      <c r="AC409" s="290">
        <f t="shared" ca="1" si="82"/>
        <v>1.0696019475863754</v>
      </c>
      <c r="AD409" s="290">
        <f t="shared" ca="1" si="82"/>
        <v>1.0756793861340626</v>
      </c>
    </row>
    <row r="410" spans="1:30">
      <c r="A410" s="90">
        <v>324</v>
      </c>
      <c r="B410" s="90">
        <f t="shared" si="83"/>
        <v>1.296</v>
      </c>
      <c r="C410" s="291">
        <f t="shared" ca="1" si="84"/>
        <v>-1.8618599737927975E-2</v>
      </c>
      <c r="D410" s="292">
        <f t="shared" ca="1" si="85"/>
        <v>-0.16939918044091642</v>
      </c>
      <c r="E410" s="291">
        <f t="shared" ca="1" si="86"/>
        <v>-1.8728087160756759E-2</v>
      </c>
      <c r="F410" s="293">
        <f t="shared" ca="1" si="87"/>
        <v>0.98408417697180928</v>
      </c>
      <c r="G410" s="90">
        <f t="shared" ca="1" si="81"/>
        <v>0.9946994230554902</v>
      </c>
      <c r="T410" s="289">
        <f t="shared" ca="1" si="82"/>
        <v>1</v>
      </c>
      <c r="U410" s="290">
        <f t="shared" ca="1" si="82"/>
        <v>1.0091830413667953</v>
      </c>
      <c r="V410" s="290">
        <f t="shared" ca="1" si="82"/>
        <v>1.0180061570896071</v>
      </c>
      <c r="W410" s="290">
        <f t="shared" ca="1" si="82"/>
        <v>1.0264730358425835</v>
      </c>
      <c r="X410" s="290">
        <f t="shared" ca="1" si="82"/>
        <v>1.0345880999633692</v>
      </c>
      <c r="Y410" s="290">
        <f t="shared" ca="1" si="82"/>
        <v>1.0423564710412319</v>
      </c>
      <c r="Z410" s="290">
        <f t="shared" ca="1" si="82"/>
        <v>1.0497839348989486</v>
      </c>
      <c r="AA410" s="290">
        <f t="shared" ca="1" si="82"/>
        <v>1.0568769061749841</v>
      </c>
      <c r="AB410" s="290">
        <f t="shared" ca="1" si="82"/>
        <v>1.0636423927031848</v>
      </c>
      <c r="AC410" s="290">
        <f t="shared" ca="1" si="82"/>
        <v>1.0700879598762572</v>
      </c>
      <c r="AD410" s="290">
        <f t="shared" ca="1" si="82"/>
        <v>1.0762216951678272</v>
      </c>
    </row>
    <row r="411" spans="1:30">
      <c r="A411" s="90">
        <v>325</v>
      </c>
      <c r="B411" s="90">
        <f t="shared" si="83"/>
        <v>1.3</v>
      </c>
      <c r="C411" s="291">
        <f t="shared" ca="1" si="84"/>
        <v>-1.8720877660064302E-2</v>
      </c>
      <c r="D411" s="292">
        <f t="shared" ca="1" si="85"/>
        <v>0.1293164859638693</v>
      </c>
      <c r="E411" s="291">
        <f t="shared" ca="1" si="86"/>
        <v>-1.8637296802467434E-2</v>
      </c>
      <c r="F411" s="293">
        <f t="shared" ca="1" si="87"/>
        <v>0.98401063835339275</v>
      </c>
      <c r="G411" s="90">
        <f t="shared" ca="1" si="81"/>
        <v>0.99462509118122278</v>
      </c>
      <c r="T411" s="289">
        <f t="shared" ca="1" si="82"/>
        <v>1</v>
      </c>
      <c r="U411" s="290">
        <f t="shared" ca="1" si="82"/>
        <v>1.0091372969909134</v>
      </c>
      <c r="V411" s="290">
        <f t="shared" ca="1" si="82"/>
        <v>1.0179140047157709</v>
      </c>
      <c r="W411" s="290">
        <f t="shared" ca="1" si="82"/>
        <v>1.02633386327924</v>
      </c>
      <c r="X411" s="290">
        <f t="shared" ca="1" si="82"/>
        <v>1.0344013453534009</v>
      </c>
      <c r="Y411" s="290">
        <f t="shared" ca="1" si="82"/>
        <v>1.0421216216156821</v>
      </c>
      <c r="Z411" s="290">
        <f t="shared" ca="1" si="82"/>
        <v>1.0495005255913634</v>
      </c>
      <c r="AA411" s="290">
        <f t="shared" ca="1" si="82"/>
        <v>1.0565445181071904</v>
      </c>
      <c r="AB411" s="290">
        <f t="shared" ca="1" si="82"/>
        <v>1.0632606515532772</v>
      </c>
      <c r="AC411" s="290">
        <f t="shared" ca="1" si="82"/>
        <v>1.0696565341394464</v>
      </c>
      <c r="AD411" s="290">
        <f t="shared" ca="1" si="82"/>
        <v>1.0757402943206196</v>
      </c>
    </row>
    <row r="412" spans="1:30">
      <c r="A412" s="90">
        <v>326</v>
      </c>
      <c r="B412" s="90">
        <f t="shared" si="83"/>
        <v>1.304</v>
      </c>
      <c r="C412" s="291">
        <f t="shared" ca="1" si="84"/>
        <v>-1.8630089416632467E-2</v>
      </c>
      <c r="D412" s="292">
        <f t="shared" ca="1" si="85"/>
        <v>1.0898283014317973</v>
      </c>
      <c r="E412" s="291">
        <f t="shared" ca="1" si="86"/>
        <v>-1.7925702938852216E-2</v>
      </c>
      <c r="F412" s="293">
        <f t="shared" ca="1" si="87"/>
        <v>0.98393868422285258</v>
      </c>
      <c r="G412" s="90">
        <f t="shared" ca="1" si="81"/>
        <v>0.99455236088658983</v>
      </c>
      <c r="T412" s="289">
        <f t="shared" ca="1" si="82"/>
        <v>1</v>
      </c>
      <c r="U412" s="290">
        <f t="shared" ca="1" si="82"/>
        <v>1.0087788349425377</v>
      </c>
      <c r="V412" s="290">
        <f t="shared" ca="1" si="82"/>
        <v>1.0171920245426596</v>
      </c>
      <c r="W412" s="290">
        <f t="shared" ca="1" si="82"/>
        <v>1.025243714191505</v>
      </c>
      <c r="X412" s="290">
        <f t="shared" ca="1" si="82"/>
        <v>1.0329387729271962</v>
      </c>
      <c r="Y412" s="290">
        <f t="shared" ca="1" si="82"/>
        <v>1.0402827577079108</v>
      </c>
      <c r="Z412" s="290">
        <f t="shared" ca="1" si="82"/>
        <v>1.0472818771753922</v>
      </c>
      <c r="AA412" s="290">
        <f t="shared" ca="1" si="82"/>
        <v>1.0539429551154667</v>
      </c>
      <c r="AB412" s="290">
        <f t="shared" ca="1" si="82"/>
        <v>1.0602733938121987</v>
      </c>
      <c r="AC412" s="290">
        <f t="shared" ca="1" si="82"/>
        <v>1.0662811374807741</v>
      </c>
      <c r="AD412" s="290">
        <f t="shared" ca="1" si="82"/>
        <v>1.071974635952204</v>
      </c>
    </row>
    <row r="413" spans="1:30">
      <c r="A413" s="90">
        <v>327</v>
      </c>
      <c r="B413" s="90">
        <f t="shared" si="83"/>
        <v>1.3080000000000001</v>
      </c>
      <c r="C413" s="291">
        <f t="shared" ca="1" si="84"/>
        <v>-1.7918512128781931E-2</v>
      </c>
      <c r="D413" s="292">
        <f t="shared" ca="1" si="85"/>
        <v>1.6075046378080615</v>
      </c>
      <c r="E413" s="291">
        <f t="shared" ca="1" si="86"/>
        <v>-1.6879536972462868E-2</v>
      </c>
      <c r="F413" s="293">
        <f t="shared" ca="1" si="87"/>
        <v>0.98387019416276844</v>
      </c>
      <c r="G413" s="90">
        <f t="shared" ca="1" si="81"/>
        <v>0.99448313202909477</v>
      </c>
      <c r="T413" s="289">
        <f t="shared" ca="1" si="82"/>
        <v>1</v>
      </c>
      <c r="U413" s="290">
        <f t="shared" ca="1" si="82"/>
        <v>1.0082520649719573</v>
      </c>
      <c r="V413" s="290">
        <f t="shared" ca="1" si="82"/>
        <v>1.0161315186363495</v>
      </c>
      <c r="W413" s="290">
        <f t="shared" ca="1" si="82"/>
        <v>1.0236431088310705</v>
      </c>
      <c r="X413" s="290">
        <f t="shared" ca="1" si="82"/>
        <v>1.0307922928605204</v>
      </c>
      <c r="Y413" s="290">
        <f t="shared" ca="1" si="82"/>
        <v>1.037585200097296</v>
      </c>
      <c r="Z413" s="290">
        <f t="shared" ca="1" si="82"/>
        <v>1.0440285942043237</v>
      </c>
      <c r="AA413" s="290">
        <f t="shared" ca="1" si="82"/>
        <v>1.0501298351835915</v>
      </c>
      <c r="AB413" s="290">
        <f t="shared" ca="1" si="82"/>
        <v>1.0558968414468957</v>
      </c>
      <c r="AC413" s="290">
        <f t="shared" ca="1" si="82"/>
        <v>1.0613380520917322</v>
      </c>
      <c r="AD413" s="290">
        <f t="shared" ca="1" si="82"/>
        <v>1.0664623895527792</v>
      </c>
    </row>
    <row r="414" spans="1:30">
      <c r="A414" s="90">
        <v>328</v>
      </c>
      <c r="B414" s="90">
        <f t="shared" si="83"/>
        <v>1.3120000000000001</v>
      </c>
      <c r="C414" s="291">
        <f t="shared" ca="1" si="84"/>
        <v>-1.6872370531631497E-2</v>
      </c>
      <c r="D414" s="292">
        <f t="shared" ca="1" si="85"/>
        <v>0.19573736430822902</v>
      </c>
      <c r="E414" s="291">
        <f t="shared" ca="1" si="86"/>
        <v>-1.6745860004758664E-2</v>
      </c>
      <c r="F414" s="293">
        <f t="shared" ca="1" si="87"/>
        <v>0.98380403033587283</v>
      </c>
      <c r="G414" s="90">
        <f t="shared" ca="1" si="81"/>
        <v>0.99441625449770032</v>
      </c>
      <c r="T414" s="289">
        <f t="shared" ca="1" si="82"/>
        <v>1</v>
      </c>
      <c r="U414" s="290">
        <f t="shared" ca="1" si="82"/>
        <v>1.0081847751949722</v>
      </c>
      <c r="V414" s="290">
        <f t="shared" ca="1" si="82"/>
        <v>1.0159960890303044</v>
      </c>
      <c r="W414" s="290">
        <f t="shared" ca="1" si="82"/>
        <v>1.0234387668517779</v>
      </c>
      <c r="X414" s="290">
        <f t="shared" ca="1" si="82"/>
        <v>1.0305183415679544</v>
      </c>
      <c r="Y414" s="290">
        <f t="shared" ca="1" si="82"/>
        <v>1.0372410160419734</v>
      </c>
      <c r="Z414" s="290">
        <f t="shared" ca="1" si="82"/>
        <v>1.0436136251207146</v>
      </c>
      <c r="AA414" s="290">
        <f t="shared" ca="1" si="82"/>
        <v>1.0496435975073968</v>
      </c>
      <c r="AB414" s="290">
        <f t="shared" ca="1" si="82"/>
        <v>1.0553389176728327</v>
      </c>
      <c r="AC414" s="290">
        <f t="shared" ca="1" si="82"/>
        <v>1.0607080879881852</v>
      </c>
      <c r="AD414" s="290">
        <f t="shared" ca="1" si="82"/>
        <v>1.0657600912493002</v>
      </c>
    </row>
    <row r="415" spans="1:30">
      <c r="A415" s="90">
        <v>329</v>
      </c>
      <c r="B415" s="90">
        <f t="shared" si="83"/>
        <v>1.3160000000000001</v>
      </c>
      <c r="C415" s="291">
        <f t="shared" ca="1" si="84"/>
        <v>-1.6738696677779271E-2</v>
      </c>
      <c r="D415" s="292">
        <f t="shared" ca="1" si="85"/>
        <v>-1.0833859495412046</v>
      </c>
      <c r="E415" s="291">
        <f t="shared" ca="1" si="86"/>
        <v>-1.743891928355246E-2</v>
      </c>
      <c r="F415" s="293">
        <f t="shared" ca="1" si="87"/>
        <v>0.98373677038788554</v>
      </c>
      <c r="G415" s="90">
        <f t="shared" ca="1" si="81"/>
        <v>0.99434826902143381</v>
      </c>
      <c r="T415" s="289">
        <f t="shared" ca="1" si="82"/>
        <v>1</v>
      </c>
      <c r="U415" s="290">
        <f t="shared" ca="1" si="82"/>
        <v>1.0085336933228481</v>
      </c>
      <c r="V415" s="290">
        <f t="shared" ca="1" si="82"/>
        <v>1.0166984308613842</v>
      </c>
      <c r="W415" s="290">
        <f t="shared" ca="1" si="82"/>
        <v>1.0244986373902851</v>
      </c>
      <c r="X415" s="290">
        <f t="shared" ca="1" si="82"/>
        <v>1.0319394548912346</v>
      </c>
      <c r="Y415" s="290">
        <f t="shared" ca="1" si="82"/>
        <v>1.0390267060420479</v>
      </c>
      <c r="Z415" s="290">
        <f t="shared" ca="1" si="82"/>
        <v>1.045766857256178</v>
      </c>
      <c r="AA415" s="290">
        <f t="shared" ca="1" si="82"/>
        <v>1.0521669814790471</v>
      </c>
      <c r="AB415" s="290">
        <f t="shared" ca="1" si="82"/>
        <v>1.0582347209373328</v>
      </c>
      <c r="AC415" s="290">
        <f t="shared" ca="1" si="82"/>
        <v>1.0639782500254442</v>
      </c>
      <c r="AD415" s="290">
        <f t="shared" ca="1" si="82"/>
        <v>1.069406238501112</v>
      </c>
    </row>
    <row r="416" spans="1:30">
      <c r="A416" s="90">
        <v>330</v>
      </c>
      <c r="B416" s="90">
        <f t="shared" si="83"/>
        <v>1.32</v>
      </c>
      <c r="C416" s="291">
        <f t="shared" ca="1" si="84"/>
        <v>-1.7431739812550331E-2</v>
      </c>
      <c r="D416" s="292">
        <f t="shared" ca="1" si="85"/>
        <v>2.0514334989958227</v>
      </c>
      <c r="E416" s="291">
        <f t="shared" ca="1" si="86"/>
        <v>-1.6105841031192142E-2</v>
      </c>
      <c r="F416" s="293">
        <f t="shared" ca="1" si="87"/>
        <v>0.98367077417338655</v>
      </c>
      <c r="G416" s="90">
        <f t="shared" ca="1" si="81"/>
        <v>0.99428156091045905</v>
      </c>
      <c r="T416" s="289">
        <f t="shared" ref="T416:AD425" ca="1" si="88">EXP(T$82-$E416*T$83)</f>
        <v>1</v>
      </c>
      <c r="U416" s="290">
        <f t="shared" ca="1" si="88"/>
        <v>1.0078626672231046</v>
      </c>
      <c r="V416" s="290">
        <f t="shared" ca="1" si="88"/>
        <v>1.0153479288182914</v>
      </c>
      <c r="W416" s="290">
        <f t="shared" ca="1" si="88"/>
        <v>1.022460982768199</v>
      </c>
      <c r="X416" s="290">
        <f t="shared" ca="1" si="88"/>
        <v>1.0292077252145213</v>
      </c>
      <c r="Y416" s="290">
        <f t="shared" ca="1" si="88"/>
        <v>1.0355947118568316</v>
      </c>
      <c r="Z416" s="290">
        <f t="shared" ca="1" si="88"/>
        <v>1.0416291190707569</v>
      </c>
      <c r="AA416" s="290">
        <f t="shared" ca="1" si="88"/>
        <v>1.0473187049510255</v>
      </c>
      <c r="AB416" s="290">
        <f t="shared" ca="1" si="88"/>
        <v>1.0526717704735793</v>
      </c>
      <c r="AC416" s="290">
        <f t="shared" ca="1" si="88"/>
        <v>1.0576971209581041</v>
      </c>
      <c r="AD416" s="290">
        <f t="shared" ca="1" si="88"/>
        <v>1.0624040279991716</v>
      </c>
    </row>
    <row r="417" spans="1:30">
      <c r="A417" s="90">
        <v>331</v>
      </c>
      <c r="B417" s="90">
        <f t="shared" si="83"/>
        <v>1.3240000000000001</v>
      </c>
      <c r="C417" s="291">
        <f t="shared" ca="1" si="84"/>
        <v>-1.6098692612722277E-2</v>
      </c>
      <c r="D417" s="292">
        <f t="shared" ca="1" si="85"/>
        <v>0.501925131587587</v>
      </c>
      <c r="E417" s="291">
        <f t="shared" ca="1" si="86"/>
        <v>-1.5774284377880254E-2</v>
      </c>
      <c r="F417" s="293">
        <f t="shared" ca="1" si="87"/>
        <v>0.98360805707755294</v>
      </c>
      <c r="G417" s="90">
        <f t="shared" ca="1" si="81"/>
        <v>0.99421816728976964</v>
      </c>
      <c r="T417" s="289">
        <f t="shared" ca="1" si="88"/>
        <v>1</v>
      </c>
      <c r="U417" s="290">
        <f t="shared" ca="1" si="88"/>
        <v>1.0076958422604787</v>
      </c>
      <c r="V417" s="290">
        <f t="shared" ca="1" si="88"/>
        <v>1.0150123172679861</v>
      </c>
      <c r="W417" s="290">
        <f t="shared" ca="1" si="88"/>
        <v>1.021954817006046</v>
      </c>
      <c r="X417" s="290">
        <f t="shared" ca="1" si="88"/>
        <v>1.0285294265573537</v>
      </c>
      <c r="Y417" s="290">
        <f t="shared" ca="1" si="88"/>
        <v>1.0347428849961418</v>
      </c>
      <c r="Z417" s="290">
        <f t="shared" ca="1" si="88"/>
        <v>1.0406025460429804</v>
      </c>
      <c r="AA417" s="290">
        <f t="shared" ca="1" si="88"/>
        <v>1.046116338687173</v>
      </c>
      <c r="AB417" s="290">
        <f t="shared" ca="1" si="88"/>
        <v>1.0512927279703257</v>
      </c>
      <c r="AC417" s="290">
        <f t="shared" ca="1" si="88"/>
        <v>1.056140676111603</v>
      </c>
      <c r="AD417" s="290">
        <f t="shared" ca="1" si="88"/>
        <v>1.0606696041418178</v>
      </c>
    </row>
    <row r="418" spans="1:30">
      <c r="A418" s="90">
        <v>332</v>
      </c>
      <c r="B418" s="90">
        <f t="shared" si="83"/>
        <v>1.3280000000000001</v>
      </c>
      <c r="C418" s="291">
        <f t="shared" ca="1" si="84"/>
        <v>-1.5767143682643182E-2</v>
      </c>
      <c r="D418" s="292">
        <f t="shared" ca="1" si="85"/>
        <v>-1.6900671484814265</v>
      </c>
      <c r="E418" s="291">
        <f t="shared" ca="1" si="86"/>
        <v>-1.6859481296161698E-2</v>
      </c>
      <c r="F418" s="293">
        <f t="shared" ca="1" si="87"/>
        <v>0.98354386150281947</v>
      </c>
      <c r="G418" s="90">
        <f t="shared" ca="1" si="81"/>
        <v>0.99415327924193353</v>
      </c>
      <c r="T418" s="289">
        <f t="shared" ca="1" si="88"/>
        <v>1</v>
      </c>
      <c r="U418" s="290">
        <f t="shared" ca="1" si="88"/>
        <v>1.0082419691395377</v>
      </c>
      <c r="V418" s="290">
        <f t="shared" ca="1" si="88"/>
        <v>1.0161111988591562</v>
      </c>
      <c r="W418" s="290">
        <f t="shared" ca="1" si="88"/>
        <v>1.0236124486180023</v>
      </c>
      <c r="X418" s="290">
        <f t="shared" ca="1" si="88"/>
        <v>1.0307511870574397</v>
      </c>
      <c r="Y418" s="290">
        <f t="shared" ca="1" si="88"/>
        <v>1.037533554571195</v>
      </c>
      <c r="Z418" s="290">
        <f t="shared" ca="1" si="88"/>
        <v>1.0439663254984808</v>
      </c>
      <c r="AA418" s="290">
        <f t="shared" ca="1" si="88"/>
        <v>1.0500568701462387</v>
      </c>
      <c r="AB418" s="290">
        <f t="shared" ca="1" si="88"/>
        <v>1.0558131168358924</v>
      </c>
      <c r="AC418" s="290">
        <f t="shared" ca="1" si="88"/>
        <v>1.0612435141576955</v>
      </c>
      <c r="AD418" s="290">
        <f t="shared" ca="1" si="88"/>
        <v>1.0663569936030655</v>
      </c>
    </row>
    <row r="419" spans="1:30">
      <c r="A419" s="90">
        <v>333</v>
      </c>
      <c r="B419" s="90">
        <f t="shared" si="83"/>
        <v>1.3320000000000001</v>
      </c>
      <c r="C419" s="291">
        <f t="shared" ca="1" si="84"/>
        <v>-1.6852315322504356E-2</v>
      </c>
      <c r="D419" s="292">
        <f t="shared" ca="1" si="85"/>
        <v>-0.66984892040196109</v>
      </c>
      <c r="E419" s="291">
        <f t="shared" ca="1" si="86"/>
        <v>-1.7285257393348869E-2</v>
      </c>
      <c r="F419" s="293">
        <f t="shared" ca="1" si="87"/>
        <v>0.98347669809984106</v>
      </c>
      <c r="G419" s="90">
        <f t="shared" ca="1" si="81"/>
        <v>0.99408539135210006</v>
      </c>
      <c r="T419" s="289">
        <f t="shared" ca="1" si="88"/>
        <v>1</v>
      </c>
      <c r="U419" s="290">
        <f t="shared" ca="1" si="88"/>
        <v>1.0084563223959784</v>
      </c>
      <c r="V419" s="290">
        <f t="shared" ca="1" si="88"/>
        <v>1.0165426690086146</v>
      </c>
      <c r="W419" s="290">
        <f t="shared" ca="1" si="88"/>
        <v>1.0242635531484914</v>
      </c>
      <c r="X419" s="290">
        <f t="shared" ca="1" si="88"/>
        <v>1.0316242032431651</v>
      </c>
      <c r="Y419" s="290">
        <f t="shared" ca="1" si="88"/>
        <v>1.0386305260810593</v>
      </c>
      <c r="Z419" s="290">
        <f t="shared" ca="1" si="88"/>
        <v>1.0452890696248682</v>
      </c>
      <c r="AA419" s="290">
        <f t="shared" ca="1" si="88"/>
        <v>1.051606985600839</v>
      </c>
      <c r="AB419" s="290">
        <f t="shared" ca="1" si="88"/>
        <v>1.0575919920598857</v>
      </c>
      <c r="AC419" s="290">
        <f t="shared" ca="1" si="88"/>
        <v>1.0632523360944823</v>
      </c>
      <c r="AD419" s="290">
        <f t="shared" ca="1" si="88"/>
        <v>1.0685967568828589</v>
      </c>
    </row>
    <row r="420" spans="1:30">
      <c r="A420" s="90">
        <v>334</v>
      </c>
      <c r="B420" s="90">
        <f t="shared" si="83"/>
        <v>1.3360000000000001</v>
      </c>
      <c r="C420" s="291">
        <f t="shared" ca="1" si="84"/>
        <v>-1.7278081501724614E-2</v>
      </c>
      <c r="D420" s="292">
        <f t="shared" ca="1" si="85"/>
        <v>-0.46326042833680209</v>
      </c>
      <c r="E420" s="291">
        <f t="shared" ca="1" si="86"/>
        <v>-1.7577499658678719E-2</v>
      </c>
      <c r="F420" s="293">
        <f t="shared" ca="1" si="87"/>
        <v>0.9834081270720596</v>
      </c>
      <c r="G420" s="90">
        <f t="shared" ca="1" si="81"/>
        <v>0.99401608065351488</v>
      </c>
      <c r="T420" s="289">
        <f t="shared" ca="1" si="88"/>
        <v>1</v>
      </c>
      <c r="U420" s="290">
        <f t="shared" ca="1" si="88"/>
        <v>1.0086034755850994</v>
      </c>
      <c r="V420" s="290">
        <f t="shared" ca="1" si="88"/>
        <v>1.0168389255612773</v>
      </c>
      <c r="W420" s="290">
        <f t="shared" ca="1" si="88"/>
        <v>1.0247106949964471</v>
      </c>
      <c r="X420" s="290">
        <f t="shared" ca="1" si="88"/>
        <v>1.0322238480269021</v>
      </c>
      <c r="Y420" s="290">
        <f t="shared" ca="1" si="88"/>
        <v>1.039384131568525</v>
      </c>
      <c r="Z420" s="290">
        <f t="shared" ca="1" si="88"/>
        <v>1.0461979385612188</v>
      </c>
      <c r="AA420" s="290">
        <f t="shared" ca="1" si="88"/>
        <v>1.0526722709530465</v>
      </c>
      <c r="AB420" s="290">
        <f t="shared" ca="1" si="88"/>
        <v>1.0588147026203638</v>
      </c>
      <c r="AC420" s="290">
        <f t="shared" ca="1" si="88"/>
        <v>1.0646333424084347</v>
      </c>
      <c r="AD420" s="290">
        <f t="shared" ca="1" si="88"/>
        <v>1.0701367974647935</v>
      </c>
    </row>
    <row r="421" spans="1:30">
      <c r="A421" s="90">
        <v>335</v>
      </c>
      <c r="B421" s="90">
        <f t="shared" si="83"/>
        <v>1.34</v>
      </c>
      <c r="C421" s="291">
        <f t="shared" ca="1" si="84"/>
        <v>-1.7570316959605346E-2</v>
      </c>
      <c r="D421" s="292">
        <f t="shared" ca="1" si="85"/>
        <v>1.4879967579441225</v>
      </c>
      <c r="E421" s="291">
        <f t="shared" ca="1" si="86"/>
        <v>-1.6608583084737453E-2</v>
      </c>
      <c r="F421" s="293">
        <f t="shared" ca="1" si="87"/>
        <v>0.98334089162739702</v>
      </c>
      <c r="G421" s="90">
        <f t="shared" ca="1" si="81"/>
        <v>0.99394811994488874</v>
      </c>
      <c r="T421" s="289">
        <f t="shared" ca="1" si="88"/>
        <v>1</v>
      </c>
      <c r="U421" s="290">
        <f t="shared" ca="1" si="88"/>
        <v>1.0081156779622884</v>
      </c>
      <c r="V421" s="290">
        <f t="shared" ca="1" si="88"/>
        <v>1.015857031058641</v>
      </c>
      <c r="W421" s="290">
        <f t="shared" ca="1" si="88"/>
        <v>1.0232289643484185</v>
      </c>
      <c r="X421" s="290">
        <f t="shared" ca="1" si="88"/>
        <v>1.0302370884770731</v>
      </c>
      <c r="Y421" s="290">
        <f t="shared" ca="1" si="88"/>
        <v>1.0368876818532893</v>
      </c>
      <c r="Z421" s="290">
        <f t="shared" ca="1" si="88"/>
        <v>1.0431876524809414</v>
      </c>
      <c r="AA421" s="290">
        <f t="shared" ca="1" si="88"/>
        <v>1.04914449965184</v>
      </c>
      <c r="AB421" s="290">
        <f t="shared" ca="1" si="88"/>
        <v>1.0547662756942795</v>
      </c>
      <c r="AC421" s="290">
        <f t="shared" ca="1" si="88"/>
        <v>1.0600615479599313</v>
      </c>
      <c r="AD421" s="290">
        <f t="shared" ca="1" si="88"/>
        <v>1.065039361218767</v>
      </c>
    </row>
    <row r="422" spans="1:30">
      <c r="A422" s="90">
        <v>336</v>
      </c>
      <c r="B422" s="90">
        <f t="shared" si="83"/>
        <v>1.3440000000000001</v>
      </c>
      <c r="C422" s="291">
        <f t="shared" ca="1" si="84"/>
        <v>-1.6601422955466807E-2</v>
      </c>
      <c r="D422" s="292">
        <f t="shared" ca="1" si="85"/>
        <v>-0.34573212382264878</v>
      </c>
      <c r="E422" s="291">
        <f t="shared" ca="1" si="86"/>
        <v>-1.682487928582176E-2</v>
      </c>
      <c r="F422" s="293">
        <f t="shared" ca="1" si="87"/>
        <v>0.98327514084430256</v>
      </c>
      <c r="G422" s="90">
        <f t="shared" ca="1" si="81"/>
        <v>0.99388165991276956</v>
      </c>
      <c r="T422" s="289">
        <f t="shared" ca="1" si="88"/>
        <v>1</v>
      </c>
      <c r="U422" s="290">
        <f t="shared" ca="1" si="88"/>
        <v>1.0082245510616812</v>
      </c>
      <c r="V422" s="290">
        <f t="shared" ca="1" si="88"/>
        <v>1.0160761421514657</v>
      </c>
      <c r="W422" s="290">
        <f t="shared" ca="1" si="88"/>
        <v>1.023559552784719</v>
      </c>
      <c r="X422" s="290">
        <f t="shared" ca="1" si="88"/>
        <v>1.0306802711674372</v>
      </c>
      <c r="Y422" s="290">
        <f t="shared" ca="1" si="88"/>
        <v>1.0374444567120154</v>
      </c>
      <c r="Z422" s="290">
        <f t="shared" ca="1" si="88"/>
        <v>1.0438589021803659</v>
      </c>
      <c r="AA422" s="290">
        <f t="shared" ca="1" si="88"/>
        <v>1.0499309956605161</v>
      </c>
      <c r="AB422" s="290">
        <f t="shared" ca="1" si="88"/>
        <v>1.0556686825720161</v>
      </c>
      <c r="AC422" s="290">
        <f t="shared" ca="1" si="88"/>
        <v>1.0610804278831758</v>
      </c>
      <c r="AD422" s="290">
        <f t="shared" ca="1" si="88"/>
        <v>1.0661751787104228</v>
      </c>
    </row>
    <row r="423" spans="1:30">
      <c r="A423" s="90">
        <v>337</v>
      </c>
      <c r="B423" s="90">
        <f t="shared" si="83"/>
        <v>1.3480000000000001</v>
      </c>
      <c r="C423" s="291">
        <f t="shared" ca="1" si="84"/>
        <v>-1.6817714118178648E-2</v>
      </c>
      <c r="D423" s="292">
        <f t="shared" ca="1" si="85"/>
        <v>-0.45963808245493082</v>
      </c>
      <c r="E423" s="291">
        <f t="shared" ca="1" si="86"/>
        <v>-1.7114791051791717E-2</v>
      </c>
      <c r="F423" s="293">
        <f t="shared" ca="1" si="87"/>
        <v>0.98320839904126012</v>
      </c>
      <c r="G423" s="90">
        <f t="shared" ca="1" si="81"/>
        <v>0.99381419817064065</v>
      </c>
      <c r="T423" s="289">
        <f t="shared" ca="1" si="88"/>
        <v>1</v>
      </c>
      <c r="U423" s="290">
        <f t="shared" ca="1" si="88"/>
        <v>1.0083704971358298</v>
      </c>
      <c r="V423" s="290">
        <f t="shared" ca="1" si="88"/>
        <v>1.016369900973108</v>
      </c>
      <c r="W423" s="290">
        <f t="shared" ca="1" si="88"/>
        <v>1.0240028232277651</v>
      </c>
      <c r="X423" s="290">
        <f t="shared" ca="1" si="88"/>
        <v>1.0312745883819687</v>
      </c>
      <c r="Y423" s="290">
        <f t="shared" ca="1" si="88"/>
        <v>1.0381911966572523</v>
      </c>
      <c r="Z423" s="290">
        <f t="shared" ca="1" si="88"/>
        <v>1.0447592865784738</v>
      </c>
      <c r="AA423" s="290">
        <f t="shared" ca="1" si="88"/>
        <v>1.0509860973348935</v>
      </c>
      <c r="AB423" s="290">
        <f t="shared" ca="1" si="88"/>
        <v>1.0568794311341094</v>
      </c>
      <c r="AC423" s="290">
        <f t="shared" ca="1" si="88"/>
        <v>1.0624476157324596</v>
      </c>
      <c r="AD423" s="290">
        <f t="shared" ca="1" si="88"/>
        <v>1.0676994673129754</v>
      </c>
    </row>
    <row r="424" spans="1:30">
      <c r="A424" s="90">
        <v>338</v>
      </c>
      <c r="B424" s="90">
        <f t="shared" si="83"/>
        <v>1.3520000000000001</v>
      </c>
      <c r="C424" s="291">
        <f t="shared" ca="1" si="84"/>
        <v>-1.7107619130985803E-2</v>
      </c>
      <c r="D424" s="292">
        <f t="shared" ca="1" si="85"/>
        <v>-0.16356340680731848</v>
      </c>
      <c r="E424" s="291">
        <f t="shared" ca="1" si="86"/>
        <v>-1.7213334730281016E-2</v>
      </c>
      <c r="F424" s="293">
        <f t="shared" ca="1" si="87"/>
        <v>0.98314089795528792</v>
      </c>
      <c r="G424" s="90">
        <f t="shared" ca="1" si="81"/>
        <v>0.99374596895525091</v>
      </c>
      <c r="T424" s="289">
        <f t="shared" ca="1" si="88"/>
        <v>1</v>
      </c>
      <c r="U424" s="290">
        <f t="shared" ca="1" si="88"/>
        <v>1.0084201103610202</v>
      </c>
      <c r="V424" s="290">
        <f t="shared" ca="1" si="88"/>
        <v>1.0164697716403404</v>
      </c>
      <c r="W424" s="290">
        <f t="shared" ca="1" si="88"/>
        <v>1.0241535386436378</v>
      </c>
      <c r="X424" s="290">
        <f t="shared" ca="1" si="88"/>
        <v>1.0314766803058701</v>
      </c>
      <c r="Y424" s="290">
        <f t="shared" ca="1" si="88"/>
        <v>1.0384451428207664</v>
      </c>
      <c r="Z424" s="290">
        <f t="shared" ca="1" si="88"/>
        <v>1.0450655123488042</v>
      </c>
      <c r="AA424" s="290">
        <f t="shared" ca="1" si="88"/>
        <v>1.0513449775100183</v>
      </c>
      <c r="AB424" s="290">
        <f t="shared" ca="1" si="88"/>
        <v>1.0572912918575013</v>
      </c>
      <c r="AC424" s="290">
        <f t="shared" ca="1" si="88"/>
        <v>1.062912736515399</v>
      </c>
      <c r="AD424" s="290">
        <f t="shared" ca="1" si="88"/>
        <v>1.0682180831527512</v>
      </c>
    </row>
    <row r="425" spans="1:30">
      <c r="A425" s="90">
        <v>339</v>
      </c>
      <c r="B425" s="90">
        <f t="shared" si="83"/>
        <v>1.3560000000000001</v>
      </c>
      <c r="C425" s="291">
        <f t="shared" ca="1" si="84"/>
        <v>-1.7206160514012889E-2</v>
      </c>
      <c r="D425" s="292">
        <f t="shared" ca="1" si="85"/>
        <v>-3.9440224242058584E-2</v>
      </c>
      <c r="E425" s="291">
        <f t="shared" ca="1" si="86"/>
        <v>-1.7231651832783221E-2</v>
      </c>
      <c r="F425" s="293">
        <f t="shared" ca="1" si="87"/>
        <v>0.98307317173810393</v>
      </c>
      <c r="G425" s="90">
        <f t="shared" ca="1" si="81"/>
        <v>0.99367751218017508</v>
      </c>
      <c r="T425" s="289">
        <f t="shared" ca="1" si="88"/>
        <v>1</v>
      </c>
      <c r="U425" s="290">
        <f t="shared" ca="1" si="88"/>
        <v>1.0084293326374443</v>
      </c>
      <c r="V425" s="290">
        <f t="shared" ca="1" si="88"/>
        <v>1.0164883364824244</v>
      </c>
      <c r="W425" s="290">
        <f t="shared" ca="1" si="88"/>
        <v>1.0241815557694283</v>
      </c>
      <c r="X425" s="290">
        <f t="shared" ca="1" si="88"/>
        <v>1.0315142491143376</v>
      </c>
      <c r="Y425" s="290">
        <f t="shared" ca="1" si="88"/>
        <v>1.0384923526730343</v>
      </c>
      <c r="Z425" s="290">
        <f t="shared" ca="1" si="88"/>
        <v>1.0451224428762005</v>
      </c>
      <c r="AA425" s="290">
        <f t="shared" ca="1" si="88"/>
        <v>1.0514116989466722</v>
      </c>
      <c r="AB425" s="290">
        <f t="shared" ca="1" si="88"/>
        <v>1.0573678653952241</v>
      </c>
      <c r="AC425" s="290">
        <f t="shared" ca="1" si="88"/>
        <v>1.0629992146786298</v>
      </c>
      <c r="AD425" s="290">
        <f t="shared" ca="1" si="88"/>
        <v>1.0683145101913891</v>
      </c>
    </row>
    <row r="426" spans="1:30">
      <c r="A426" s="90">
        <v>340</v>
      </c>
      <c r="B426" s="90">
        <f t="shared" si="83"/>
        <v>1.36</v>
      </c>
      <c r="C426" s="291">
        <f t="shared" ca="1" si="84"/>
        <v>-1.7224477189839153E-2</v>
      </c>
      <c r="D426" s="292">
        <f t="shared" ca="1" si="85"/>
        <v>-0.61507619331639052</v>
      </c>
      <c r="E426" s="291">
        <f t="shared" ca="1" si="86"/>
        <v>-1.7622018116980998E-2</v>
      </c>
      <c r="F426" s="293">
        <f t="shared" ca="1" si="87"/>
        <v>0.98300464671075194</v>
      </c>
      <c r="G426" s="90">
        <f t="shared" ca="1" si="81"/>
        <v>0.99360824797822267</v>
      </c>
      <c r="T426" s="289">
        <f t="shared" ref="T426:AD435" ca="1" si="89">EXP(T$82-$E426*T$83)</f>
        <v>1</v>
      </c>
      <c r="U426" s="290">
        <f t="shared" ca="1" si="89"/>
        <v>1.008625893916187</v>
      </c>
      <c r="V426" s="290">
        <f t="shared" ca="1" si="89"/>
        <v>1.0168840631097675</v>
      </c>
      <c r="W426" s="290">
        <f t="shared" ca="1" si="89"/>
        <v>1.0247788270715816</v>
      </c>
      <c r="X426" s="290">
        <f t="shared" ca="1" si="89"/>
        <v>1.0323152249540737</v>
      </c>
      <c r="Y426" s="290">
        <f t="shared" ca="1" si="89"/>
        <v>1.0394989793540337</v>
      </c>
      <c r="Z426" s="290">
        <f t="shared" ca="1" si="89"/>
        <v>1.0463364596230615</v>
      </c>
      <c r="AA426" s="290">
        <f t="shared" ca="1" si="89"/>
        <v>1.0528346449122559</v>
      </c>
      <c r="AB426" s="290">
        <f t="shared" ca="1" si="89"/>
        <v>1.0590010871474596</v>
      </c>
      <c r="AC426" s="290">
        <f t="shared" ca="1" si="89"/>
        <v>1.0648438741196311</v>
      </c>
      <c r="AD426" s="290">
        <f t="shared" ca="1" si="89"/>
        <v>1.0703715928627173</v>
      </c>
    </row>
    <row r="427" spans="1:30">
      <c r="A427" s="90">
        <v>341</v>
      </c>
      <c r="B427" s="90">
        <f t="shared" si="83"/>
        <v>1.3640000000000001</v>
      </c>
      <c r="C427" s="291">
        <f t="shared" ca="1" si="84"/>
        <v>-1.7614834380901088E-2</v>
      </c>
      <c r="D427" s="292">
        <f t="shared" ca="1" si="85"/>
        <v>-0.58395647062702416</v>
      </c>
      <c r="E427" s="291">
        <f t="shared" ca="1" si="86"/>
        <v>-1.79922617618762E-2</v>
      </c>
      <c r="F427" s="293">
        <f t="shared" ca="1" si="87"/>
        <v>0.98293463119911317</v>
      </c>
      <c r="G427" s="90">
        <f t="shared" ca="1" si="81"/>
        <v>0.99353747721423546</v>
      </c>
      <c r="T427" s="289">
        <f t="shared" ca="1" si="89"/>
        <v>1</v>
      </c>
      <c r="U427" s="290">
        <f t="shared" ca="1" si="89"/>
        <v>1.0088123582366482</v>
      </c>
      <c r="V427" s="290">
        <f t="shared" ca="1" si="89"/>
        <v>1.017259533133227</v>
      </c>
      <c r="W427" s="290">
        <f t="shared" ca="1" si="89"/>
        <v>1.0253456320121437</v>
      </c>
      <c r="X427" s="290">
        <f t="shared" ca="1" si="89"/>
        <v>1.0330754867019851</v>
      </c>
      <c r="Y427" s="290">
        <f t="shared" ca="1" si="89"/>
        <v>1.0404546179186054</v>
      </c>
      <c r="Z427" s="290">
        <f t="shared" ca="1" si="89"/>
        <v>1.0474891991285336</v>
      </c>
      <c r="AA427" s="290">
        <f t="shared" ca="1" si="89"/>
        <v>1.0541860201012723</v>
      </c>
      <c r="AB427" s="290">
        <f t="shared" ca="1" si="89"/>
        <v>1.0605524503471844</v>
      </c>
      <c r="AC427" s="290">
        <f t="shared" ca="1" si="89"/>
        <v>1.0665964026261621</v>
      </c>
      <c r="AD427" s="290">
        <f t="shared" ca="1" si="89"/>
        <v>1.0723262967003251</v>
      </c>
    </row>
    <row r="428" spans="1:30">
      <c r="A428" s="90">
        <v>342</v>
      </c>
      <c r="B428" s="90">
        <f t="shared" si="83"/>
        <v>1.3680000000000001</v>
      </c>
      <c r="C428" s="291">
        <f t="shared" ca="1" si="84"/>
        <v>-1.7985069401394303E-2</v>
      </c>
      <c r="D428" s="292">
        <f t="shared" ca="1" si="85"/>
        <v>-1.3090604170770359</v>
      </c>
      <c r="E428" s="291">
        <f t="shared" ca="1" si="86"/>
        <v>-1.8831151720210049E-2</v>
      </c>
      <c r="F428" s="293">
        <f t="shared" ca="1" si="87"/>
        <v>0.98286224384799425</v>
      </c>
      <c r="G428" s="90">
        <f t="shared" ca="1" si="81"/>
        <v>0.99346430902590421</v>
      </c>
      <c r="T428" s="289">
        <f t="shared" ca="1" si="89"/>
        <v>1</v>
      </c>
      <c r="U428" s="290">
        <f t="shared" ca="1" si="89"/>
        <v>1.0092349725651972</v>
      </c>
      <c r="V428" s="290">
        <f t="shared" ca="1" si="89"/>
        <v>1.018110777909961</v>
      </c>
      <c r="W428" s="290">
        <f t="shared" ca="1" si="89"/>
        <v>1.0266310464036918</v>
      </c>
      <c r="X428" s="290">
        <f t="shared" ca="1" si="89"/>
        <v>1.0348001433120473</v>
      </c>
      <c r="Y428" s="290">
        <f t="shared" ca="1" si="89"/>
        <v>1.0426231345559831</v>
      </c>
      <c r="Z428" s="290">
        <f t="shared" ca="1" si="89"/>
        <v>1.0501057518523347</v>
      </c>
      <c r="AA428" s="290">
        <f t="shared" ca="1" si="89"/>
        <v>1.0572543574424362</v>
      </c>
      <c r="AB428" s="290">
        <f t="shared" ca="1" si="89"/>
        <v>1.064075908606068</v>
      </c>
      <c r="AC428" s="290">
        <f t="shared" ca="1" si="89"/>
        <v>1.0705779221471217</v>
      </c>
      <c r="AD428" s="290">
        <f t="shared" ca="1" si="89"/>
        <v>1.0767684390259833</v>
      </c>
    </row>
    <row r="429" spans="1:30">
      <c r="A429" s="90">
        <v>343</v>
      </c>
      <c r="B429" s="90">
        <f t="shared" si="83"/>
        <v>1.3720000000000001</v>
      </c>
      <c r="C429" s="291">
        <f t="shared" ca="1" si="84"/>
        <v>-1.8823939818746631E-2</v>
      </c>
      <c r="D429" s="292">
        <f t="shared" ca="1" si="85"/>
        <v>0.43245656971453039</v>
      </c>
      <c r="E429" s="291">
        <f t="shared" ca="1" si="86"/>
        <v>-1.8544431056188394E-2</v>
      </c>
      <c r="F429" s="293">
        <f t="shared" ca="1" si="87"/>
        <v>0.98278877649560814</v>
      </c>
      <c r="G429" s="90">
        <f t="shared" ca="1" si="81"/>
        <v>0.99339004918640883</v>
      </c>
      <c r="T429" s="289">
        <f t="shared" ca="1" si="89"/>
        <v>1</v>
      </c>
      <c r="U429" s="290">
        <f t="shared" ca="1" si="89"/>
        <v>1.0090905090838511</v>
      </c>
      <c r="V429" s="290">
        <f t="shared" ca="1" si="89"/>
        <v>1.0178197544495238</v>
      </c>
      <c r="W429" s="290">
        <f t="shared" ca="1" si="89"/>
        <v>1.026191528874508</v>
      </c>
      <c r="X429" s="290">
        <f t="shared" ca="1" si="89"/>
        <v>1.0342103565727367</v>
      </c>
      <c r="Y429" s="290">
        <f t="shared" ca="1" si="89"/>
        <v>1.0418814584792615</v>
      </c>
      <c r="Z429" s="290">
        <f t="shared" ca="1" si="89"/>
        <v>1.0492107169505809</v>
      </c>
      <c r="AA429" s="290">
        <f t="shared" ca="1" si="89"/>
        <v>1.0562046400871843</v>
      </c>
      <c r="AB429" s="290">
        <f t="shared" ca="1" si="89"/>
        <v>1.06287032587543</v>
      </c>
      <c r="AC429" s="290">
        <f t="shared" ca="1" si="89"/>
        <v>1.0692154263347764</v>
      </c>
      <c r="AD429" s="290">
        <f t="shared" ca="1" si="89"/>
        <v>1.0752481118448021</v>
      </c>
    </row>
    <row r="430" spans="1:30">
      <c r="A430" s="90">
        <v>344</v>
      </c>
      <c r="B430" s="90">
        <f t="shared" si="83"/>
        <v>1.3760000000000001</v>
      </c>
      <c r="C430" s="291">
        <f t="shared" ca="1" si="84"/>
        <v>-1.8537225833554709E-2</v>
      </c>
      <c r="D430" s="292">
        <f t="shared" ca="1" si="85"/>
        <v>-3.8856432078213668E-2</v>
      </c>
      <c r="E430" s="291">
        <f t="shared" ca="1" si="86"/>
        <v>-1.856233983114013E-2</v>
      </c>
      <c r="F430" s="293">
        <f t="shared" ca="1" si="87"/>
        <v>0.9827158429660493</v>
      </c>
      <c r="G430" s="90">
        <f t="shared" ca="1" si="81"/>
        <v>0.99331632892804966</v>
      </c>
      <c r="T430" s="289">
        <f t="shared" ca="1" si="89"/>
        <v>1</v>
      </c>
      <c r="U430" s="290">
        <f t="shared" ca="1" si="89"/>
        <v>1.0090995317693152</v>
      </c>
      <c r="V430" s="290">
        <f t="shared" ca="1" si="89"/>
        <v>1.0178379295442088</v>
      </c>
      <c r="W430" s="290">
        <f t="shared" ca="1" si="89"/>
        <v>1.0262189759392173</v>
      </c>
      <c r="X430" s="290">
        <f t="shared" ca="1" si="89"/>
        <v>1.0342471852241975</v>
      </c>
      <c r="Y430" s="290">
        <f t="shared" ca="1" si="89"/>
        <v>1.0419277686385287</v>
      </c>
      <c r="Z430" s="290">
        <f t="shared" ca="1" si="89"/>
        <v>1.0492665991188272</v>
      </c>
      <c r="AA430" s="290">
        <f t="shared" ca="1" si="89"/>
        <v>1.0562701756467332</v>
      </c>
      <c r="AB430" s="290">
        <f t="shared" ca="1" si="89"/>
        <v>1.0629455874138976</v>
      </c>
      <c r="AC430" s="290">
        <f t="shared" ca="1" si="89"/>
        <v>1.0693004779902182</v>
      </c>
      <c r="AD430" s="290">
        <f t="shared" ca="1" si="89"/>
        <v>1.0753430096697889</v>
      </c>
    </row>
    <row r="431" spans="1:30">
      <c r="A431" s="90">
        <v>345</v>
      </c>
      <c r="B431" s="90">
        <f t="shared" si="83"/>
        <v>1.3800000000000001</v>
      </c>
      <c r="C431" s="291">
        <f t="shared" ca="1" si="84"/>
        <v>-1.8555134191342026E-2</v>
      </c>
      <c r="D431" s="292">
        <f t="shared" ca="1" si="85"/>
        <v>0.14175283871771216</v>
      </c>
      <c r="E431" s="291">
        <f t="shared" ca="1" si="86"/>
        <v>-1.8463515371525602E-2</v>
      </c>
      <c r="F431" s="293">
        <f t="shared" ca="1" si="87"/>
        <v>0.98264307387140637</v>
      </c>
      <c r="G431" s="90">
        <f t="shared" ca="1" si="81"/>
        <v>0.99324277487835411</v>
      </c>
      <c r="T431" s="289">
        <f t="shared" ca="1" si="89"/>
        <v>1</v>
      </c>
      <c r="U431" s="290">
        <f t="shared" ca="1" si="89"/>
        <v>1.0090497436622659</v>
      </c>
      <c r="V431" s="290">
        <f t="shared" ca="1" si="89"/>
        <v>1.0177376395209792</v>
      </c>
      <c r="W431" s="290">
        <f t="shared" ca="1" si="89"/>
        <v>1.0260675263029295</v>
      </c>
      <c r="X431" s="290">
        <f t="shared" ca="1" si="89"/>
        <v>1.0340439731778048</v>
      </c>
      <c r="Y431" s="290">
        <f t="shared" ca="1" si="89"/>
        <v>1.0416722449096285</v>
      </c>
      <c r="Z431" s="290">
        <f t="shared" ca="1" si="89"/>
        <v>1.048958266433538</v>
      </c>
      <c r="AA431" s="290">
        <f t="shared" ca="1" si="89"/>
        <v>1.0559085870644813</v>
      </c>
      <c r="AB431" s="290">
        <f t="shared" ca="1" si="89"/>
        <v>1.0625303445348924</v>
      </c>
      <c r="AC431" s="290">
        <f t="shared" ca="1" si="89"/>
        <v>1.0688312290472559</v>
      </c>
      <c r="AD431" s="290">
        <f t="shared" ca="1" si="89"/>
        <v>1.0748194475158279</v>
      </c>
    </row>
    <row r="432" spans="1:30">
      <c r="A432" s="90">
        <v>346</v>
      </c>
      <c r="B432" s="90">
        <f t="shared" si="83"/>
        <v>1.3840000000000001</v>
      </c>
      <c r="C432" s="291">
        <f t="shared" ca="1" si="84"/>
        <v>-1.8456312033730188E-2</v>
      </c>
      <c r="D432" s="292">
        <f t="shared" ca="1" si="85"/>
        <v>0.63374646735878382</v>
      </c>
      <c r="E432" s="291">
        <f t="shared" ca="1" si="86"/>
        <v>-1.8046703986882757E-2</v>
      </c>
      <c r="F432" s="293">
        <f t="shared" ca="1" si="87"/>
        <v>0.98257132346270526</v>
      </c>
      <c r="G432" s="90">
        <f t="shared" ca="1" si="81"/>
        <v>0.99317025050309327</v>
      </c>
      <c r="T432" s="289">
        <f t="shared" ca="1" si="89"/>
        <v>1</v>
      </c>
      <c r="U432" s="290">
        <f t="shared" ca="1" si="89"/>
        <v>1.0088397796628052</v>
      </c>
      <c r="V432" s="290">
        <f t="shared" ca="1" si="89"/>
        <v>1.0173147555579856</v>
      </c>
      <c r="W432" s="290">
        <f t="shared" ca="1" si="89"/>
        <v>1.0254290038934821</v>
      </c>
      <c r="X432" s="290">
        <f t="shared" ca="1" si="89"/>
        <v>1.0331873260823863</v>
      </c>
      <c r="Y432" s="290">
        <f t="shared" ca="1" si="89"/>
        <v>1.0405952132125265</v>
      </c>
      <c r="Z432" s="290">
        <f t="shared" ca="1" si="89"/>
        <v>1.0476588099917452</v>
      </c>
      <c r="AA432" s="290">
        <f t="shared" ca="1" si="89"/>
        <v>1.0543848783754433</v>
      </c>
      <c r="AB432" s="290">
        <f t="shared" ca="1" si="89"/>
        <v>1.060780761073137</v>
      </c>
      <c r="AC432" s="290">
        <f t="shared" ca="1" si="89"/>
        <v>1.0668543451193073</v>
      </c>
      <c r="AD432" s="290">
        <f t="shared" ca="1" si="89"/>
        <v>1.072614025681913</v>
      </c>
    </row>
    <row r="433" spans="1:30">
      <c r="A433" s="90">
        <v>347</v>
      </c>
      <c r="B433" s="90">
        <f t="shared" si="83"/>
        <v>1.3880000000000001</v>
      </c>
      <c r="C433" s="291">
        <f t="shared" ca="1" si="84"/>
        <v>-1.8039510358231533E-2</v>
      </c>
      <c r="D433" s="292">
        <f t="shared" ca="1" si="85"/>
        <v>0.42839895213599016</v>
      </c>
      <c r="E433" s="291">
        <f t="shared" ca="1" si="86"/>
        <v>-1.7762624147272085E-2</v>
      </c>
      <c r="F433" s="293">
        <f t="shared" ca="1" si="87"/>
        <v>0.98250095554468897</v>
      </c>
      <c r="G433" s="90">
        <f t="shared" ca="1" si="81"/>
        <v>0.993099123531346</v>
      </c>
      <c r="T433" s="289">
        <f t="shared" ca="1" si="89"/>
        <v>1</v>
      </c>
      <c r="U433" s="290">
        <f t="shared" ca="1" si="89"/>
        <v>1.0086967027073508</v>
      </c>
      <c r="V433" s="290">
        <f t="shared" ca="1" si="89"/>
        <v>1.017026637617813</v>
      </c>
      <c r="W433" s="290">
        <f t="shared" ca="1" si="89"/>
        <v>1.0249940435321112</v>
      </c>
      <c r="X433" s="290">
        <f t="shared" ca="1" si="89"/>
        <v>1.0326038807711004</v>
      </c>
      <c r="Y433" s="290">
        <f t="shared" ca="1" si="89"/>
        <v>1.0398617951850151</v>
      </c>
      <c r="Z433" s="290">
        <f t="shared" ca="1" si="89"/>
        <v>1.0467740816731321</v>
      </c>
      <c r="AA433" s="290">
        <f t="shared" ca="1" si="89"/>
        <v>1.053347647420386</v>
      </c>
      <c r="AB433" s="290">
        <f t="shared" ca="1" si="89"/>
        <v>1.0595899750474107</v>
      </c>
      <c r="AC433" s="290">
        <f t="shared" ca="1" si="89"/>
        <v>1.0655090858588236</v>
      </c>
      <c r="AD433" s="290">
        <f t="shared" ca="1" si="89"/>
        <v>1.071113503362465</v>
      </c>
    </row>
    <row r="434" spans="1:30">
      <c r="A434" s="90">
        <v>348</v>
      </c>
      <c r="B434" s="90">
        <f t="shared" si="83"/>
        <v>1.3920000000000001</v>
      </c>
      <c r="C434" s="291">
        <f t="shared" ca="1" si="84"/>
        <v>-1.7755437135935616E-2</v>
      </c>
      <c r="D434" s="292">
        <f t="shared" ca="1" si="85"/>
        <v>0.1809884253307851</v>
      </c>
      <c r="E434" s="291">
        <f t="shared" ca="1" si="86"/>
        <v>-1.763845926036544E-2</v>
      </c>
      <c r="F434" s="293">
        <f t="shared" ca="1" si="87"/>
        <v>0.98243139481069275</v>
      </c>
      <c r="G434" s="90">
        <f t="shared" ca="1" si="81"/>
        <v>0.99302881245065544</v>
      </c>
      <c r="T434" s="289">
        <f t="shared" ca="1" si="89"/>
        <v>1</v>
      </c>
      <c r="U434" s="290">
        <f t="shared" ca="1" si="89"/>
        <v>1.0086341733719213</v>
      </c>
      <c r="V434" s="290">
        <f t="shared" ca="1" si="89"/>
        <v>1.0169007333964095</v>
      </c>
      <c r="W434" s="290">
        <f t="shared" ca="1" si="89"/>
        <v>1.0248039901219395</v>
      </c>
      <c r="X434" s="290">
        <f t="shared" ca="1" si="89"/>
        <v>1.0323489734770941</v>
      </c>
      <c r="Y434" s="290">
        <f t="shared" ca="1" si="89"/>
        <v>1.0395413970797438</v>
      </c>
      <c r="Z434" s="290">
        <f t="shared" ca="1" si="89"/>
        <v>1.0463876215719232</v>
      </c>
      <c r="AA434" s="290">
        <f t="shared" ca="1" si="89"/>
        <v>1.0528946176869078</v>
      </c>
      <c r="AB434" s="290">
        <f t="shared" ca="1" si="89"/>
        <v>1.0590699292448418</v>
      </c>
      <c r="AC434" s="290">
        <f t="shared" ca="1" si="89"/>
        <v>1.0649216362615135</v>
      </c>
      <c r="AD434" s="290">
        <f t="shared" ca="1" si="89"/>
        <v>1.0704583183426968</v>
      </c>
    </row>
    <row r="435" spans="1:30">
      <c r="A435" s="90">
        <v>349</v>
      </c>
      <c r="B435" s="90">
        <f t="shared" si="83"/>
        <v>1.3960000000000001</v>
      </c>
      <c r="C435" s="291">
        <f t="shared" ca="1" si="84"/>
        <v>-1.7631275141307912E-2</v>
      </c>
      <c r="D435" s="292">
        <f t="shared" ca="1" si="85"/>
        <v>-1.2142994340096434</v>
      </c>
      <c r="E435" s="291">
        <f t="shared" ca="1" si="86"/>
        <v>-1.8416110789426867E-2</v>
      </c>
      <c r="F435" s="293">
        <f t="shared" ca="1" si="87"/>
        <v>0.98236055508173281</v>
      </c>
      <c r="G435" s="90">
        <f t="shared" ca="1" si="81"/>
        <v>0.99295720857857339</v>
      </c>
      <c r="T435" s="289">
        <f t="shared" ca="1" si="89"/>
        <v>1</v>
      </c>
      <c r="U435" s="290">
        <f t="shared" ca="1" si="89"/>
        <v>1.0090258619404495</v>
      </c>
      <c r="V435" s="290">
        <f t="shared" ca="1" si="89"/>
        <v>1.0176895354374538</v>
      </c>
      <c r="W435" s="290">
        <f t="shared" ca="1" si="89"/>
        <v>1.0259948861606643</v>
      </c>
      <c r="X435" s="290">
        <f t="shared" ca="1" si="89"/>
        <v>1.033946509637051</v>
      </c>
      <c r="Y435" s="290">
        <f t="shared" ca="1" si="89"/>
        <v>1.041549696324412</v>
      </c>
      <c r="Z435" s="290">
        <f t="shared" ca="1" si="89"/>
        <v>1.0488103961159134</v>
      </c>
      <c r="AA435" s="290">
        <f t="shared" ca="1" si="89"/>
        <v>1.0557351824822432</v>
      </c>
      <c r="AB435" s="290">
        <f t="shared" ca="1" si="89"/>
        <v>1.0623312164484031</v>
      </c>
      <c r="AC435" s="290">
        <f t="shared" ca="1" si="89"/>
        <v>1.068606210590987</v>
      </c>
      <c r="AD435" s="290">
        <f t="shared" ca="1" si="89"/>
        <v>1.0745683932301093</v>
      </c>
    </row>
    <row r="436" spans="1:30">
      <c r="A436" s="90">
        <v>350</v>
      </c>
      <c r="B436" s="90">
        <f t="shared" si="83"/>
        <v>1.4000000000000001</v>
      </c>
      <c r="C436" s="291">
        <f t="shared" ca="1" si="84"/>
        <v>-1.8408908555866941E-2</v>
      </c>
      <c r="D436" s="292">
        <f t="shared" ca="1" si="85"/>
        <v>-1.4084448008983568</v>
      </c>
      <c r="E436" s="291">
        <f t="shared" ca="1" si="86"/>
        <v>-1.931922577845082E-2</v>
      </c>
      <c r="F436" s="293">
        <f t="shared" ca="1" si="87"/>
        <v>0.98228641846698417</v>
      </c>
      <c r="G436" s="90">
        <f t="shared" ca="1" si="81"/>
        <v>0.99288227225742987</v>
      </c>
      <c r="T436" s="289">
        <f t="shared" ref="T436:AD445" ca="1" si="90">EXP(T$82-$E436*T$83)</f>
        <v>1</v>
      </c>
      <c r="U436" s="290">
        <f t="shared" ca="1" si="90"/>
        <v>1.0094809350140292</v>
      </c>
      <c r="V436" s="290">
        <f t="shared" ca="1" si="90"/>
        <v>1.0186063678590707</v>
      </c>
      <c r="W436" s="290">
        <f t="shared" ca="1" si="90"/>
        <v>1.0273796539589375</v>
      </c>
      <c r="X436" s="290">
        <f t="shared" ca="1" si="90"/>
        <v>1.0358048893057168</v>
      </c>
      <c r="Y436" s="290">
        <f t="shared" ca="1" si="90"/>
        <v>1.0438868770341916</v>
      </c>
      <c r="Z436" s="290">
        <f t="shared" ca="1" si="90"/>
        <v>1.0516310933205391</v>
      </c>
      <c r="AA436" s="290">
        <f t="shared" ca="1" si="90"/>
        <v>1.0590436528116101</v>
      </c>
      <c r="AB436" s="290">
        <f t="shared" ca="1" si="90"/>
        <v>1.0661312737822786</v>
      </c>
      <c r="AC436" s="290">
        <f t="shared" ca="1" si="90"/>
        <v>1.0729012432078067</v>
      </c>
      <c r="AD436" s="290">
        <f t="shared" ca="1" si="90"/>
        <v>1.0793613819271068</v>
      </c>
    </row>
    <row r="437" spans="1:30">
      <c r="A437" s="90">
        <v>351</v>
      </c>
      <c r="B437" s="90">
        <f t="shared" si="83"/>
        <v>1.4040000000000001</v>
      </c>
      <c r="C437" s="291">
        <f t="shared" ca="1" si="84"/>
        <v>-1.9312002507860783E-2</v>
      </c>
      <c r="D437" s="292">
        <f t="shared" ca="1" si="85"/>
        <v>-1.2633804426626705</v>
      </c>
      <c r="E437" s="291">
        <f t="shared" ca="1" si="86"/>
        <v>-2.0128560583049755E-2</v>
      </c>
      <c r="F437" s="293">
        <f t="shared" ca="1" si="87"/>
        <v>0.98220892347446731</v>
      </c>
      <c r="G437" s="90">
        <f t="shared" ca="1" si="81"/>
        <v>0.99280394133193584</v>
      </c>
      <c r="T437" s="289">
        <f t="shared" ca="1" si="90"/>
        <v>1</v>
      </c>
      <c r="U437" s="290">
        <f t="shared" ca="1" si="90"/>
        <v>1.0098889273094265</v>
      </c>
      <c r="V437" s="290">
        <f t="shared" ca="1" si="90"/>
        <v>1.0194286974148423</v>
      </c>
      <c r="W437" s="290">
        <f t="shared" ca="1" si="90"/>
        <v>1.0286222142416097</v>
      </c>
      <c r="X437" s="290">
        <f t="shared" ca="1" si="90"/>
        <v>1.0374731310875613</v>
      </c>
      <c r="Y437" s="290">
        <f t="shared" ca="1" si="90"/>
        <v>1.0459858185706266</v>
      </c>
      <c r="Z437" s="290">
        <f t="shared" ca="1" si="90"/>
        <v>1.0541653318080459</v>
      </c>
      <c r="AA437" s="290">
        <f t="shared" ca="1" si="90"/>
        <v>1.0620173770329402</v>
      </c>
      <c r="AB437" s="290">
        <f t="shared" ca="1" si="90"/>
        <v>1.0695482778458123</v>
      </c>
      <c r="AC437" s="290">
        <f t="shared" ca="1" si="90"/>
        <v>1.0767649412886218</v>
      </c>
      <c r="AD437" s="290">
        <f t="shared" ca="1" si="90"/>
        <v>1.0836748239185563</v>
      </c>
    </row>
    <row r="438" spans="1:30">
      <c r="A438" s="90">
        <v>352</v>
      </c>
      <c r="B438" s="90">
        <f t="shared" si="83"/>
        <v>1.4079999999999999</v>
      </c>
      <c r="C438" s="291">
        <f t="shared" ca="1" si="84"/>
        <v>-2.0121318459931679E-2</v>
      </c>
      <c r="D438" s="292">
        <f t="shared" ca="1" si="85"/>
        <v>0.53747459653519869</v>
      </c>
      <c r="E438" s="291">
        <f t="shared" ca="1" si="86"/>
        <v>-1.9773933612747579E-2</v>
      </c>
      <c r="F438" s="293">
        <f t="shared" ca="1" si="87"/>
        <v>0.98213054143041201</v>
      </c>
      <c r="G438" s="90">
        <f t="shared" ca="1" si="81"/>
        <v>0.99272471378634142</v>
      </c>
      <c r="T438" s="289">
        <f t="shared" ca="1" si="90"/>
        <v>1</v>
      </c>
      <c r="U438" s="290">
        <f t="shared" ca="1" si="90"/>
        <v>1.0097101366601495</v>
      </c>
      <c r="V438" s="290">
        <f t="shared" ca="1" si="90"/>
        <v>1.0190682948389005</v>
      </c>
      <c r="W438" s="290">
        <f t="shared" ca="1" si="90"/>
        <v>1.0280775755964819</v>
      </c>
      <c r="X438" s="290">
        <f t="shared" ca="1" si="90"/>
        <v>1.0367418255999261</v>
      </c>
      <c r="Y438" s="290">
        <f t="shared" ca="1" si="90"/>
        <v>1.0450656044658282</v>
      </c>
      <c r="Z438" s="290">
        <f t="shared" ca="1" si="90"/>
        <v>1.0530541513749492</v>
      </c>
      <c r="AA438" s="290">
        <f t="shared" ca="1" si="90"/>
        <v>1.0607133511647067</v>
      </c>
      <c r="AB438" s="290">
        <f t="shared" ca="1" si="90"/>
        <v>1.0680497000971259</v>
      </c>
      <c r="AC438" s="290">
        <f t="shared" ca="1" si="90"/>
        <v>1.0750702714896188</v>
      </c>
      <c r="AD438" s="290">
        <f t="shared" ca="1" si="90"/>
        <v>1.0817826813852112</v>
      </c>
    </row>
    <row r="439" spans="1:30">
      <c r="A439" s="90">
        <v>353</v>
      </c>
      <c r="B439" s="90">
        <f t="shared" si="83"/>
        <v>1.4119999999999999</v>
      </c>
      <c r="C439" s="291">
        <f t="shared" ca="1" si="84"/>
        <v>-1.9766699750258927E-2</v>
      </c>
      <c r="D439" s="292">
        <f t="shared" ca="1" si="85"/>
        <v>-1.0277986414355293</v>
      </c>
      <c r="E439" s="291">
        <f t="shared" ca="1" si="86"/>
        <v>-2.0430994725859179E-2</v>
      </c>
      <c r="F439" s="293">
        <f t="shared" ca="1" si="87"/>
        <v>0.98205157162935508</v>
      </c>
      <c r="G439" s="90">
        <f t="shared" ca="1" si="81"/>
        <v>0.99264489214365237</v>
      </c>
      <c r="T439" s="289">
        <f t="shared" ca="1" si="90"/>
        <v>1</v>
      </c>
      <c r="U439" s="290">
        <f t="shared" ca="1" si="90"/>
        <v>1.0100414291530309</v>
      </c>
      <c r="V439" s="290">
        <f t="shared" ca="1" si="90"/>
        <v>1.0197361578283701</v>
      </c>
      <c r="W439" s="290">
        <f t="shared" ca="1" si="90"/>
        <v>1.0290869227195176</v>
      </c>
      <c r="X439" s="290">
        <f t="shared" ca="1" si="90"/>
        <v>1.0380972129908159</v>
      </c>
      <c r="Y439" s="290">
        <f t="shared" ca="1" si="90"/>
        <v>1.0467712387447268</v>
      </c>
      <c r="Z439" s="290">
        <f t="shared" ca="1" si="90"/>
        <v>1.0551138986868038</v>
      </c>
      <c r="AA439" s="290">
        <f t="shared" ca="1" si="90"/>
        <v>1.0631307471938523</v>
      </c>
      <c r="AB439" s="290">
        <f t="shared" ca="1" si="90"/>
        <v>1.0708279609828131</v>
      </c>
      <c r="AC439" s="290">
        <f t="shared" ca="1" si="90"/>
        <v>1.0782123055681996</v>
      </c>
      <c r="AD439" s="290">
        <f t="shared" ca="1" si="90"/>
        <v>1.0852911016856044</v>
      </c>
    </row>
    <row r="440" spans="1:30">
      <c r="A440" s="90">
        <v>354</v>
      </c>
      <c r="B440" s="90">
        <f t="shared" si="83"/>
        <v>1.4159999999999999</v>
      </c>
      <c r="C440" s="291">
        <f t="shared" ca="1" si="84"/>
        <v>-2.0423745557883864E-2</v>
      </c>
      <c r="D440" s="292">
        <f t="shared" ca="1" si="85"/>
        <v>-0.50130908071026026</v>
      </c>
      <c r="E440" s="291">
        <f t="shared" ca="1" si="86"/>
        <v>-2.0747755621833241E-2</v>
      </c>
      <c r="F440" s="293">
        <f t="shared" ca="1" si="87"/>
        <v>0.9819706956467793</v>
      </c>
      <c r="G440" s="90">
        <f t="shared" ca="1" si="81"/>
        <v>0.99256314375760002</v>
      </c>
      <c r="T440" s="289">
        <f t="shared" ca="1" si="90"/>
        <v>1</v>
      </c>
      <c r="U440" s="290">
        <f t="shared" ca="1" si="90"/>
        <v>1.0102011799261392</v>
      </c>
      <c r="V440" s="290">
        <f t="shared" ca="1" si="90"/>
        <v>1.0200582825209019</v>
      </c>
      <c r="W440" s="290">
        <f t="shared" ca="1" si="90"/>
        <v>1.0295738702262782</v>
      </c>
      <c r="X440" s="290">
        <f t="shared" ca="1" si="90"/>
        <v>1.0387512610890004</v>
      </c>
      <c r="Y440" s="290">
        <f t="shared" ca="1" si="90"/>
        <v>1.0475944977757505</v>
      </c>
      <c r="Z440" s="290">
        <f t="shared" ca="1" si="90"/>
        <v>1.0561083157510092</v>
      </c>
      <c r="AA440" s="290">
        <f t="shared" ca="1" si="90"/>
        <v>1.0642981108227003</v>
      </c>
      <c r="AB440" s="290">
        <f t="shared" ca="1" si="90"/>
        <v>1.0721699062530907</v>
      </c>
      <c r="AC440" s="290">
        <f t="shared" ca="1" si="90"/>
        <v>1.0797303196229218</v>
      </c>
      <c r="AD440" s="290">
        <f t="shared" ca="1" si="90"/>
        <v>1.086986529626667</v>
      </c>
    </row>
    <row r="441" spans="1:30">
      <c r="A441" s="90">
        <v>355</v>
      </c>
      <c r="B441" s="90">
        <f t="shared" si="83"/>
        <v>1.42</v>
      </c>
      <c r="C441" s="291">
        <f t="shared" ca="1" si="84"/>
        <v>-2.0740499075275365E-2</v>
      </c>
      <c r="D441" s="292">
        <f t="shared" ca="1" si="85"/>
        <v>-0.78508399648093929</v>
      </c>
      <c r="E441" s="291">
        <f t="shared" ca="1" si="86"/>
        <v>-2.1247920795115387E-2</v>
      </c>
      <c r="F441" s="293">
        <f t="shared" ca="1" si="87"/>
        <v>0.98188822206319104</v>
      </c>
      <c r="G441" s="90">
        <f t="shared" ca="1" si="81"/>
        <v>0.99247978053732655</v>
      </c>
      <c r="T441" s="289">
        <f t="shared" ca="1" si="90"/>
        <v>1</v>
      </c>
      <c r="U441" s="290">
        <f t="shared" ca="1" si="90"/>
        <v>1.0104534777022884</v>
      </c>
      <c r="V441" s="290">
        <f t="shared" ca="1" si="90"/>
        <v>1.0205671243241934</v>
      </c>
      <c r="W441" s="290">
        <f t="shared" ca="1" si="90"/>
        <v>1.0303432291034984</v>
      </c>
      <c r="X441" s="290">
        <f t="shared" ca="1" si="90"/>
        <v>1.0397848416003048</v>
      </c>
      <c r="Y441" s="290">
        <f t="shared" ca="1" si="90"/>
        <v>1.0488957415848403</v>
      </c>
      <c r="Z441" s="290">
        <f t="shared" ca="1" si="90"/>
        <v>1.057680408033489</v>
      </c>
      <c r="AA441" s="290">
        <f t="shared" ca="1" si="90"/>
        <v>1.0661439874375775</v>
      </c>
      <c r="AB441" s="290">
        <f t="shared" ca="1" si="90"/>
        <v>1.0742922616221582</v>
      </c>
      <c r="AC441" s="290">
        <f t="shared" ca="1" si="90"/>
        <v>1.0821316152629277</v>
      </c>
      <c r="AD441" s="290">
        <f t="shared" ca="1" si="90"/>
        <v>1.0896690032796725</v>
      </c>
    </row>
    <row r="442" spans="1:30">
      <c r="A442" s="90">
        <v>356</v>
      </c>
      <c r="B442" s="90">
        <f t="shared" si="83"/>
        <v>1.4239999999999999</v>
      </c>
      <c r="C442" s="291">
        <f t="shared" ca="1" si="84"/>
        <v>-2.1240652597782208E-2</v>
      </c>
      <c r="D442" s="292">
        <f t="shared" ca="1" si="85"/>
        <v>1.5920724972622604</v>
      </c>
      <c r="E442" s="291">
        <f t="shared" ca="1" si="86"/>
        <v>-2.0211651665026056E-2</v>
      </c>
      <c r="F442" s="293">
        <f t="shared" ca="1" si="87"/>
        <v>0.98180680810684473</v>
      </c>
      <c r="G442" s="90">
        <f t="shared" ca="1" si="81"/>
        <v>0.99239748837441877</v>
      </c>
      <c r="T442" s="289">
        <f t="shared" ca="1" si="90"/>
        <v>1</v>
      </c>
      <c r="U442" s="290">
        <f t="shared" ca="1" si="90"/>
        <v>1.0099308235359421</v>
      </c>
      <c r="V442" s="290">
        <f t="shared" ca="1" si="90"/>
        <v>1.0195131601828047</v>
      </c>
      <c r="W442" s="290">
        <f t="shared" ca="1" si="90"/>
        <v>1.0287498678378952</v>
      </c>
      <c r="X442" s="290">
        <f t="shared" ca="1" si="90"/>
        <v>1.0376445546325979</v>
      </c>
      <c r="Y442" s="290">
        <f t="shared" ca="1" si="90"/>
        <v>1.0462015470224237</v>
      </c>
      <c r="Z442" s="290">
        <f t="shared" ca="1" si="90"/>
        <v>1.0544258570992977</v>
      </c>
      <c r="AA442" s="290">
        <f t="shared" ca="1" si="90"/>
        <v>1.062323149331774</v>
      </c>
      <c r="AB442" s="290">
        <f t="shared" ca="1" si="90"/>
        <v>1.0698997069307568</v>
      </c>
      <c r="AC442" s="290">
        <f t="shared" ca="1" si="90"/>
        <v>1.0771623980284144</v>
      </c>
      <c r="AD442" s="290">
        <f t="shared" ca="1" si="90"/>
        <v>1.0841186418475282</v>
      </c>
    </row>
    <row r="443" spans="1:30">
      <c r="A443" s="90">
        <v>357</v>
      </c>
      <c r="B443" s="90">
        <f t="shared" si="83"/>
        <v>1.4279999999999999</v>
      </c>
      <c r="C443" s="291">
        <f t="shared" ca="1" si="84"/>
        <v>-2.0204407606396316E-2</v>
      </c>
      <c r="D443" s="292">
        <f t="shared" ca="1" si="85"/>
        <v>0.93372128901939644</v>
      </c>
      <c r="E443" s="291">
        <f t="shared" ca="1" si="86"/>
        <v>-1.9600917451904332E-2</v>
      </c>
      <c r="F443" s="293">
        <f t="shared" ca="1" si="87"/>
        <v>0.98172863471635519</v>
      </c>
      <c r="G443" s="90">
        <f t="shared" ca="1" si="81"/>
        <v>0.99231847173312127</v>
      </c>
      <c r="T443" s="289">
        <f t="shared" ca="1" si="90"/>
        <v>1</v>
      </c>
      <c r="U443" s="290">
        <f t="shared" ca="1" si="90"/>
        <v>1.0096229193867596</v>
      </c>
      <c r="V443" s="290">
        <f t="shared" ca="1" si="90"/>
        <v>1.0188925071118866</v>
      </c>
      <c r="W443" s="290">
        <f t="shared" ca="1" si="90"/>
        <v>1.0278119608130081</v>
      </c>
      <c r="X443" s="290">
        <f t="shared" ca="1" si="90"/>
        <v>1.0363852218452707</v>
      </c>
      <c r="Y443" s="290">
        <f t="shared" ca="1" si="90"/>
        <v>1.0446169423307774</v>
      </c>
      <c r="Z443" s="290">
        <f t="shared" ca="1" si="90"/>
        <v>1.0525124514997113</v>
      </c>
      <c r="AA443" s="290">
        <f t="shared" ca="1" si="90"/>
        <v>1.0600777215293029</v>
      </c>
      <c r="AB443" s="290">
        <f t="shared" ca="1" si="90"/>
        <v>1.0673193330781909</v>
      </c>
      <c r="AC443" s="290">
        <f t="shared" ca="1" si="90"/>
        <v>1.074244440703394</v>
      </c>
      <c r="AD443" s="290">
        <f t="shared" ca="1" si="90"/>
        <v>1.0808607383362419</v>
      </c>
    </row>
    <row r="444" spans="1:30">
      <c r="A444" s="90">
        <v>358</v>
      </c>
      <c r="B444" s="90">
        <f t="shared" si="83"/>
        <v>1.4319999999999999</v>
      </c>
      <c r="C444" s="291">
        <f t="shared" ca="1" si="84"/>
        <v>-1.9593687619629142E-2</v>
      </c>
      <c r="D444" s="292">
        <f t="shared" ca="1" si="85"/>
        <v>0.47288310226650682</v>
      </c>
      <c r="E444" s="291">
        <f t="shared" ca="1" si="86"/>
        <v>-1.9288050059685348E-2</v>
      </c>
      <c r="F444" s="293">
        <f t="shared" ca="1" si="87"/>
        <v>0.98165228085975498</v>
      </c>
      <c r="G444" s="90">
        <f t="shared" ca="1" si="81"/>
        <v>0.99224129425289598</v>
      </c>
      <c r="T444" s="289">
        <f t="shared" ca="1" si="90"/>
        <v>1</v>
      </c>
      <c r="U444" s="290">
        <f t="shared" ca="1" si="90"/>
        <v>1.0094652223764906</v>
      </c>
      <c r="V444" s="290">
        <f t="shared" ca="1" si="90"/>
        <v>1.018574704851722</v>
      </c>
      <c r="W444" s="290">
        <f t="shared" ca="1" si="90"/>
        <v>1.0273318203531991</v>
      </c>
      <c r="X444" s="290">
        <f t="shared" ca="1" si="90"/>
        <v>1.0357406820225756</v>
      </c>
      <c r="Y444" s="290">
        <f t="shared" ca="1" si="90"/>
        <v>1.0438061097377043</v>
      </c>
      <c r="Z444" s="290">
        <f t="shared" ca="1" si="90"/>
        <v>1.0515335959625849</v>
      </c>
      <c r="AA444" s="290">
        <f t="shared" ca="1" si="90"/>
        <v>1.0589292711315408</v>
      </c>
      <c r="AB444" s="290">
        <f t="shared" ca="1" si="90"/>
        <v>1.0659998687650973</v>
      </c>
      <c r="AC444" s="290">
        <f t="shared" ca="1" si="90"/>
        <v>1.0727526905044744</v>
      </c>
      <c r="AD444" s="290">
        <f t="shared" ca="1" si="90"/>
        <v>1.0791955712405257</v>
      </c>
    </row>
    <row r="445" spans="1:30">
      <c r="A445" s="90">
        <v>359</v>
      </c>
      <c r="B445" s="90">
        <f t="shared" si="83"/>
        <v>1.4359999999999999</v>
      </c>
      <c r="C445" s="291">
        <f t="shared" ca="1" si="84"/>
        <v>-1.9280827515298003E-2</v>
      </c>
      <c r="D445" s="292">
        <f t="shared" ca="1" si="85"/>
        <v>-1.4300130035780874</v>
      </c>
      <c r="E445" s="291">
        <f t="shared" ca="1" si="86"/>
        <v>-2.0205084869825297E-2</v>
      </c>
      <c r="F445" s="293">
        <f t="shared" ca="1" si="87"/>
        <v>0.98157474686989188</v>
      </c>
      <c r="G445" s="90">
        <f t="shared" ca="1" si="81"/>
        <v>0.99216292390939409</v>
      </c>
      <c r="T445" s="289">
        <f t="shared" ca="1" si="90"/>
        <v>1</v>
      </c>
      <c r="U445" s="290">
        <f t="shared" ca="1" si="90"/>
        <v>1.0099275123599596</v>
      </c>
      <c r="V445" s="290">
        <f t="shared" ca="1" si="90"/>
        <v>1.019506484726826</v>
      </c>
      <c r="W445" s="290">
        <f t="shared" ca="1" si="90"/>
        <v>1.0287397786333006</v>
      </c>
      <c r="X445" s="290">
        <f t="shared" ca="1" si="90"/>
        <v>1.0376310057783529</v>
      </c>
      <c r="Y445" s="290">
        <f t="shared" ca="1" si="90"/>
        <v>1.0461844961060065</v>
      </c>
      <c r="Z445" s="290">
        <f t="shared" ca="1" si="90"/>
        <v>1.0544052651070965</v>
      </c>
      <c r="AA445" s="290">
        <f t="shared" ca="1" si="90"/>
        <v>1.0622989805497041</v>
      </c>
      <c r="AB445" s="290">
        <f t="shared" ca="1" si="90"/>
        <v>1.0698719288358345</v>
      </c>
      <c r="AC445" s="290">
        <f t="shared" ca="1" si="90"/>
        <v>1.0771309811720344</v>
      </c>
      <c r="AD445" s="290">
        <f t="shared" ca="1" si="90"/>
        <v>1.0840835597311731</v>
      </c>
    </row>
    <row r="446" spans="1:30">
      <c r="A446" s="90">
        <v>360</v>
      </c>
      <c r="B446" s="90">
        <f t="shared" si="83"/>
        <v>1.44</v>
      </c>
      <c r="C446" s="291">
        <f t="shared" ca="1" si="84"/>
        <v>-2.0197840964161537E-2</v>
      </c>
      <c r="D446" s="292">
        <f t="shared" ca="1" si="85"/>
        <v>-1.2806192751932914</v>
      </c>
      <c r="E446" s="291">
        <f t="shared" ca="1" si="86"/>
        <v>-2.1025540978416812E-2</v>
      </c>
      <c r="F446" s="293">
        <f t="shared" ca="1" si="87"/>
        <v>0.98149380832482414</v>
      </c>
      <c r="G446" s="90">
        <f t="shared" ca="1" si="81"/>
        <v>0.99208111228599249</v>
      </c>
      <c r="T446" s="289">
        <f t="shared" ref="T446:AD455" ca="1" si="91">EXP(T$82-$E446*T$83)</f>
        <v>1</v>
      </c>
      <c r="U446" s="290">
        <f t="shared" ca="1" si="91"/>
        <v>1.0103412951135893</v>
      </c>
      <c r="V446" s="290">
        <f t="shared" ca="1" si="91"/>
        <v>1.0203408554353937</v>
      </c>
      <c r="W446" s="290">
        <f t="shared" ca="1" si="91"/>
        <v>1.0300010913754249</v>
      </c>
      <c r="X446" s="290">
        <f t="shared" ca="1" si="91"/>
        <v>1.0393251716033436</v>
      </c>
      <c r="Y446" s="290">
        <f t="shared" ca="1" si="91"/>
        <v>1.0483169925471949</v>
      </c>
      <c r="Z446" s="290">
        <f t="shared" ca="1" si="91"/>
        <v>1.0569811470244186</v>
      </c>
      <c r="AA446" s="290">
        <f t="shared" ca="1" si="91"/>
        <v>1.0653228922099582</v>
      </c>
      <c r="AB446" s="290">
        <f t="shared" ca="1" si="91"/>
        <v>1.0733481171388213</v>
      </c>
      <c r="AC446" s="290">
        <f t="shared" ca="1" si="91"/>
        <v>1.0810633099311693</v>
      </c>
      <c r="AD446" s="290">
        <f t="shared" ca="1" si="91"/>
        <v>1.0884755249181195</v>
      </c>
    </row>
    <row r="447" spans="1:30">
      <c r="A447" s="90">
        <v>361</v>
      </c>
      <c r="B447" s="90">
        <f t="shared" si="83"/>
        <v>1.444</v>
      </c>
      <c r="C447" s="291">
        <f t="shared" ca="1" si="84"/>
        <v>-2.1018277961166964E-2</v>
      </c>
      <c r="D447" s="292">
        <f t="shared" ca="1" si="85"/>
        <v>0.78613776207731678</v>
      </c>
      <c r="E447" s="291">
        <f t="shared" ca="1" si="86"/>
        <v>-2.0510175163182924E-2</v>
      </c>
      <c r="F447" s="293">
        <f t="shared" ca="1" si="87"/>
        <v>0.98141227761487282</v>
      </c>
      <c r="G447" s="90">
        <f t="shared" ca="1" si="81"/>
        <v>0.9919987021100668</v>
      </c>
      <c r="T447" s="289">
        <f t="shared" ca="1" si="91"/>
        <v>1</v>
      </c>
      <c r="U447" s="290">
        <f t="shared" ca="1" si="91"/>
        <v>1.0100813595423057</v>
      </c>
      <c r="V447" s="290">
        <f t="shared" ca="1" si="91"/>
        <v>1.0198166695120274</v>
      </c>
      <c r="W447" s="290">
        <f t="shared" ca="1" si="91"/>
        <v>1.0292086229576989</v>
      </c>
      <c r="X447" s="290">
        <f t="shared" ca="1" si="91"/>
        <v>1.0382606661927314</v>
      </c>
      <c r="Y447" s="290">
        <f t="shared" ca="1" si="91"/>
        <v>1.0469769673993063</v>
      </c>
      <c r="Z447" s="290">
        <f t="shared" ca="1" si="91"/>
        <v>1.0553623844211617</v>
      </c>
      <c r="AA447" s="290">
        <f t="shared" ca="1" si="91"/>
        <v>1.0634224319506795</v>
      </c>
      <c r="AB447" s="290">
        <f t="shared" ca="1" si="91"/>
        <v>1.0711632483077955</v>
      </c>
      <c r="AC447" s="290">
        <f t="shared" ca="1" si="91"/>
        <v>1.0785915619986048</v>
      </c>
      <c r="AD447" s="290">
        <f t="shared" ca="1" si="91"/>
        <v>1.0857146582312742</v>
      </c>
    </row>
    <row r="448" spans="1:30">
      <c r="A448" s="90">
        <v>362</v>
      </c>
      <c r="B448" s="90">
        <f t="shared" si="83"/>
        <v>1.448</v>
      </c>
      <c r="C448" s="291">
        <f t="shared" ca="1" si="84"/>
        <v>-2.0502924150789938E-2</v>
      </c>
      <c r="D448" s="292">
        <f t="shared" ca="1" si="85"/>
        <v>-0.75597141678508484</v>
      </c>
      <c r="E448" s="291">
        <f t="shared" ca="1" si="86"/>
        <v>-2.0991529597053547E-2</v>
      </c>
      <c r="F448" s="293">
        <f t="shared" ca="1" si="87"/>
        <v>0.98133082043034436</v>
      </c>
      <c r="G448" s="90">
        <f t="shared" ca="1" si="81"/>
        <v>0.99191636625267754</v>
      </c>
      <c r="T448" s="289">
        <f t="shared" ca="1" si="91"/>
        <v>1</v>
      </c>
      <c r="U448" s="290">
        <f t="shared" ca="1" si="91"/>
        <v>1.0103241386977748</v>
      </c>
      <c r="V448" s="290">
        <f t="shared" ca="1" si="91"/>
        <v>1.0203062536718919</v>
      </c>
      <c r="W448" s="290">
        <f t="shared" ca="1" si="91"/>
        <v>1.0299487739070956</v>
      </c>
      <c r="X448" s="290">
        <f t="shared" ca="1" si="91"/>
        <v>1.0392548863273985</v>
      </c>
      <c r="Y448" s="290">
        <f t="shared" ca="1" si="91"/>
        <v>1.0482285052354645</v>
      </c>
      <c r="Z448" s="290">
        <f t="shared" ca="1" si="91"/>
        <v>1.0568742408879663</v>
      </c>
      <c r="AA448" s="290">
        <f t="shared" ca="1" si="91"/>
        <v>1.0651973674117849</v>
      </c>
      <c r="AB448" s="290">
        <f t="shared" ca="1" si="91"/>
        <v>1.0732037902584137</v>
      </c>
      <c r="AC448" s="290">
        <f t="shared" ca="1" si="91"/>
        <v>1.0809000133846405</v>
      </c>
      <c r="AD448" s="290">
        <f t="shared" ca="1" si="91"/>
        <v>1.0882931063376515</v>
      </c>
    </row>
    <row r="449" spans="1:30">
      <c r="A449" s="90">
        <v>363</v>
      </c>
      <c r="B449" s="90">
        <f t="shared" si="83"/>
        <v>1.452</v>
      </c>
      <c r="C449" s="291">
        <f t="shared" ca="1" si="84"/>
        <v>-2.0984267372059905E-2</v>
      </c>
      <c r="D449" s="292">
        <f t="shared" ca="1" si="85"/>
        <v>-1.275626901189848</v>
      </c>
      <c r="E449" s="291">
        <f t="shared" ca="1" si="86"/>
        <v>-2.1808740675524657E-2</v>
      </c>
      <c r="F449" s="293">
        <f t="shared" ca="1" si="87"/>
        <v>0.98124682157688681</v>
      </c>
      <c r="G449" s="90">
        <f t="shared" ca="1" si="81"/>
        <v>0.99183146130955702</v>
      </c>
      <c r="T449" s="289">
        <f t="shared" ca="1" si="91"/>
        <v>1</v>
      </c>
      <c r="U449" s="290">
        <f t="shared" ca="1" si="91"/>
        <v>1.0107364464040887</v>
      </c>
      <c r="V449" s="290">
        <f t="shared" ca="1" si="91"/>
        <v>1.0211379749175056</v>
      </c>
      <c r="W449" s="290">
        <f t="shared" ca="1" si="91"/>
        <v>1.031206571371615</v>
      </c>
      <c r="X449" s="290">
        <f t="shared" ca="1" si="91"/>
        <v>1.0409449868753042</v>
      </c>
      <c r="Y449" s="290">
        <f t="shared" ca="1" si="91"/>
        <v>1.0503567086916377</v>
      </c>
      <c r="Z449" s="290">
        <f t="shared" ca="1" si="91"/>
        <v>1.0594459301630814</v>
      </c>
      <c r="AA449" s="290">
        <f t="shared" ca="1" si="91"/>
        <v>1.0682175198890174</v>
      </c>
      <c r="AB449" s="290">
        <f t="shared" ca="1" si="91"/>
        <v>1.0766769903524198</v>
      </c>
      <c r="AC449" s="290">
        <f t="shared" ca="1" si="91"/>
        <v>1.0848304661838803</v>
      </c>
      <c r="AD449" s="290">
        <f t="shared" ca="1" si="91"/>
        <v>1.092684652241821</v>
      </c>
    </row>
    <row r="450" spans="1:30">
      <c r="A450" s="90">
        <v>364</v>
      </c>
      <c r="B450" s="90">
        <f t="shared" si="83"/>
        <v>1.456</v>
      </c>
      <c r="C450" s="291">
        <f t="shared" ca="1" si="84"/>
        <v>-2.1801459414534187E-2</v>
      </c>
      <c r="D450" s="292">
        <f t="shared" ca="1" si="85"/>
        <v>0.42819873615662968</v>
      </c>
      <c r="E450" s="291">
        <f t="shared" ca="1" si="86"/>
        <v>-2.1524702608755639E-2</v>
      </c>
      <c r="F450" s="293">
        <f t="shared" ca="1" si="87"/>
        <v>0.98116178365494466</v>
      </c>
      <c r="G450" s="90">
        <f t="shared" ca="1" si="81"/>
        <v>0.99174550608959411</v>
      </c>
      <c r="T450" s="289">
        <f t="shared" ca="1" si="91"/>
        <v>1</v>
      </c>
      <c r="U450" s="290">
        <f t="shared" ca="1" si="91"/>
        <v>1.0105931215341293</v>
      </c>
      <c r="V450" s="290">
        <f t="shared" ca="1" si="91"/>
        <v>1.0208488167073149</v>
      </c>
      <c r="W450" s="290">
        <f t="shared" ca="1" si="91"/>
        <v>1.0307692246220792</v>
      </c>
      <c r="X450" s="290">
        <f t="shared" ca="1" si="91"/>
        <v>1.0403572471928664</v>
      </c>
      <c r="Y450" s="290">
        <f t="shared" ca="1" si="91"/>
        <v>1.0496165195205298</v>
      </c>
      <c r="Z450" s="290">
        <f t="shared" ca="1" si="91"/>
        <v>1.0585513793454164</v>
      </c>
      <c r="AA450" s="290">
        <f t="shared" ca="1" si="91"/>
        <v>1.0671668357831989</v>
      </c>
      <c r="AB450" s="290">
        <f t="shared" ca="1" si="91"/>
        <v>1.075468537540532</v>
      </c>
      <c r="AC450" s="290">
        <f t="shared" ca="1" si="91"/>
        <v>1.0834627407987092</v>
      </c>
      <c r="AD450" s="290">
        <f t="shared" ca="1" si="91"/>
        <v>1.0911562769439529</v>
      </c>
    </row>
    <row r="451" spans="1:30">
      <c r="A451" s="90">
        <v>365</v>
      </c>
      <c r="B451" s="90">
        <f t="shared" si="83"/>
        <v>1.46</v>
      </c>
      <c r="C451" s="291">
        <f t="shared" ca="1" si="84"/>
        <v>-2.1517427964106869E-2</v>
      </c>
      <c r="D451" s="292">
        <f t="shared" ca="1" si="85"/>
        <v>-0.54773817585018036</v>
      </c>
      <c r="E451" s="291">
        <f t="shared" ca="1" si="86"/>
        <v>-2.1871446449336154E-2</v>
      </c>
      <c r="F451" s="293">
        <f t="shared" ca="1" si="87"/>
        <v>0.98107663006430879</v>
      </c>
      <c r="G451" s="90">
        <f t="shared" ca="1" si="81"/>
        <v>0.99165943395322742</v>
      </c>
      <c r="T451" s="289">
        <f t="shared" ca="1" si="91"/>
        <v>1</v>
      </c>
      <c r="U451" s="290">
        <f t="shared" ca="1" si="91"/>
        <v>1.0107680903134608</v>
      </c>
      <c r="V451" s="290">
        <f t="shared" ca="1" si="91"/>
        <v>1.0212018220777415</v>
      </c>
      <c r="W451" s="290">
        <f t="shared" ca="1" si="91"/>
        <v>1.0313031473982051</v>
      </c>
      <c r="X451" s="290">
        <f t="shared" ca="1" si="91"/>
        <v>1.0410747841899008</v>
      </c>
      <c r="Y451" s="290">
        <f t="shared" ca="1" si="91"/>
        <v>1.0505201871654475</v>
      </c>
      <c r="Z451" s="290">
        <f t="shared" ca="1" si="91"/>
        <v>1.0596435178649071</v>
      </c>
      <c r="AA451" s="290">
        <f t="shared" ca="1" si="91"/>
        <v>1.0684496139312705</v>
      </c>
      <c r="AB451" s="290">
        <f t="shared" ca="1" si="91"/>
        <v>1.0769439578283797</v>
      </c>
      <c r="AC451" s="290">
        <f t="shared" ca="1" si="91"/>
        <v>1.0851326451894663</v>
      </c>
      <c r="AD451" s="290">
        <f t="shared" ca="1" si="91"/>
        <v>1.0930223529751932</v>
      </c>
    </row>
    <row r="452" spans="1:30">
      <c r="A452" s="90">
        <v>366</v>
      </c>
      <c r="B452" s="90">
        <f t="shared" si="83"/>
        <v>1.464</v>
      </c>
      <c r="C452" s="291">
        <f t="shared" ca="1" si="84"/>
        <v>-2.1864163727686445E-2</v>
      </c>
      <c r="D452" s="292">
        <f t="shared" ca="1" si="85"/>
        <v>0.26876245233561336</v>
      </c>
      <c r="E452" s="291">
        <f t="shared" ca="1" si="86"/>
        <v>-2.169045504631751E-2</v>
      </c>
      <c r="F452" s="293">
        <f t="shared" ca="1" si="87"/>
        <v>0.9809911586606227</v>
      </c>
      <c r="G452" s="90">
        <f t="shared" ca="1" si="81"/>
        <v>0.99157304057558371</v>
      </c>
      <c r="T452" s="289">
        <f t="shared" ca="1" si="91"/>
        <v>1</v>
      </c>
      <c r="U452" s="290">
        <f t="shared" ca="1" si="91"/>
        <v>1.0106767573134341</v>
      </c>
      <c r="V452" s="290">
        <f t="shared" ca="1" si="91"/>
        <v>1.0210175470901959</v>
      </c>
      <c r="W452" s="290">
        <f t="shared" ca="1" si="91"/>
        <v>1.03102441889073</v>
      </c>
      <c r="X452" s="290">
        <f t="shared" ca="1" si="91"/>
        <v>1.0407001865371905</v>
      </c>
      <c r="Y452" s="290">
        <f t="shared" ca="1" si="91"/>
        <v>1.0500483987806397</v>
      </c>
      <c r="Z452" s="290">
        <f t="shared" ca="1" si="91"/>
        <v>1.0590733090292743</v>
      </c>
      <c r="AA452" s="290">
        <f t="shared" ca="1" si="91"/>
        <v>1.0677798443415853</v>
      </c>
      <c r="AB452" s="290">
        <f t="shared" ca="1" si="91"/>
        <v>1.0761735738814104</v>
      </c>
      <c r="AC452" s="290">
        <f t="shared" ca="1" si="91"/>
        <v>1.0842606770230665</v>
      </c>
      <c r="AD452" s="290">
        <f t="shared" ca="1" si="91"/>
        <v>1.0920479112853194</v>
      </c>
    </row>
    <row r="453" spans="1:30">
      <c r="A453" s="90">
        <v>367</v>
      </c>
      <c r="B453" s="90">
        <f t="shared" si="83"/>
        <v>1.468</v>
      </c>
      <c r="C453" s="291">
        <f t="shared" ca="1" si="84"/>
        <v>-2.1683176540655401E-2</v>
      </c>
      <c r="D453" s="292">
        <f t="shared" ca="1" si="85"/>
        <v>-1.0063374751645988</v>
      </c>
      <c r="E453" s="291">
        <f t="shared" ca="1" si="86"/>
        <v>-2.2333600564933526E-2</v>
      </c>
      <c r="F453" s="293">
        <f t="shared" ca="1" si="87"/>
        <v>0.98090478804441728</v>
      </c>
      <c r="G453" s="90">
        <f t="shared" ca="1" si="81"/>
        <v>0.9914857382856791</v>
      </c>
      <c r="T453" s="289">
        <f t="shared" ca="1" si="91"/>
        <v>1</v>
      </c>
      <c r="U453" s="290">
        <f t="shared" ca="1" si="91"/>
        <v>1.0110013428253524</v>
      </c>
      <c r="V453" s="290">
        <f t="shared" ca="1" si="91"/>
        <v>1.02167251159198</v>
      </c>
      <c r="W453" s="290">
        <f t="shared" ca="1" si="91"/>
        <v>1.0320152111011656</v>
      </c>
      <c r="X453" s="290">
        <f t="shared" ca="1" si="91"/>
        <v>1.0420319157508797</v>
      </c>
      <c r="Y453" s="290">
        <f t="shared" ca="1" si="91"/>
        <v>1.0517258413474346</v>
      </c>
      <c r="Z453" s="290">
        <f t="shared" ca="1" si="91"/>
        <v>1.0611009159112164</v>
      </c>
      <c r="AA453" s="290">
        <f t="shared" ca="1" si="91"/>
        <v>1.0701617496793363</v>
      </c>
      <c r="AB453" s="290">
        <f t="shared" ca="1" si="91"/>
        <v>1.0789136045016063</v>
      </c>
      <c r="AC453" s="290">
        <f t="shared" ca="1" si="91"/>
        <v>1.0873623628179583</v>
      </c>
      <c r="AD453" s="290">
        <f t="shared" ca="1" si="91"/>
        <v>1.0955144963964445</v>
      </c>
    </row>
    <row r="454" spans="1:30">
      <c r="A454" s="90">
        <v>368</v>
      </c>
      <c r="B454" s="90">
        <f t="shared" si="83"/>
        <v>1.472</v>
      </c>
      <c r="C454" s="291">
        <f t="shared" ca="1" si="84"/>
        <v>-2.2326307077932601E-2</v>
      </c>
      <c r="D454" s="292">
        <f t="shared" ca="1" si="85"/>
        <v>-2.0120606303830972</v>
      </c>
      <c r="E454" s="291">
        <f t="shared" ca="1" si="86"/>
        <v>-2.3626758074345413E-2</v>
      </c>
      <c r="F454" s="293">
        <f t="shared" ca="1" si="87"/>
        <v>0.98081462671662867</v>
      </c>
      <c r="G454" s="90">
        <f t="shared" ca="1" si="81"/>
        <v>0.99139460439405491</v>
      </c>
      <c r="T454" s="289">
        <f t="shared" ca="1" si="91"/>
        <v>1</v>
      </c>
      <c r="U454" s="290">
        <f t="shared" ca="1" si="91"/>
        <v>1.0116542948013585</v>
      </c>
      <c r="V454" s="290">
        <f t="shared" ca="1" si="91"/>
        <v>1.0229907052087808</v>
      </c>
      <c r="W454" s="290">
        <f t="shared" ca="1" si="91"/>
        <v>1.034010256396082</v>
      </c>
      <c r="X454" s="290">
        <f t="shared" ca="1" si="91"/>
        <v>1.044714752475512</v>
      </c>
      <c r="Y454" s="290">
        <f t="shared" ca="1" si="91"/>
        <v>1.0551067506499019</v>
      </c>
      <c r="Z454" s="290">
        <f t="shared" ca="1" si="91"/>
        <v>1.0651895342302788</v>
      </c>
      <c r="AA454" s="290">
        <f t="shared" ca="1" si="91"/>
        <v>1.0749670847191306</v>
      </c>
      <c r="AB454" s="290">
        <f t="shared" ca="1" si="91"/>
        <v>1.0844440531541009</v>
      </c>
      <c r="AC454" s="290">
        <f t="shared" ca="1" si="91"/>
        <v>1.0936257308995934</v>
      </c>
      <c r="AD454" s="290">
        <f t="shared" ca="1" si="91"/>
        <v>1.1025180200656945</v>
      </c>
    </row>
    <row r="455" spans="1:30">
      <c r="A455" s="90">
        <v>369</v>
      </c>
      <c r="B455" s="90">
        <f t="shared" si="83"/>
        <v>1.476</v>
      </c>
      <c r="C455" s="291">
        <f t="shared" ca="1" si="84"/>
        <v>-2.3619434464720243E-2</v>
      </c>
      <c r="D455" s="292">
        <f t="shared" ca="1" si="85"/>
        <v>0.94159937107417857</v>
      </c>
      <c r="E455" s="291">
        <f t="shared" ca="1" si="86"/>
        <v>-2.301085248570605E-2</v>
      </c>
      <c r="F455" s="293">
        <f t="shared" ca="1" si="87"/>
        <v>0.98072314528198579</v>
      </c>
      <c r="G455" s="90">
        <f t="shared" ca="1" si="81"/>
        <v>0.99130213615567753</v>
      </c>
      <c r="T455" s="289">
        <f t="shared" ca="1" si="91"/>
        <v>1</v>
      </c>
      <c r="U455" s="290">
        <f t="shared" ca="1" si="91"/>
        <v>1.011343253988557</v>
      </c>
      <c r="V455" s="290">
        <f t="shared" ca="1" si="91"/>
        <v>1.0223626634288705</v>
      </c>
      <c r="W455" s="290">
        <f t="shared" ca="1" si="91"/>
        <v>1.0330595748557734</v>
      </c>
      <c r="X455" s="290">
        <f t="shared" ca="1" si="91"/>
        <v>1.0434361095226146</v>
      </c>
      <c r="Y455" s="290">
        <f t="shared" ca="1" si="91"/>
        <v>1.0534951364323719</v>
      </c>
      <c r="Z455" s="290">
        <f t="shared" ca="1" si="91"/>
        <v>1.0632402442944784</v>
      </c>
      <c r="AA455" s="290">
        <f t="shared" ca="1" si="91"/>
        <v>1.0726757126088893</v>
      </c>
      <c r="AB455" s="290">
        <f t="shared" ca="1" si="91"/>
        <v>1.0818064820730322</v>
      </c>
      <c r="AC455" s="290">
        <f t="shared" ca="1" si="91"/>
        <v>1.0906381244995065</v>
      </c>
      <c r="AD455" s="290">
        <f t="shared" ca="1" si="91"/>
        <v>1.0991768124238921</v>
      </c>
    </row>
    <row r="456" spans="1:30">
      <c r="A456" s="90">
        <v>370</v>
      </c>
      <c r="B456" s="90">
        <f t="shared" si="83"/>
        <v>1.48</v>
      </c>
      <c r="C456" s="291">
        <f t="shared" ca="1" si="84"/>
        <v>-2.3003543222896702E-2</v>
      </c>
      <c r="D456" s="292">
        <f t="shared" ca="1" si="85"/>
        <v>0.24760114186012458</v>
      </c>
      <c r="E456" s="291">
        <f t="shared" ca="1" si="86"/>
        <v>-2.2843511687672218E-2</v>
      </c>
      <c r="F456" s="293">
        <f t="shared" ca="1" si="87"/>
        <v>0.98063320853352709</v>
      </c>
      <c r="G456" s="90">
        <f t="shared" ca="1" si="81"/>
        <v>0.99121122926590455</v>
      </c>
      <c r="T456" s="289">
        <f t="shared" ref="T456:AD465" ca="1" si="92">EXP(T$82-$E456*T$83)</f>
        <v>1</v>
      </c>
      <c r="U456" s="290">
        <f t="shared" ca="1" si="92"/>
        <v>1.011258761101228</v>
      </c>
      <c r="V456" s="290">
        <f t="shared" ca="1" si="92"/>
        <v>1.0221920918635969</v>
      </c>
      <c r="W456" s="290">
        <f t="shared" ca="1" si="92"/>
        <v>1.0328014268768431</v>
      </c>
      <c r="X456" s="290">
        <f t="shared" ca="1" si="92"/>
        <v>1.0430889742307698</v>
      </c>
      <c r="Y456" s="290">
        <f t="shared" ca="1" si="92"/>
        <v>1.0530576882437281</v>
      </c>
      <c r="Z456" s="290">
        <f t="shared" ca="1" si="92"/>
        <v>1.0627112411334945</v>
      </c>
      <c r="AA456" s="290">
        <f t="shared" ca="1" si="92"/>
        <v>1.0720539938324198</v>
      </c>
      <c r="AB456" s="290">
        <f t="shared" ca="1" si="92"/>
        <v>1.0810909661426957</v>
      </c>
      <c r="AC456" s="290">
        <f t="shared" ca="1" si="92"/>
        <v>1.0898278064196831</v>
      </c>
      <c r="AD456" s="290">
        <f t="shared" ca="1" si="92"/>
        <v>1.0982707609626272</v>
      </c>
    </row>
    <row r="457" spans="1:30">
      <c r="A457" s="90">
        <v>371</v>
      </c>
      <c r="B457" s="90">
        <f t="shared" si="83"/>
        <v>1.484</v>
      </c>
      <c r="C457" s="291">
        <f t="shared" ca="1" si="84"/>
        <v>-2.2836206322875252E-2</v>
      </c>
      <c r="D457" s="292">
        <f t="shared" ca="1" si="85"/>
        <v>-0.47560145648161017</v>
      </c>
      <c r="E457" s="291">
        <f t="shared" ca="1" si="86"/>
        <v>-2.3143600831091009E-2</v>
      </c>
      <c r="F457" s="293">
        <f t="shared" ca="1" si="87"/>
        <v>0.98054301970171365</v>
      </c>
      <c r="G457" s="90">
        <f t="shared" ca="1" si="81"/>
        <v>0.99112006757357152</v>
      </c>
      <c r="T457" s="289">
        <f t="shared" ca="1" si="92"/>
        <v>1</v>
      </c>
      <c r="U457" s="290">
        <f t="shared" ca="1" si="92"/>
        <v>1.0114102856473017</v>
      </c>
      <c r="V457" s="290">
        <f t="shared" ca="1" si="92"/>
        <v>1.0224979949270425</v>
      </c>
      <c r="W457" s="290">
        <f t="shared" ca="1" si="92"/>
        <v>1.0332644047446071</v>
      </c>
      <c r="X457" s="290">
        <f t="shared" ca="1" si="92"/>
        <v>1.0437115676685658</v>
      </c>
      <c r="Y457" s="290">
        <f t="shared" ca="1" si="92"/>
        <v>1.0538422852024609</v>
      </c>
      <c r="Z457" s="290">
        <f t="shared" ca="1" si="92"/>
        <v>1.063660079969168</v>
      </c>
      <c r="AA457" s="290">
        <f t="shared" ca="1" si="92"/>
        <v>1.0731691670090779</v>
      </c>
      <c r="AB457" s="290">
        <f t="shared" ca="1" si="92"/>
        <v>1.0823744243875704</v>
      </c>
      <c r="AC457" s="290">
        <f t="shared" ca="1" si="92"/>
        <v>1.0912813632995739</v>
      </c>
      <c r="AD457" s="290">
        <f t="shared" ca="1" si="92"/>
        <v>1.0998960978505976</v>
      </c>
    </row>
    <row r="458" spans="1:30">
      <c r="A458" s="90">
        <v>372</v>
      </c>
      <c r="B458" s="90">
        <f t="shared" si="83"/>
        <v>1.488</v>
      </c>
      <c r="C458" s="291">
        <f t="shared" ca="1" si="84"/>
        <v>-2.313628847606088E-2</v>
      </c>
      <c r="D458" s="292">
        <f t="shared" ca="1" si="85"/>
        <v>-0.72339538659082681</v>
      </c>
      <c r="E458" s="291">
        <f t="shared" ca="1" si="86"/>
        <v>-2.3603839123932439E-2</v>
      </c>
      <c r="F458" s="293">
        <f t="shared" ca="1" si="87"/>
        <v>0.9804513482353131</v>
      </c>
      <c r="G458" s="90">
        <f t="shared" ca="1" si="81"/>
        <v>0.99102740725357752</v>
      </c>
      <c r="T458" s="289">
        <f t="shared" ca="1" si="92"/>
        <v>1</v>
      </c>
      <c r="U458" s="290">
        <f t="shared" ca="1" si="92"/>
        <v>1.0116427187020021</v>
      </c>
      <c r="V458" s="290">
        <f t="shared" ca="1" si="92"/>
        <v>1.0229673277392151</v>
      </c>
      <c r="W458" s="290">
        <f t="shared" ca="1" si="92"/>
        <v>1.0339748641656445</v>
      </c>
      <c r="X458" s="290">
        <f t="shared" ca="1" si="92"/>
        <v>1.044667143824128</v>
      </c>
      <c r="Y458" s="290">
        <f t="shared" ca="1" si="92"/>
        <v>1.0550467354565678</v>
      </c>
      <c r="Z458" s="290">
        <f t="shared" ca="1" si="92"/>
        <v>1.065116933681844</v>
      </c>
      <c r="AA458" s="290">
        <f t="shared" ca="1" si="92"/>
        <v>1.0748817310416319</v>
      </c>
      <c r="AB458" s="290">
        <f t="shared" ca="1" si="92"/>
        <v>1.0843457893089528</v>
      </c>
      <c r="AC458" s="290">
        <f t="shared" ca="1" si="92"/>
        <v>1.0935144102469432</v>
      </c>
      <c r="AD458" s="290">
        <f t="shared" ca="1" si="92"/>
        <v>1.102393505997258</v>
      </c>
    </row>
    <row r="459" spans="1:30">
      <c r="A459" s="90">
        <v>373</v>
      </c>
      <c r="B459" s="90">
        <f t="shared" si="83"/>
        <v>1.492</v>
      </c>
      <c r="C459" s="291">
        <f t="shared" ca="1" si="84"/>
        <v>-2.3596516048177991E-2</v>
      </c>
      <c r="D459" s="292">
        <f t="shared" ca="1" si="85"/>
        <v>-1.5596590920007378</v>
      </c>
      <c r="E459" s="291">
        <f t="shared" ca="1" si="86"/>
        <v>-2.4604567291579379E-2</v>
      </c>
      <c r="F459" s="293">
        <f t="shared" ca="1" si="87"/>
        <v>0.98035682079827069</v>
      </c>
      <c r="G459" s="90">
        <f t="shared" ca="1" si="81"/>
        <v>0.99093186015578927</v>
      </c>
      <c r="T459" s="289">
        <f t="shared" ca="1" si="92"/>
        <v>1</v>
      </c>
      <c r="U459" s="290">
        <f t="shared" ca="1" si="92"/>
        <v>1.0121482984384242</v>
      </c>
      <c r="V459" s="290">
        <f t="shared" ca="1" si="92"/>
        <v>1.0239885743516215</v>
      </c>
      <c r="W459" s="290">
        <f t="shared" ca="1" si="92"/>
        <v>1.0355213518946818</v>
      </c>
      <c r="X459" s="290">
        <f t="shared" ca="1" si="92"/>
        <v>1.0467479400132591</v>
      </c>
      <c r="Y459" s="290">
        <f t="shared" ca="1" si="92"/>
        <v>1.0576704083973791</v>
      </c>
      <c r="Z459" s="290">
        <f t="shared" ca="1" si="92"/>
        <v>1.068291562208924</v>
      </c>
      <c r="AA459" s="290">
        <f t="shared" ca="1" si="92"/>
        <v>1.078614915780524</v>
      </c>
      <c r="AB459" s="290">
        <f t="shared" ca="1" si="92"/>
        <v>1.0886446654789794</v>
      </c>
      <c r="AC459" s="290">
        <f t="shared" ca="1" si="92"/>
        <v>1.0983856619197585</v>
      </c>
      <c r="AD459" s="290">
        <f t="shared" ca="1" si="92"/>
        <v>1.107843381711765</v>
      </c>
    </row>
    <row r="460" spans="1:30">
      <c r="A460" s="90">
        <v>374</v>
      </c>
      <c r="B460" s="90">
        <f t="shared" si="83"/>
        <v>1.496</v>
      </c>
      <c r="C460" s="291">
        <f t="shared" ca="1" si="84"/>
        <v>-2.4597220905007537E-2</v>
      </c>
      <c r="D460" s="292">
        <f t="shared" ca="1" si="85"/>
        <v>1.5016110215006133</v>
      </c>
      <c r="E460" s="291">
        <f t="shared" ca="1" si="86"/>
        <v>-2.3626687751261009E-2</v>
      </c>
      <c r="F460" s="293">
        <f t="shared" ca="1" si="87"/>
        <v>0.98026225767952802</v>
      </c>
      <c r="G460" s="90">
        <f t="shared" ca="1" si="81"/>
        <v>0.99083627699140486</v>
      </c>
      <c r="T460" s="289">
        <f t="shared" ca="1" si="92"/>
        <v>1</v>
      </c>
      <c r="U460" s="290">
        <f t="shared" ca="1" si="92"/>
        <v>1.0116542592817714</v>
      </c>
      <c r="V460" s="290">
        <f t="shared" ca="1" si="92"/>
        <v>1.0229906334779875</v>
      </c>
      <c r="W460" s="290">
        <f t="shared" ca="1" si="92"/>
        <v>1.0340101477989068</v>
      </c>
      <c r="X460" s="290">
        <f t="shared" ca="1" si="92"/>
        <v>1.0447146063927639</v>
      </c>
      <c r="Y460" s="290">
        <f t="shared" ca="1" si="92"/>
        <v>1.0551065664977877</v>
      </c>
      <c r="Z460" s="290">
        <f t="shared" ca="1" si="92"/>
        <v>1.0651893114596953</v>
      </c>
      <c r="AA460" s="290">
        <f t="shared" ca="1" si="92"/>
        <v>1.0749668228148401</v>
      </c>
      <c r="AB460" s="290">
        <f t="shared" ca="1" si="92"/>
        <v>1.0844437516338006</v>
      </c>
      <c r="AC460" s="290">
        <f t="shared" ca="1" si="92"/>
        <v>1.0936253893128824</v>
      </c>
      <c r="AD460" s="290">
        <f t="shared" ca="1" si="92"/>
        <v>1.1025176379929491</v>
      </c>
    </row>
    <row r="461" spans="1:30">
      <c r="A461" s="90">
        <v>375</v>
      </c>
      <c r="B461" s="90">
        <f t="shared" si="83"/>
        <v>1.5</v>
      </c>
      <c r="C461" s="291">
        <f t="shared" ca="1" si="84"/>
        <v>-2.3619364143273935E-2</v>
      </c>
      <c r="D461" s="292">
        <f t="shared" ca="1" si="85"/>
        <v>-7.7400972659624978E-2</v>
      </c>
      <c r="E461" s="291">
        <f t="shared" ca="1" si="86"/>
        <v>-2.3669390554257069E-2</v>
      </c>
      <c r="F461" s="293">
        <f t="shared" ca="1" si="87"/>
        <v>0.98016953694392606</v>
      </c>
      <c r="G461" s="90">
        <f t="shared" ca="1" si="81"/>
        <v>0.99074255608381712</v>
      </c>
      <c r="T461" s="289">
        <f t="shared" ca="1" si="92"/>
        <v>1</v>
      </c>
      <c r="U461" s="290">
        <f t="shared" ca="1" si="92"/>
        <v>1.0116758283310525</v>
      </c>
      <c r="V461" s="290">
        <f t="shared" ca="1" si="92"/>
        <v>1.0230341920201274</v>
      </c>
      <c r="W461" s="290">
        <f t="shared" ca="1" si="92"/>
        <v>1.0340760941585354</v>
      </c>
      <c r="X461" s="290">
        <f t="shared" ca="1" si="92"/>
        <v>1.0448033170527815</v>
      </c>
      <c r="Y461" s="290">
        <f t="shared" ca="1" si="92"/>
        <v>1.0552183964547159</v>
      </c>
      <c r="Z461" s="290">
        <f t="shared" ca="1" si="92"/>
        <v>1.065324594653051</v>
      </c>
      <c r="AA461" s="290">
        <f t="shared" ca="1" si="92"/>
        <v>1.0751258726263284</v>
      </c>
      <c r="AB461" s="290">
        <f t="shared" ca="1" si="92"/>
        <v>1.084626861452052</v>
      </c>
      <c r="AC461" s="290">
        <f t="shared" ca="1" si="92"/>
        <v>1.0938328331594325</v>
      </c>
      <c r="AD461" s="290">
        <f t="shared" ca="1" si="92"/>
        <v>1.102749671205149</v>
      </c>
    </row>
    <row r="462" spans="1:30">
      <c r="A462" s="90">
        <v>376</v>
      </c>
      <c r="B462" s="90">
        <f t="shared" si="83"/>
        <v>1.504</v>
      </c>
      <c r="C462" s="291">
        <f t="shared" ca="1" si="84"/>
        <v>-2.3662065951557072E-2</v>
      </c>
      <c r="D462" s="292">
        <f t="shared" ca="1" si="85"/>
        <v>-1.2872328607789745</v>
      </c>
      <c r="E462" s="291">
        <f t="shared" ca="1" si="86"/>
        <v>-2.4494040510940309E-2</v>
      </c>
      <c r="F462" s="293">
        <f t="shared" ca="1" si="87"/>
        <v>0.98007512483536052</v>
      </c>
      <c r="G462" s="90">
        <f t="shared" ca="1" si="81"/>
        <v>0.99064712555854584</v>
      </c>
      <c r="T462" s="289">
        <f t="shared" ca="1" si="92"/>
        <v>1</v>
      </c>
      <c r="U462" s="290">
        <f t="shared" ca="1" si="92"/>
        <v>1.012092446588458</v>
      </c>
      <c r="V462" s="290">
        <f t="shared" ca="1" si="92"/>
        <v>1.0238757313186897</v>
      </c>
      <c r="W462" s="290">
        <f t="shared" ca="1" si="92"/>
        <v>1.0353504343957636</v>
      </c>
      <c r="X462" s="290">
        <f t="shared" ca="1" si="92"/>
        <v>1.046517920205539</v>
      </c>
      <c r="Y462" s="290">
        <f t="shared" ca="1" si="92"/>
        <v>1.05738031306354</v>
      </c>
      <c r="Z462" s="290">
        <f t="shared" ca="1" si="92"/>
        <v>1.0679404717476413</v>
      </c>
      <c r="AA462" s="290">
        <f t="shared" ca="1" si="92"/>
        <v>1.0782019630125961</v>
      </c>
      <c r="AB462" s="290">
        <f t="shared" ca="1" si="92"/>
        <v>1.0881690342797263</v>
      </c>
      <c r="AC462" s="290">
        <f t="shared" ca="1" si="92"/>
        <v>1.0978465856884554</v>
      </c>
      <c r="AD462" s="290">
        <f t="shared" ca="1" si="92"/>
        <v>1.1072401416889093</v>
      </c>
    </row>
    <row r="463" spans="1:30">
      <c r="A463" s="90">
        <v>377</v>
      </c>
      <c r="B463" s="90">
        <f t="shared" si="83"/>
        <v>1.508</v>
      </c>
      <c r="C463" s="291">
        <f t="shared" ca="1" si="84"/>
        <v>-2.448669669896333E-2</v>
      </c>
      <c r="D463" s="292">
        <f t="shared" ca="1" si="85"/>
        <v>1.797377567045181</v>
      </c>
      <c r="E463" s="291">
        <f t="shared" ca="1" si="86"/>
        <v>-2.3325001363992782E-2</v>
      </c>
      <c r="F463" s="293">
        <f t="shared" ca="1" si="87"/>
        <v>0.97998139681054608</v>
      </c>
      <c r="G463" s="90">
        <f t="shared" ca="1" si="81"/>
        <v>0.99055238649618849</v>
      </c>
      <c r="T463" s="289">
        <f t="shared" ca="1" si="92"/>
        <v>1</v>
      </c>
      <c r="U463" s="290">
        <f t="shared" ca="1" si="92"/>
        <v>1.0115018915517835</v>
      </c>
      <c r="V463" s="290">
        <f t="shared" ca="1" si="92"/>
        <v>1.0226829543024591</v>
      </c>
      <c r="W463" s="290">
        <f t="shared" ca="1" si="92"/>
        <v>1.0335443703311973</v>
      </c>
      <c r="X463" s="290">
        <f t="shared" ca="1" si="92"/>
        <v>1.0440880986399781</v>
      </c>
      <c r="Y463" s="290">
        <f t="shared" ca="1" si="92"/>
        <v>1.0543168487551124</v>
      </c>
      <c r="Z463" s="290">
        <f t="shared" ca="1" si="92"/>
        <v>1.0642340532235115</v>
      </c>
      <c r="AA463" s="290">
        <f t="shared" ca="1" si="92"/>
        <v>1.0738438392045722</v>
      </c>
      <c r="AB463" s="290">
        <f t="shared" ca="1" si="92"/>
        <v>1.0831509993528954</v>
      </c>
      <c r="AC463" s="290">
        <f t="shared" ca="1" si="92"/>
        <v>1.0921609621795265</v>
      </c>
      <c r="AD463" s="290">
        <f t="shared" ca="1" si="92"/>
        <v>1.1008797620711215</v>
      </c>
    </row>
    <row r="464" spans="1:30">
      <c r="A464" s="90">
        <v>378</v>
      </c>
      <c r="B464" s="90">
        <f t="shared" si="83"/>
        <v>1.512</v>
      </c>
      <c r="C464" s="291">
        <f t="shared" ca="1" si="84"/>
        <v>-2.3317684783444838E-2</v>
      </c>
      <c r="D464" s="292">
        <f t="shared" ca="1" si="85"/>
        <v>-0.12295017645363146</v>
      </c>
      <c r="E464" s="291">
        <f t="shared" ca="1" si="86"/>
        <v>-2.3397150917349469E-2</v>
      </c>
      <c r="F464" s="293">
        <f t="shared" ca="1" si="87"/>
        <v>0.97988982740882291</v>
      </c>
      <c r="G464" s="90">
        <f t="shared" ca="1" si="81"/>
        <v>0.9904598293418363</v>
      </c>
      <c r="T464" s="289">
        <f t="shared" ca="1" si="92"/>
        <v>1</v>
      </c>
      <c r="U464" s="290">
        <f t="shared" ca="1" si="92"/>
        <v>1.0115383288396909</v>
      </c>
      <c r="V464" s="290">
        <f t="shared" ca="1" si="92"/>
        <v>1.0227565286358211</v>
      </c>
      <c r="W464" s="290">
        <f t="shared" ca="1" si="92"/>
        <v>1.0336557438561513</v>
      </c>
      <c r="X464" s="290">
        <f t="shared" ca="1" si="92"/>
        <v>1.0442378963822347</v>
      </c>
      <c r="Y464" s="290">
        <f t="shared" ca="1" si="92"/>
        <v>1.0545056592423505</v>
      </c>
      <c r="Z464" s="290">
        <f t="shared" ca="1" si="92"/>
        <v>1.0644624292321481</v>
      </c>
      <c r="AA464" s="290">
        <f t="shared" ca="1" si="92"/>
        <v>1.0741122986237008</v>
      </c>
      <c r="AB464" s="290">
        <f t="shared" ca="1" si="92"/>
        <v>1.0834600261580922</v>
      </c>
      <c r="AC464" s="290">
        <f t="shared" ca="1" si="92"/>
        <v>1.0925110075091724</v>
      </c>
      <c r="AD464" s="290">
        <f t="shared" ca="1" si="92"/>
        <v>1.1012712453978963</v>
      </c>
    </row>
    <row r="465" spans="1:30">
      <c r="A465" s="90">
        <v>379</v>
      </c>
      <c r="B465" s="90">
        <f t="shared" si="83"/>
        <v>1.516</v>
      </c>
      <c r="C465" s="291">
        <f t="shared" ca="1" si="84"/>
        <v>-2.338983265616025E-2</v>
      </c>
      <c r="D465" s="292">
        <f t="shared" ca="1" si="85"/>
        <v>-1.1121916967234526</v>
      </c>
      <c r="E465" s="291">
        <f t="shared" ca="1" si="86"/>
        <v>-2.4108673221084322E-2</v>
      </c>
      <c r="F465" s="293">
        <f t="shared" ca="1" si="87"/>
        <v>0.9797967308838883</v>
      </c>
      <c r="G465" s="90">
        <f t="shared" ca="1" si="81"/>
        <v>0.99036572859130301</v>
      </c>
      <c r="T465" s="289">
        <f t="shared" ca="1" si="92"/>
        <v>1</v>
      </c>
      <c r="U465" s="290">
        <f t="shared" ca="1" si="92"/>
        <v>1.0118977353006968</v>
      </c>
      <c r="V465" s="290">
        <f t="shared" ca="1" si="92"/>
        <v>1.0234823853421824</v>
      </c>
      <c r="W465" s="290">
        <f t="shared" ca="1" si="92"/>
        <v>1.0347547269294408</v>
      </c>
      <c r="X465" s="290">
        <f t="shared" ca="1" si="92"/>
        <v>1.0457163188193386</v>
      </c>
      <c r="Y465" s="290">
        <f t="shared" ca="1" si="92"/>
        <v>1.056369476757484</v>
      </c>
      <c r="Z465" s="290">
        <f t="shared" ca="1" si="92"/>
        <v>1.0667172473347188</v>
      </c>
      <c r="AA465" s="290">
        <f t="shared" ca="1" si="92"/>
        <v>1.0767633808622621</v>
      </c>
      <c r="AB465" s="290">
        <f t="shared" ca="1" si="92"/>
        <v>1.0865123034595165</v>
      </c>
      <c r="AC465" s="290">
        <f t="shared" ca="1" si="92"/>
        <v>1.0959690885416042</v>
      </c>
      <c r="AD465" s="290">
        <f t="shared" ca="1" si="92"/>
        <v>1.1051394278859743</v>
      </c>
    </row>
    <row r="466" spans="1:30">
      <c r="A466" s="90">
        <v>380</v>
      </c>
      <c r="B466" s="90">
        <f t="shared" si="83"/>
        <v>1.52</v>
      </c>
      <c r="C466" s="291">
        <f t="shared" ca="1" si="84"/>
        <v>-2.4101338385797332E-2</v>
      </c>
      <c r="D466" s="292">
        <f t="shared" ca="1" si="85"/>
        <v>0.75888597479225051</v>
      </c>
      <c r="E466" s="291">
        <f t="shared" ca="1" si="86"/>
        <v>-2.3610849179269602E-2</v>
      </c>
      <c r="F466" s="293">
        <f t="shared" ca="1" si="87"/>
        <v>0.97970322448194569</v>
      </c>
      <c r="G466" s="90">
        <f t="shared" ref="G466:G529" ca="1" si="93">G465*EXP($B$81*(E465+E466)/2)</f>
        <v>0.99027121354244763</v>
      </c>
      <c r="T466" s="289">
        <f t="shared" ref="T466:AD475" ca="1" si="94">EXP(T$82-$E466*T$83)</f>
        <v>1</v>
      </c>
      <c r="U466" s="290">
        <f t="shared" ca="1" si="94"/>
        <v>1.0116462593866031</v>
      </c>
      <c r="V466" s="290">
        <f t="shared" ca="1" si="94"/>
        <v>1.0229744779818126</v>
      </c>
      <c r="W466" s="290">
        <f t="shared" ca="1" si="94"/>
        <v>1.0339856892052748</v>
      </c>
      <c r="X466" s="290">
        <f t="shared" ca="1" si="94"/>
        <v>1.0446817053112862</v>
      </c>
      <c r="Y466" s="290">
        <f t="shared" ca="1" si="94"/>
        <v>1.0550650915118458</v>
      </c>
      <c r="Z466" s="290">
        <f t="shared" ca="1" si="94"/>
        <v>1.0651391389667078</v>
      </c>
      <c r="AA466" s="290">
        <f t="shared" ca="1" si="94"/>
        <v>1.0749078368406524</v>
      </c>
      <c r="AB466" s="290">
        <f t="shared" ca="1" si="94"/>
        <v>1.0843758436227822</v>
      </c>
      <c r="AC466" s="290">
        <f t="shared" ca="1" si="94"/>
        <v>1.0935484578953327</v>
      </c>
      <c r="AD466" s="290">
        <f t="shared" ca="1" si="94"/>
        <v>1.102431588731408</v>
      </c>
    </row>
    <row r="467" spans="1:30">
      <c r="A467" s="90">
        <v>381</v>
      </c>
      <c r="B467" s="90">
        <f t="shared" si="83"/>
        <v>1.524</v>
      </c>
      <c r="C467" s="291">
        <f t="shared" ca="1" si="84"/>
        <v>-2.3603525940223937E-2</v>
      </c>
      <c r="D467" s="292">
        <f t="shared" ca="1" si="85"/>
        <v>0.55716229033977327</v>
      </c>
      <c r="E467" s="291">
        <f t="shared" ca="1" si="86"/>
        <v>-2.3243416386518268E-2</v>
      </c>
      <c r="F467" s="293">
        <f t="shared" ca="1" si="87"/>
        <v>0.97961142223322883</v>
      </c>
      <c r="G467" s="90">
        <f t="shared" ca="1" si="93"/>
        <v>0.99017842102939768</v>
      </c>
      <c r="T467" s="289">
        <f t="shared" ca="1" si="94"/>
        <v>1</v>
      </c>
      <c r="U467" s="290">
        <f t="shared" ca="1" si="94"/>
        <v>1.0114606907253021</v>
      </c>
      <c r="V467" s="290">
        <f t="shared" ca="1" si="94"/>
        <v>1.0225997645942866</v>
      </c>
      <c r="W467" s="290">
        <f t="shared" ca="1" si="94"/>
        <v>1.0334184462879457</v>
      </c>
      <c r="X467" s="290">
        <f t="shared" ca="1" si="94"/>
        <v>1.0439187368480263</v>
      </c>
      <c r="Y467" s="290">
        <f t="shared" ca="1" si="94"/>
        <v>1.0541033871301337</v>
      </c>
      <c r="Z467" s="290">
        <f t="shared" ca="1" si="94"/>
        <v>1.0639758701595805</v>
      </c>
      <c r="AA467" s="290">
        <f t="shared" ca="1" si="94"/>
        <v>1.0735403525910188</v>
      </c>
      <c r="AB467" s="290">
        <f t="shared" ca="1" si="94"/>
        <v>1.0828016654671928</v>
      </c>
      <c r="AC467" s="290">
        <f t="shared" ca="1" si="94"/>
        <v>1.0917652744645483</v>
      </c>
      <c r="AD467" s="290">
        <f t="shared" ca="1" si="94"/>
        <v>1.1004372498050925</v>
      </c>
    </row>
    <row r="468" spans="1:30">
      <c r="A468" s="90">
        <v>382</v>
      </c>
      <c r="B468" s="90">
        <f t="shared" si="83"/>
        <v>1.528</v>
      </c>
      <c r="C468" s="291">
        <f t="shared" ca="1" si="84"/>
        <v>-2.3236101706399007E-2</v>
      </c>
      <c r="D468" s="292">
        <f t="shared" ca="1" si="85"/>
        <v>0.78548512823070105</v>
      </c>
      <c r="E468" s="291">
        <f t="shared" ca="1" si="86"/>
        <v>-2.2728420723902684E-2</v>
      </c>
      <c r="F468" s="293">
        <f t="shared" ca="1" si="87"/>
        <v>0.9795213573002739</v>
      </c>
      <c r="G468" s="90">
        <f t="shared" ca="1" si="93"/>
        <v>0.99008738457241141</v>
      </c>
      <c r="T468" s="289">
        <f t="shared" ca="1" si="94"/>
        <v>1</v>
      </c>
      <c r="U468" s="290">
        <f t="shared" ca="1" si="94"/>
        <v>1.0112006540385607</v>
      </c>
      <c r="V468" s="290">
        <f t="shared" ca="1" si="94"/>
        <v>1.0220747954118947</v>
      </c>
      <c r="W468" s="290">
        <f t="shared" ca="1" si="94"/>
        <v>1.0326239194508291</v>
      </c>
      <c r="X468" s="290">
        <f t="shared" ca="1" si="94"/>
        <v>1.042850294130347</v>
      </c>
      <c r="Y468" s="290">
        <f t="shared" ca="1" si="94"/>
        <v>1.0527569325904222</v>
      </c>
      <c r="Z468" s="290">
        <f t="shared" ca="1" si="94"/>
        <v>1.0623475646108096</v>
      </c>
      <c r="AA468" s="290">
        <f t="shared" ca="1" si="94"/>
        <v>1.0716266072418885</v>
      </c>
      <c r="AB468" s="290">
        <f t="shared" ca="1" si="94"/>
        <v>1.0805991347875432</v>
      </c>
      <c r="AC468" s="290">
        <f t="shared" ca="1" si="94"/>
        <v>1.0892708483280709</v>
      </c>
      <c r="AD468" s="290">
        <f t="shared" ca="1" si="94"/>
        <v>1.0976480449624129</v>
      </c>
    </row>
    <row r="469" spans="1:30">
      <c r="A469" s="90">
        <v>383</v>
      </c>
      <c r="B469" s="90">
        <f t="shared" si="83"/>
        <v>1.532</v>
      </c>
      <c r="C469" s="291">
        <f t="shared" ca="1" si="84"/>
        <v>-2.2721118040018001E-2</v>
      </c>
      <c r="D469" s="292">
        <f t="shared" ca="1" si="85"/>
        <v>-1.4637466066646492</v>
      </c>
      <c r="E469" s="291">
        <f t="shared" ca="1" si="86"/>
        <v>-2.366717836463679E-2</v>
      </c>
      <c r="F469" s="293">
        <f t="shared" ca="1" si="87"/>
        <v>0.97943047055670007</v>
      </c>
      <c r="G469" s="90">
        <f t="shared" ca="1" si="93"/>
        <v>0.98999551743999348</v>
      </c>
      <c r="T469" s="289">
        <f t="shared" ca="1" si="94"/>
        <v>1</v>
      </c>
      <c r="U469" s="290">
        <f t="shared" ca="1" si="94"/>
        <v>1.011674710949853</v>
      </c>
      <c r="V469" s="290">
        <f t="shared" ca="1" si="94"/>
        <v>1.0230319354539721</v>
      </c>
      <c r="W469" s="290">
        <f t="shared" ca="1" si="94"/>
        <v>1.0340726777490017</v>
      </c>
      <c r="X469" s="290">
        <f t="shared" ca="1" si="94"/>
        <v>1.0447987212724672</v>
      </c>
      <c r="Y469" s="290">
        <f t="shared" ca="1" si="94"/>
        <v>1.0552126028888782</v>
      </c>
      <c r="Z469" s="290">
        <f t="shared" ca="1" si="94"/>
        <v>1.0653175859774091</v>
      </c>
      <c r="AA469" s="290">
        <f t="shared" ca="1" si="94"/>
        <v>1.0751176325812482</v>
      </c>
      <c r="AB469" s="290">
        <f t="shared" ca="1" si="94"/>
        <v>1.0846173748133316</v>
      </c>
      <c r="AC469" s="290">
        <f t="shared" ca="1" si="94"/>
        <v>1.0938220857059147</v>
      </c>
      <c r="AD469" s="290">
        <f t="shared" ca="1" si="94"/>
        <v>1.1027376496833816</v>
      </c>
    </row>
    <row r="470" spans="1:30">
      <c r="A470" s="90">
        <v>384</v>
      </c>
      <c r="B470" s="90">
        <f t="shared" si="83"/>
        <v>1.536</v>
      </c>
      <c r="C470" s="291">
        <f t="shared" ca="1" si="84"/>
        <v>-2.3659853813467219E-2</v>
      </c>
      <c r="D470" s="292">
        <f t="shared" ca="1" si="85"/>
        <v>2.1397068875076966</v>
      </c>
      <c r="E470" s="291">
        <f t="shared" ca="1" si="86"/>
        <v>-2.2276901475017589E-2</v>
      </c>
      <c r="F470" s="293">
        <f t="shared" ca="1" si="87"/>
        <v>0.9793404766279783</v>
      </c>
      <c r="G470" s="90">
        <f t="shared" ca="1" si="93"/>
        <v>0.98990455275315803</v>
      </c>
      <c r="T470" s="289">
        <f t="shared" ca="1" si="94"/>
        <v>1</v>
      </c>
      <c r="U470" s="290">
        <f t="shared" ca="1" si="94"/>
        <v>1.0109727234896286</v>
      </c>
      <c r="V470" s="290">
        <f t="shared" ca="1" si="94"/>
        <v>1.0216147536685873</v>
      </c>
      <c r="W470" s="290">
        <f t="shared" ca="1" si="94"/>
        <v>1.0319278255573849</v>
      </c>
      <c r="X470" s="290">
        <f t="shared" ca="1" si="94"/>
        <v>1.0419144433213958</v>
      </c>
      <c r="Y470" s="290">
        <f t="shared" ca="1" si="94"/>
        <v>1.0515778519810763</v>
      </c>
      <c r="Z470" s="290">
        <f t="shared" ca="1" si="94"/>
        <v>1.0609220081220823</v>
      </c>
      <c r="AA470" s="290">
        <f t="shared" ca="1" si="94"/>
        <v>1.0699515498082317</v>
      </c>
      <c r="AB470" s="290">
        <f t="shared" ca="1" si="94"/>
        <v>1.078671765893769</v>
      </c>
      <c r="AC470" s="290">
        <f t="shared" ca="1" si="94"/>
        <v>1.0870885649230677</v>
      </c>
      <c r="AD470" s="290">
        <f t="shared" ca="1" si="94"/>
        <v>1.0952084437968799</v>
      </c>
    </row>
    <row r="471" spans="1:30">
      <c r="A471" s="90">
        <v>385</v>
      </c>
      <c r="B471" s="90">
        <f t="shared" ref="B471:B534" si="95">A471*$B$81</f>
        <v>1.54</v>
      </c>
      <c r="C471" s="291">
        <f t="shared" ca="1" si="84"/>
        <v>-2.2269609308757075E-2</v>
      </c>
      <c r="D471" s="292">
        <f t="shared" ca="1" si="85"/>
        <v>-1.6607384236815688</v>
      </c>
      <c r="E471" s="291">
        <f t="shared" ca="1" si="86"/>
        <v>-2.3342990948080004E-2</v>
      </c>
      <c r="F471" s="293">
        <f t="shared" ca="1" si="87"/>
        <v>0.97925112588983265</v>
      </c>
      <c r="G471" s="90">
        <f t="shared" ca="1" si="93"/>
        <v>0.98981423819494962</v>
      </c>
      <c r="T471" s="289">
        <f t="shared" ca="1" si="94"/>
        <v>1</v>
      </c>
      <c r="U471" s="290">
        <f t="shared" ca="1" si="94"/>
        <v>1.0115109766086108</v>
      </c>
      <c r="V471" s="290">
        <f t="shared" ca="1" si="94"/>
        <v>1.0227012986421977</v>
      </c>
      <c r="W471" s="290">
        <f t="shared" ca="1" si="94"/>
        <v>1.033572138796413</v>
      </c>
      <c r="X471" s="290">
        <f t="shared" ca="1" si="94"/>
        <v>1.0441254468126722</v>
      </c>
      <c r="Y471" s="290">
        <f t="shared" ca="1" si="94"/>
        <v>1.0543639231124264</v>
      </c>
      <c r="Z471" s="290">
        <f t="shared" ca="1" si="94"/>
        <v>1.0642909913244276</v>
      </c>
      <c r="AA471" s="290">
        <f t="shared" ca="1" si="94"/>
        <v>1.0739107699058079</v>
      </c>
      <c r="AB471" s="290">
        <f t="shared" ca="1" si="94"/>
        <v>1.0832280430521735</v>
      </c>
      <c r="AC471" s="290">
        <f t="shared" ca="1" si="94"/>
        <v>1.0922482310843811</v>
      </c>
      <c r="AD471" s="290">
        <f t="shared" ca="1" si="94"/>
        <v>1.1009773604914119</v>
      </c>
    </row>
    <row r="472" spans="1:30">
      <c r="A472" s="90">
        <v>386</v>
      </c>
      <c r="B472" s="90">
        <f t="shared" si="95"/>
        <v>1.544</v>
      </c>
      <c r="C472" s="291">
        <f t="shared" ref="C472:C535" ca="1" si="96">E471*EXP(-$B$78*$B$81)+$B$77*(1-EXP(-$B$78*$B$81))</f>
        <v>-2.3335673948485288E-2</v>
      </c>
      <c r="D472" s="292">
        <f t="shared" ref="D472:D535" ca="1" si="97">NORMSINV(RAND())</f>
        <v>1.1895713167808453</v>
      </c>
      <c r="E472" s="291">
        <f t="shared" ref="E472:E535" ca="1" si="98">C472+($B$82^0.5)*D472</f>
        <v>-2.2566820773361432E-2</v>
      </c>
      <c r="F472" s="293">
        <f t="shared" ref="F472:F535" ca="1" si="99">F471*EXP($B$81*(E471+E472)/2)</f>
        <v>0.97916121554802749</v>
      </c>
      <c r="G472" s="90">
        <f t="shared" ca="1" si="93"/>
        <v>0.98972335799667677</v>
      </c>
      <c r="T472" s="289">
        <f t="shared" ca="1" si="94"/>
        <v>1</v>
      </c>
      <c r="U472" s="290">
        <f t="shared" ca="1" si="94"/>
        <v>1.0111190711794444</v>
      </c>
      <c r="V472" s="290">
        <f t="shared" ca="1" si="94"/>
        <v>1.0219101214389583</v>
      </c>
      <c r="W472" s="290">
        <f t="shared" ca="1" si="94"/>
        <v>1.032374731641494</v>
      </c>
      <c r="X472" s="290">
        <f t="shared" ca="1" si="94"/>
        <v>1.0425152540676832</v>
      </c>
      <c r="Y472" s="290">
        <f t="shared" ca="1" si="94"/>
        <v>1.052334784645812</v>
      </c>
      <c r="Z472" s="290">
        <f t="shared" ca="1" si="94"/>
        <v>1.0618371341520827</v>
      </c>
      <c r="AA472" s="290">
        <f t="shared" ca="1" si="94"/>
        <v>1.0710267985835715</v>
      </c>
      <c r="AB472" s="290">
        <f t="shared" ca="1" si="94"/>
        <v>1.0799089289000483</v>
      </c>
      <c r="AC472" s="290">
        <f t="shared" ca="1" si="94"/>
        <v>1.0884893003227083</v>
      </c>
      <c r="AD472" s="290">
        <f t="shared" ca="1" si="94"/>
        <v>1.096774281369054</v>
      </c>
    </row>
    <row r="473" spans="1:30">
      <c r="A473" s="90">
        <v>387</v>
      </c>
      <c r="B473" s="90">
        <f t="shared" si="95"/>
        <v>1.548</v>
      </c>
      <c r="C473" s="291">
        <f t="shared" ca="1" si="96"/>
        <v>-2.2559521853762657E-2</v>
      </c>
      <c r="D473" s="292">
        <f t="shared" ca="1" si="97"/>
        <v>0.18507121890655309</v>
      </c>
      <c r="E473" s="291">
        <f t="shared" ca="1" si="98"/>
        <v>-2.2439905154643339E-2</v>
      </c>
      <c r="F473" s="293">
        <f t="shared" ca="1" si="99"/>
        <v>0.97907308183376196</v>
      </c>
      <c r="G473" s="90">
        <f t="shared" ca="1" si="93"/>
        <v>0.98963427359029865</v>
      </c>
      <c r="T473" s="289">
        <f t="shared" ca="1" si="94"/>
        <v>1</v>
      </c>
      <c r="U473" s="290">
        <f t="shared" ca="1" si="94"/>
        <v>1.0110550031318595</v>
      </c>
      <c r="V473" s="290">
        <f t="shared" ca="1" si="94"/>
        <v>1.0217808101791652</v>
      </c>
      <c r="W473" s="290">
        <f t="shared" ca="1" si="94"/>
        <v>1.0321790693780279</v>
      </c>
      <c r="X473" s="290">
        <f t="shared" ca="1" si="94"/>
        <v>1.0422521993987519</v>
      </c>
      <c r="Y473" s="290">
        <f t="shared" ca="1" si="94"/>
        <v>1.0520033613479485</v>
      </c>
      <c r="Z473" s="290">
        <f t="shared" ca="1" si="94"/>
        <v>1.0614364297538545</v>
      </c>
      <c r="AA473" s="290">
        <f t="shared" ca="1" si="94"/>
        <v>1.0705559627374992</v>
      </c>
      <c r="AB473" s="290">
        <f t="shared" ca="1" si="94"/>
        <v>1.079367171566014</v>
      </c>
      <c r="AC473" s="290">
        <f t="shared" ca="1" si="94"/>
        <v>1.0878758897761869</v>
      </c>
      <c r="AD473" s="290">
        <f t="shared" ca="1" si="94"/>
        <v>1.0960885420474347</v>
      </c>
    </row>
    <row r="474" spans="1:30">
      <c r="A474" s="90">
        <v>388</v>
      </c>
      <c r="B474" s="90">
        <f t="shared" si="95"/>
        <v>1.552</v>
      </c>
      <c r="C474" s="291">
        <f t="shared" ca="1" si="96"/>
        <v>-2.2432609191398657E-2</v>
      </c>
      <c r="D474" s="292">
        <f t="shared" ca="1" si="97"/>
        <v>7.5405822641127704E-4</v>
      </c>
      <c r="E474" s="291">
        <f t="shared" ca="1" si="98"/>
        <v>-2.2432121822500782E-2</v>
      </c>
      <c r="F474" s="293">
        <f t="shared" ca="1" si="99"/>
        <v>0.97898521978888764</v>
      </c>
      <c r="G474" s="90">
        <f t="shared" ca="1" si="93"/>
        <v>0.98954546378379016</v>
      </c>
      <c r="T474" s="289">
        <f t="shared" ca="1" si="94"/>
        <v>1</v>
      </c>
      <c r="U474" s="290">
        <f t="shared" ca="1" si="94"/>
        <v>1.0110510741739314</v>
      </c>
      <c r="V474" s="290">
        <f t="shared" ca="1" si="94"/>
        <v>1.0217728804624913</v>
      </c>
      <c r="W474" s="290">
        <f t="shared" ca="1" si="94"/>
        <v>1.0321670712392257</v>
      </c>
      <c r="X474" s="290">
        <f t="shared" ca="1" si="94"/>
        <v>1.0422360692509802</v>
      </c>
      <c r="Y474" s="290">
        <f t="shared" ca="1" si="94"/>
        <v>1.0519830396060548</v>
      </c>
      <c r="Z474" s="290">
        <f t="shared" ca="1" si="94"/>
        <v>1.0614118607463605</v>
      </c>
      <c r="AA474" s="290">
        <f t="shared" ca="1" si="94"/>
        <v>1.0705270946062315</v>
      </c>
      <c r="AB474" s="290">
        <f t="shared" ca="1" si="94"/>
        <v>1.0793339561541999</v>
      </c>
      <c r="AC474" s="290">
        <f t="shared" ca="1" si="94"/>
        <v>1.0878382825058286</v>
      </c>
      <c r="AD474" s="290">
        <f t="shared" ca="1" si="94"/>
        <v>1.0960465017867851</v>
      </c>
    </row>
    <row r="475" spans="1:30">
      <c r="A475" s="90">
        <v>389</v>
      </c>
      <c r="B475" s="90">
        <f t="shared" si="95"/>
        <v>1.556</v>
      </c>
      <c r="C475" s="291">
        <f t="shared" ca="1" si="96"/>
        <v>-2.2424826040559915E-2</v>
      </c>
      <c r="D475" s="292">
        <f t="shared" ca="1" si="97"/>
        <v>-2.0444498860530325</v>
      </c>
      <c r="E475" s="291">
        <f t="shared" ca="1" si="98"/>
        <v>-2.3746211117771782E-2</v>
      </c>
      <c r="F475" s="293">
        <f t="shared" ca="1" si="99"/>
        <v>0.97889480815316454</v>
      </c>
      <c r="G475" s="90">
        <f t="shared" ca="1" si="93"/>
        <v>0.98945407688417752</v>
      </c>
      <c r="T475" s="289">
        <f t="shared" ca="1" si="94"/>
        <v>1</v>
      </c>
      <c r="U475" s="290">
        <f t="shared" ca="1" si="94"/>
        <v>1.0117146313098677</v>
      </c>
      <c r="V475" s="290">
        <f t="shared" ca="1" si="94"/>
        <v>1.0231125566921788</v>
      </c>
      <c r="W475" s="290">
        <f t="shared" ca="1" si="94"/>
        <v>1.0341947395009863</v>
      </c>
      <c r="X475" s="290">
        <f t="shared" ca="1" si="94"/>
        <v>1.0449629227992419</v>
      </c>
      <c r="Y475" s="290">
        <f t="shared" ca="1" si="94"/>
        <v>1.0554196037296346</v>
      </c>
      <c r="Z475" s="290">
        <f t="shared" ca="1" si="94"/>
        <v>1.065568006739428</v>
      </c>
      <c r="AA475" s="290">
        <f t="shared" ca="1" si="94"/>
        <v>1.0754120558591984</v>
      </c>
      <c r="AB475" s="290">
        <f t="shared" ca="1" si="94"/>
        <v>1.084956346230074</v>
      </c>
      <c r="AC475" s="290">
        <f t="shared" ca="1" si="94"/>
        <v>1.0942061150668592</v>
      </c>
      <c r="AD475" s="290">
        <f t="shared" ca="1" si="94"/>
        <v>1.1031672122364429</v>
      </c>
    </row>
    <row r="476" spans="1:30">
      <c r="A476" s="90">
        <v>390</v>
      </c>
      <c r="B476" s="90">
        <f t="shared" si="95"/>
        <v>1.56</v>
      </c>
      <c r="C476" s="291">
        <f t="shared" ca="1" si="96"/>
        <v>-2.3738884725624673E-2</v>
      </c>
      <c r="D476" s="292">
        <f t="shared" ca="1" si="97"/>
        <v>-0.30477340155896004</v>
      </c>
      <c r="E476" s="291">
        <f t="shared" ca="1" si="98"/>
        <v>-2.3935868289515591E-2</v>
      </c>
      <c r="F476" s="293">
        <f t="shared" ca="1" si="99"/>
        <v>0.97880146112426825</v>
      </c>
      <c r="G476" s="90">
        <f t="shared" ca="1" si="93"/>
        <v>0.98935972292751417</v>
      </c>
      <c r="T476" s="289">
        <f t="shared" ref="T476:AD485" ca="1" si="100">EXP(T$82-$E476*T$83)</f>
        <v>1</v>
      </c>
      <c r="U476" s="290">
        <f t="shared" ca="1" si="100"/>
        <v>1.0118104357723197</v>
      </c>
      <c r="V476" s="290">
        <f t="shared" ca="1" si="100"/>
        <v>1.0233060517152945</v>
      </c>
      <c r="W476" s="290">
        <f t="shared" ca="1" si="100"/>
        <v>1.0344877133765076</v>
      </c>
      <c r="X476" s="290">
        <f t="shared" ca="1" si="100"/>
        <v>1.0453570672038475</v>
      </c>
      <c r="Y476" s="290">
        <f t="shared" ca="1" si="100"/>
        <v>1.055916515264387</v>
      </c>
      <c r="Z476" s="290">
        <f t="shared" ca="1" si="100"/>
        <v>1.0661691887991986</v>
      </c>
      <c r="AA476" s="290">
        <f t="shared" ca="1" si="100"/>
        <v>1.0761189208135511</v>
      </c>
      <c r="AB476" s="290">
        <f t="shared" ca="1" si="100"/>
        <v>1.0857702178967856</v>
      </c>
      <c r="AC476" s="290">
        <f t="shared" ca="1" si="100"/>
        <v>1.0951282314590967</v>
      </c>
      <c r="AD476" s="290">
        <f t="shared" ca="1" si="100"/>
        <v>1.1041987285645949</v>
      </c>
    </row>
    <row r="477" spans="1:30">
      <c r="A477" s="90">
        <v>391</v>
      </c>
      <c r="B477" s="90">
        <f t="shared" si="95"/>
        <v>1.5640000000000001</v>
      </c>
      <c r="C477" s="291">
        <f t="shared" ca="1" si="96"/>
        <v>-2.3928537479521717E-2</v>
      </c>
      <c r="D477" s="292">
        <f t="shared" ca="1" si="97"/>
        <v>0.16093570548504066</v>
      </c>
      <c r="E477" s="291">
        <f t="shared" ca="1" si="98"/>
        <v>-2.3824520237001261E-2</v>
      </c>
      <c r="F477" s="293">
        <f t="shared" ca="1" si="99"/>
        <v>0.97870796971337826</v>
      </c>
      <c r="G477" s="90">
        <f t="shared" ca="1" si="93"/>
        <v>0.98926522303141873</v>
      </c>
      <c r="T477" s="289">
        <f t="shared" ca="1" si="100"/>
        <v>1</v>
      </c>
      <c r="U477" s="290">
        <f t="shared" ca="1" si="100"/>
        <v>1.0117541877076819</v>
      </c>
      <c r="V477" s="290">
        <f t="shared" ca="1" si="100"/>
        <v>1.0231924460185664</v>
      </c>
      <c r="W477" s="290">
        <f t="shared" ca="1" si="100"/>
        <v>1.0343156978509596</v>
      </c>
      <c r="X477" s="290">
        <f t="shared" ca="1" si="100"/>
        <v>1.0451256463287311</v>
      </c>
      <c r="Y477" s="290">
        <f t="shared" ca="1" si="100"/>
        <v>1.0556247492957369</v>
      </c>
      <c r="Z477" s="290">
        <f t="shared" ca="1" si="100"/>
        <v>1.0658161926767613</v>
      </c>
      <c r="AA477" s="290">
        <f t="shared" ca="1" si="100"/>
        <v>1.0757038628846911</v>
      </c>
      <c r="AB477" s="290">
        <f t="shared" ca="1" si="100"/>
        <v>1.0852923184684047</v>
      </c>
      <c r="AC477" s="290">
        <f t="shared" ca="1" si="100"/>
        <v>1.0945867611886895</v>
      </c>
      <c r="AD477" s="290">
        <f t="shared" ca="1" si="100"/>
        <v>1.1035930067015851</v>
      </c>
    </row>
    <row r="478" spans="1:30">
      <c r="A478" s="90">
        <v>392</v>
      </c>
      <c r="B478" s="90">
        <f t="shared" si="95"/>
        <v>1.5680000000000001</v>
      </c>
      <c r="C478" s="291">
        <f t="shared" ca="1" si="96"/>
        <v>-2.381719202073284E-2</v>
      </c>
      <c r="D478" s="292">
        <f t="shared" ca="1" si="97"/>
        <v>0.36441106762111553</v>
      </c>
      <c r="E478" s="291">
        <f t="shared" ca="1" si="98"/>
        <v>-2.3581662967166742E-2</v>
      </c>
      <c r="F478" s="293">
        <f t="shared" ca="1" si="99"/>
        <v>0.9786151804935993</v>
      </c>
      <c r="G478" s="90">
        <f t="shared" ca="1" si="93"/>
        <v>0.98917143290092002</v>
      </c>
      <c r="T478" s="289">
        <f t="shared" ca="1" si="100"/>
        <v>1</v>
      </c>
      <c r="U478" s="290">
        <f t="shared" ca="1" si="100"/>
        <v>1.0116315179053019</v>
      </c>
      <c r="V478" s="290">
        <f t="shared" ca="1" si="100"/>
        <v>1.0229447084322454</v>
      </c>
      <c r="W478" s="290">
        <f t="shared" ca="1" si="100"/>
        <v>1.0339406201358246</v>
      </c>
      <c r="X478" s="290">
        <f t="shared" ca="1" si="100"/>
        <v>1.0446210802145668</v>
      </c>
      <c r="Y478" s="290">
        <f t="shared" ca="1" si="100"/>
        <v>1.054988668580225</v>
      </c>
      <c r="Z478" s="290">
        <f t="shared" ca="1" si="100"/>
        <v>1.0650466907972878</v>
      </c>
      <c r="AA478" s="290">
        <f t="shared" ca="1" si="100"/>
        <v>1.0747991500925895</v>
      </c>
      <c r="AB478" s="290">
        <f t="shared" ca="1" si="100"/>
        <v>1.0842507186298711</v>
      </c>
      <c r="AC478" s="290">
        <f t="shared" ca="1" si="100"/>
        <v>1.0934067082368037</v>
      </c>
      <c r="AD478" s="290">
        <f t="shared" ca="1" si="100"/>
        <v>1.1022730407638859</v>
      </c>
    </row>
    <row r="479" spans="1:30">
      <c r="A479" s="90">
        <v>393</v>
      </c>
      <c r="B479" s="90">
        <f t="shared" si="95"/>
        <v>1.5720000000000001</v>
      </c>
      <c r="C479" s="291">
        <f t="shared" ca="1" si="96"/>
        <v>-2.3574340407980485E-2</v>
      </c>
      <c r="D479" s="292">
        <f t="shared" ca="1" si="97"/>
        <v>-1.2773727586941159</v>
      </c>
      <c r="E479" s="291">
        <f t="shared" ca="1" si="98"/>
        <v>-2.439994210792432E-2</v>
      </c>
      <c r="F479" s="293">
        <f t="shared" ca="1" si="99"/>
        <v>0.97852127394523647</v>
      </c>
      <c r="G479" s="90">
        <f t="shared" ca="1" si="93"/>
        <v>0.98907651338929337</v>
      </c>
      <c r="T479" s="289">
        <f t="shared" ca="1" si="100"/>
        <v>1</v>
      </c>
      <c r="U479" s="290">
        <f t="shared" ca="1" si="100"/>
        <v>1.0120448988231185</v>
      </c>
      <c r="V479" s="290">
        <f t="shared" ca="1" si="100"/>
        <v>1.0237796707445093</v>
      </c>
      <c r="W479" s="290">
        <f t="shared" ca="1" si="100"/>
        <v>1.0352049438071058</v>
      </c>
      <c r="X479" s="290">
        <f t="shared" ca="1" si="100"/>
        <v>1.0463221297051482</v>
      </c>
      <c r="Y479" s="290">
        <f t="shared" ca="1" si="100"/>
        <v>1.0571333993588343</v>
      </c>
      <c r="Z479" s="290">
        <f t="shared" ca="1" si="100"/>
        <v>1.0676416572814631</v>
      </c>
      <c r="AA479" s="290">
        <f t="shared" ca="1" si="100"/>
        <v>1.0778505149373414</v>
      </c>
      <c r="AB479" s="290">
        <f t="shared" ca="1" si="100"/>
        <v>1.0877642632839548</v>
      </c>
      <c r="AC479" s="290">
        <f t="shared" ca="1" si="100"/>
        <v>1.0973878446851775</v>
      </c>
      <c r="AD479" s="290">
        <f t="shared" ca="1" si="100"/>
        <v>1.1067268243747825</v>
      </c>
    </row>
    <row r="480" spans="1:30">
      <c r="A480" s="90">
        <v>394</v>
      </c>
      <c r="B480" s="90">
        <f t="shared" si="95"/>
        <v>1.5760000000000001</v>
      </c>
      <c r="C480" s="291">
        <f t="shared" ca="1" si="96"/>
        <v>-2.4392600487861949E-2</v>
      </c>
      <c r="D480" s="292">
        <f t="shared" ca="1" si="97"/>
        <v>1.602088142087071</v>
      </c>
      <c r="E480" s="291">
        <f t="shared" ca="1" si="98"/>
        <v>-2.3357126164048159E-2</v>
      </c>
      <c r="F480" s="293">
        <f t="shared" ca="1" si="99"/>
        <v>0.97842781579402416</v>
      </c>
      <c r="G480" s="90">
        <f t="shared" ca="1" si="93"/>
        <v>0.98898204711164539</v>
      </c>
      <c r="T480" s="289">
        <f t="shared" ca="1" si="100"/>
        <v>1</v>
      </c>
      <c r="U480" s="290">
        <f t="shared" ca="1" si="100"/>
        <v>1.0115181151988959</v>
      </c>
      <c r="V480" s="290">
        <f t="shared" ca="1" si="100"/>
        <v>1.022715712836304</v>
      </c>
      <c r="W480" s="290">
        <f t="shared" ca="1" si="100"/>
        <v>1.0335939582374296</v>
      </c>
      <c r="X480" s="290">
        <f t="shared" ca="1" si="100"/>
        <v>1.0441547938696041</v>
      </c>
      <c r="Y480" s="290">
        <f t="shared" ca="1" si="100"/>
        <v>1.0544009130022962</v>
      </c>
      <c r="Z480" s="290">
        <f t="shared" ca="1" si="100"/>
        <v>1.0643357322587399</v>
      </c>
      <c r="AA480" s="290">
        <f t="shared" ca="1" si="100"/>
        <v>1.073963363259963</v>
      </c>
      <c r="AB480" s="290">
        <f t="shared" ca="1" si="100"/>
        <v>1.0832885835563983</v>
      </c>
      <c r="AC480" s="290">
        <f t="shared" ca="1" si="100"/>
        <v>1.0923168070347391</v>
      </c>
      <c r="AD480" s="290">
        <f t="shared" ca="1" si="100"/>
        <v>1.1010540539794493</v>
      </c>
    </row>
    <row r="481" spans="1:30">
      <c r="A481" s="90">
        <v>395</v>
      </c>
      <c r="B481" s="90">
        <f t="shared" si="95"/>
        <v>1.58</v>
      </c>
      <c r="C481" s="291">
        <f t="shared" ca="1" si="96"/>
        <v>-2.3349808835189764E-2</v>
      </c>
      <c r="D481" s="292">
        <f t="shared" ca="1" si="97"/>
        <v>-0.47600504799829385</v>
      </c>
      <c r="E481" s="291">
        <f t="shared" ca="1" si="98"/>
        <v>-2.36574641958779E-2</v>
      </c>
      <c r="F481" s="293">
        <f t="shared" ca="1" si="99"/>
        <v>0.97833581935335423</v>
      </c>
      <c r="G481" s="90">
        <f t="shared" ca="1" si="93"/>
        <v>0.98888905831190765</v>
      </c>
      <c r="T481" s="289">
        <f t="shared" ca="1" si="100"/>
        <v>1</v>
      </c>
      <c r="U481" s="290">
        <f t="shared" ca="1" si="100"/>
        <v>1.0116698043192796</v>
      </c>
      <c r="V481" s="290">
        <f t="shared" ca="1" si="100"/>
        <v>1.0230220264778567</v>
      </c>
      <c r="W481" s="290">
        <f t="shared" ca="1" si="100"/>
        <v>1.0340576757424402</v>
      </c>
      <c r="X481" s="290">
        <f t="shared" ca="1" si="100"/>
        <v>1.0447785405177106</v>
      </c>
      <c r="Y481" s="290">
        <f t="shared" ca="1" si="100"/>
        <v>1.0551871625546416</v>
      </c>
      <c r="Z481" s="290">
        <f t="shared" ca="1" si="100"/>
        <v>1.0652868100213408</v>
      </c>
      <c r="AA481" s="290">
        <f t="shared" ca="1" si="100"/>
        <v>1.0750814496365073</v>
      </c>
      <c r="AB481" s="290">
        <f t="shared" ca="1" si="100"/>
        <v>1.084575718060252</v>
      </c>
      <c r="AC481" s="290">
        <f t="shared" ca="1" si="100"/>
        <v>1.0937748927297306</v>
      </c>
      <c r="AD481" s="290">
        <f t="shared" ca="1" si="100"/>
        <v>1.1026848623189951</v>
      </c>
    </row>
    <row r="482" spans="1:30">
      <c r="A482" s="90">
        <v>396</v>
      </c>
      <c r="B482" s="90">
        <f t="shared" si="95"/>
        <v>1.5840000000000001</v>
      </c>
      <c r="C482" s="291">
        <f t="shared" ca="1" si="96"/>
        <v>-2.3650139870988771E-2</v>
      </c>
      <c r="D482" s="292">
        <f t="shared" ca="1" si="97"/>
        <v>0.44209498211350995</v>
      </c>
      <c r="E482" s="291">
        <f t="shared" ca="1" si="98"/>
        <v>-2.3364401533228465E-2</v>
      </c>
      <c r="F482" s="293">
        <f t="shared" ca="1" si="99"/>
        <v>0.97824381732845767</v>
      </c>
      <c r="G482" s="90">
        <f t="shared" ca="1" si="93"/>
        <v>0.98879606386770658</v>
      </c>
      <c r="T482" s="289">
        <f t="shared" ca="1" si="100"/>
        <v>1</v>
      </c>
      <c r="U482" s="290">
        <f t="shared" ca="1" si="100"/>
        <v>1.0115217894375816</v>
      </c>
      <c r="V482" s="290">
        <f t="shared" ca="1" si="100"/>
        <v>1.0227231318742009</v>
      </c>
      <c r="W482" s="290">
        <f t="shared" ca="1" si="100"/>
        <v>1.0336051888424016</v>
      </c>
      <c r="X482" s="290">
        <f t="shared" ca="1" si="100"/>
        <v>1.0441698990663646</v>
      </c>
      <c r="Y482" s="290">
        <f t="shared" ca="1" si="100"/>
        <v>1.0544199521351718</v>
      </c>
      <c r="Z482" s="290">
        <f t="shared" ca="1" si="100"/>
        <v>1.0643587610669747</v>
      </c>
      <c r="AA482" s="290">
        <f t="shared" ca="1" si="100"/>
        <v>1.0739904339648387</v>
      </c>
      <c r="AB482" s="290">
        <f t="shared" ca="1" si="100"/>
        <v>1.0833197449594318</v>
      </c>
      <c r="AC482" s="290">
        <f t="shared" ca="1" si="100"/>
        <v>1.0923521046262183</v>
      </c>
      <c r="AD482" s="290">
        <f t="shared" ca="1" si="100"/>
        <v>1.101093530056565</v>
      </c>
    </row>
    <row r="483" spans="1:30">
      <c r="A483" s="90">
        <v>397</v>
      </c>
      <c r="B483" s="90">
        <f t="shared" si="95"/>
        <v>1.5880000000000001</v>
      </c>
      <c r="C483" s="291">
        <f t="shared" ca="1" si="96"/>
        <v>-2.3357084034898671E-2</v>
      </c>
      <c r="D483" s="292">
        <f t="shared" ca="1" si="97"/>
        <v>0.77004311062386599</v>
      </c>
      <c r="E483" s="291">
        <f t="shared" ca="1" si="98"/>
        <v>-2.285938365978574E-2</v>
      </c>
      <c r="F483" s="293">
        <f t="shared" ca="1" si="99"/>
        <v>0.97815338524447804</v>
      </c>
      <c r="G483" s="90">
        <f t="shared" ca="1" si="93"/>
        <v>0.98870465629926363</v>
      </c>
      <c r="T483" s="289">
        <f t="shared" ca="1" si="100"/>
        <v>1</v>
      </c>
      <c r="U483" s="290">
        <f t="shared" ca="1" si="100"/>
        <v>1.0112667747957911</v>
      </c>
      <c r="V483" s="290">
        <f t="shared" ca="1" si="100"/>
        <v>1.0222082690464678</v>
      </c>
      <c r="W483" s="290">
        <f t="shared" ca="1" si="100"/>
        <v>1.0328259089765561</v>
      </c>
      <c r="X483" s="290">
        <f t="shared" ca="1" si="100"/>
        <v>1.0431218944275416</v>
      </c>
      <c r="Y483" s="290">
        <f t="shared" ca="1" si="100"/>
        <v>1.0530991716150149</v>
      </c>
      <c r="Z483" s="290">
        <f t="shared" ca="1" si="100"/>
        <v>1.062761404826631</v>
      </c>
      <c r="AA483" s="290">
        <f t="shared" ca="1" si="100"/>
        <v>1.072112947262716</v>
      </c>
      <c r="AB483" s="290">
        <f t="shared" ca="1" si="100"/>
        <v>1.081158811215353</v>
      </c>
      <c r="AC483" s="290">
        <f t="shared" ca="1" si="100"/>
        <v>1.0899046377738819</v>
      </c>
      <c r="AD483" s="290">
        <f t="shared" ca="1" si="100"/>
        <v>1.0983566662361468</v>
      </c>
    </row>
    <row r="484" spans="1:30">
      <c r="A484" s="90">
        <v>398</v>
      </c>
      <c r="B484" s="90">
        <f t="shared" si="95"/>
        <v>1.5920000000000001</v>
      </c>
      <c r="C484" s="291">
        <f t="shared" ca="1" si="96"/>
        <v>-2.2852077925269346E-2</v>
      </c>
      <c r="D484" s="292">
        <f t="shared" ca="1" si="97"/>
        <v>0.140855591898668</v>
      </c>
      <c r="E484" s="291">
        <f t="shared" ca="1" si="98"/>
        <v>-2.2761039021138477E-2</v>
      </c>
      <c r="F484" s="293">
        <f t="shared" ca="1" si="99"/>
        <v>0.9780641417741015</v>
      </c>
      <c r="G484" s="90">
        <f t="shared" ca="1" si="93"/>
        <v>0.98861445016591409</v>
      </c>
      <c r="T484" s="289">
        <f t="shared" ca="1" si="100"/>
        <v>1</v>
      </c>
      <c r="U484" s="290">
        <f t="shared" ca="1" si="100"/>
        <v>1.0112171220075288</v>
      </c>
      <c r="V484" s="290">
        <f t="shared" ca="1" si="100"/>
        <v>1.0221080374066629</v>
      </c>
      <c r="W484" s="290">
        <f t="shared" ca="1" si="100"/>
        <v>1.0326742242985845</v>
      </c>
      <c r="X484" s="290">
        <f t="shared" ca="1" si="100"/>
        <v>1.0429179336726926</v>
      </c>
      <c r="Y484" s="290">
        <f t="shared" ca="1" si="100"/>
        <v>1.0528421619862447</v>
      </c>
      <c r="Z484" s="290">
        <f t="shared" ca="1" si="100"/>
        <v>1.0624506226946737</v>
      </c>
      <c r="AA484" s="290">
        <f t="shared" ca="1" si="100"/>
        <v>1.0717477169346126</v>
      </c>
      <c r="AB484" s="290">
        <f t="shared" ca="1" si="100"/>
        <v>1.0807385035555706</v>
      </c>
      <c r="AC484" s="290">
        <f t="shared" ca="1" si="100"/>
        <v>1.0894286686882435</v>
      </c>
      <c r="AD484" s="290">
        <f t="shared" ca="1" si="100"/>
        <v>1.0978244950287586</v>
      </c>
    </row>
    <row r="485" spans="1:30">
      <c r="A485" s="90">
        <v>399</v>
      </c>
      <c r="B485" s="90">
        <f t="shared" si="95"/>
        <v>1.5960000000000001</v>
      </c>
      <c r="C485" s="291">
        <f t="shared" ca="1" si="96"/>
        <v>-2.2753735577447892E-2</v>
      </c>
      <c r="D485" s="292">
        <f t="shared" ca="1" si="97"/>
        <v>1.1529333699404021</v>
      </c>
      <c r="E485" s="291">
        <f t="shared" ca="1" si="98"/>
        <v>-2.2008562530922399E-2</v>
      </c>
      <c r="F485" s="293">
        <f t="shared" ca="1" si="99"/>
        <v>0.97797657061084697</v>
      </c>
      <c r="G485" s="90">
        <f t="shared" ca="1" si="93"/>
        <v>0.9885259343787447</v>
      </c>
      <c r="T485" s="289">
        <f t="shared" ca="1" si="100"/>
        <v>1</v>
      </c>
      <c r="U485" s="290">
        <f t="shared" ca="1" si="100"/>
        <v>1.0108372881725642</v>
      </c>
      <c r="V485" s="290">
        <f t="shared" ca="1" si="100"/>
        <v>1.0213414478900742</v>
      </c>
      <c r="W485" s="290">
        <f t="shared" ca="1" si="100"/>
        <v>1.031514357652205</v>
      </c>
      <c r="X485" s="290">
        <f t="shared" ca="1" si="100"/>
        <v>1.0413586629166924</v>
      </c>
      <c r="Y485" s="290">
        <f t="shared" ca="1" si="100"/>
        <v>1.0508777473308883</v>
      </c>
      <c r="Z485" s="290">
        <f t="shared" ca="1" si="100"/>
        <v>1.060075702990988</v>
      </c>
      <c r="AA485" s="290">
        <f t="shared" ca="1" si="100"/>
        <v>1.0689572999323265</v>
      </c>
      <c r="AB485" s="290">
        <f t="shared" ca="1" si="100"/>
        <v>1.0775279550474512</v>
      </c>
      <c r="AC485" s="290">
        <f t="shared" ca="1" si="100"/>
        <v>1.0857937006201481</v>
      </c>
      <c r="AD485" s="290">
        <f t="shared" ca="1" si="100"/>
        <v>1.0937611526543833</v>
      </c>
    </row>
    <row r="486" spans="1:30">
      <c r="A486" s="90">
        <v>400</v>
      </c>
      <c r="B486" s="90">
        <f t="shared" si="95"/>
        <v>1.6</v>
      </c>
      <c r="C486" s="291">
        <f t="shared" ca="1" si="96"/>
        <v>-2.200127661531049E-2</v>
      </c>
      <c r="D486" s="292">
        <f t="shared" ca="1" si="97"/>
        <v>0.20354608609405569</v>
      </c>
      <c r="E486" s="291">
        <f t="shared" ca="1" si="98"/>
        <v>-2.1869719093394989E-2</v>
      </c>
      <c r="F486" s="293">
        <f t="shared" ca="1" si="99"/>
        <v>0.97789075051376595</v>
      </c>
      <c r="G486" s="90">
        <f t="shared" ca="1" si="93"/>
        <v>0.98843918854637525</v>
      </c>
      <c r="T486" s="289">
        <f t="shared" ref="T486:AD495" ca="1" si="101">EXP(T$82-$E486*T$83)</f>
        <v>1</v>
      </c>
      <c r="U486" s="290">
        <f t="shared" ca="1" si="101"/>
        <v>1.0107672186054248</v>
      </c>
      <c r="V486" s="290">
        <f t="shared" ca="1" si="101"/>
        <v>1.0212000632265597</v>
      </c>
      <c r="W486" s="290">
        <f t="shared" ca="1" si="101"/>
        <v>1.0313004868972748</v>
      </c>
      <c r="X486" s="290">
        <f t="shared" ca="1" si="101"/>
        <v>1.041071208446527</v>
      </c>
      <c r="Y486" s="290">
        <f t="shared" ca="1" si="101"/>
        <v>1.0505156834831757</v>
      </c>
      <c r="Z486" s="290">
        <f t="shared" ca="1" si="101"/>
        <v>1.0596380744229719</v>
      </c>
      <c r="AA486" s="290">
        <f t="shared" ca="1" si="101"/>
        <v>1.0684432197613445</v>
      </c>
      <c r="AB486" s="290">
        <f t="shared" ca="1" si="101"/>
        <v>1.0769366027888037</v>
      </c>
      <c r="AC486" s="290">
        <f t="shared" ca="1" si="101"/>
        <v>1.0851243199371512</v>
      </c>
      <c r="AD486" s="290">
        <f t="shared" ca="1" si="101"/>
        <v>1.0930130489353738</v>
      </c>
    </row>
    <row r="487" spans="1:30">
      <c r="A487" s="90">
        <v>401</v>
      </c>
      <c r="B487" s="90">
        <f t="shared" si="95"/>
        <v>1.6040000000000001</v>
      </c>
      <c r="C487" s="291">
        <f t="shared" ca="1" si="96"/>
        <v>-2.1862436411982062E-2</v>
      </c>
      <c r="D487" s="292">
        <f t="shared" ca="1" si="97"/>
        <v>-0.409992998942591</v>
      </c>
      <c r="E487" s="291">
        <f t="shared" ca="1" si="98"/>
        <v>-2.2127426341184968E-2</v>
      </c>
      <c r="F487" s="293">
        <f t="shared" ca="1" si="99"/>
        <v>0.97780470549641763</v>
      </c>
      <c r="G487" s="90">
        <f t="shared" ca="1" si="93"/>
        <v>0.98835221536753948</v>
      </c>
      <c r="T487" s="289">
        <f t="shared" ca="1" si="101"/>
        <v>1</v>
      </c>
      <c r="U487" s="290">
        <f t="shared" ca="1" si="101"/>
        <v>1.0108972785596664</v>
      </c>
      <c r="V487" s="290">
        <f t="shared" ca="1" si="101"/>
        <v>1.0214625027948758</v>
      </c>
      <c r="W487" s="290">
        <f t="shared" ca="1" si="101"/>
        <v>1.0316974875561122</v>
      </c>
      <c r="X487" s="290">
        <f t="shared" ca="1" si="101"/>
        <v>1.0416048156304729</v>
      </c>
      <c r="Y487" s="290">
        <f t="shared" ca="1" si="101"/>
        <v>1.051187809184964</v>
      </c>
      <c r="Z487" s="290">
        <f t="shared" ca="1" si="101"/>
        <v>1.0604505002251219</v>
      </c>
      <c r="AA487" s="290">
        <f t="shared" ca="1" si="101"/>
        <v>1.0693976002721657</v>
      </c>
      <c r="AB487" s="290">
        <f t="shared" ca="1" si="101"/>
        <v>1.0780344694552759</v>
      </c>
      <c r="AC487" s="290">
        <f t="shared" ca="1" si="101"/>
        <v>1.086367085207165</v>
      </c>
      <c r="AD487" s="290">
        <f t="shared" ca="1" si="101"/>
        <v>1.0944020107419719</v>
      </c>
    </row>
    <row r="488" spans="1:30">
      <c r="A488" s="90">
        <v>402</v>
      </c>
      <c r="B488" s="90">
        <f t="shared" si="95"/>
        <v>1.6080000000000001</v>
      </c>
      <c r="C488" s="291">
        <f t="shared" ca="1" si="96"/>
        <v>-2.2120137656776631E-2</v>
      </c>
      <c r="D488" s="292">
        <f t="shared" ca="1" si="97"/>
        <v>1.2358813362175358</v>
      </c>
      <c r="E488" s="291">
        <f t="shared" ca="1" si="98"/>
        <v>-2.1321353022326486E-2</v>
      </c>
      <c r="F488" s="293">
        <f t="shared" ca="1" si="99"/>
        <v>0.97771974034628373</v>
      </c>
      <c r="G488" s="90">
        <f t="shared" ca="1" si="93"/>
        <v>0.988266333704369</v>
      </c>
      <c r="T488" s="289">
        <f t="shared" ca="1" si="101"/>
        <v>1</v>
      </c>
      <c r="U488" s="290">
        <f t="shared" ca="1" si="101"/>
        <v>1.0104905243453193</v>
      </c>
      <c r="V488" s="290">
        <f t="shared" ca="1" si="101"/>
        <v>1.0206418517847617</v>
      </c>
      <c r="W488" s="290">
        <f t="shared" ca="1" si="101"/>
        <v>1.0304562316500701</v>
      </c>
      <c r="X488" s="290">
        <f t="shared" ca="1" si="101"/>
        <v>1.0399366742641989</v>
      </c>
      <c r="Y488" s="290">
        <f t="shared" ca="1" si="101"/>
        <v>1.0490869209579841</v>
      </c>
      <c r="Z488" s="290">
        <f t="shared" ca="1" si="101"/>
        <v>1.0579114131871381</v>
      </c>
      <c r="AA488" s="290">
        <f t="shared" ca="1" si="101"/>
        <v>1.0664152609540094</v>
      </c>
      <c r="AB488" s="290">
        <f t="shared" ca="1" si="101"/>
        <v>1.0746042107313045</v>
      </c>
      <c r="AC488" s="290">
        <f t="shared" ca="1" si="101"/>
        <v>1.0824846130759269</v>
      </c>
      <c r="AD488" s="290">
        <f t="shared" ca="1" si="101"/>
        <v>1.0900633901113885</v>
      </c>
    </row>
    <row r="489" spans="1:30">
      <c r="A489" s="90">
        <v>403</v>
      </c>
      <c r="B489" s="90">
        <f t="shared" si="95"/>
        <v>1.6120000000000001</v>
      </c>
      <c r="C489" s="291">
        <f t="shared" ca="1" si="96"/>
        <v>-2.1314083114473612E-2</v>
      </c>
      <c r="D489" s="292">
        <f t="shared" ca="1" si="97"/>
        <v>0.10794681307109447</v>
      </c>
      <c r="E489" s="291">
        <f t="shared" ca="1" si="98"/>
        <v>-2.1244314073472513E-2</v>
      </c>
      <c r="F489" s="293">
        <f t="shared" ca="1" si="99"/>
        <v>0.97763650930315771</v>
      </c>
      <c r="G489" s="90">
        <f t="shared" ca="1" si="93"/>
        <v>0.98818220485389552</v>
      </c>
      <c r="T489" s="289">
        <f t="shared" ca="1" si="101"/>
        <v>1</v>
      </c>
      <c r="U489" s="290">
        <f t="shared" ca="1" si="101"/>
        <v>1.0104516581420677</v>
      </c>
      <c r="V489" s="290">
        <f t="shared" ca="1" si="101"/>
        <v>1.0205634541264057</v>
      </c>
      <c r="W489" s="290">
        <f t="shared" ca="1" si="101"/>
        <v>1.0303376791522043</v>
      </c>
      <c r="X489" s="290">
        <f t="shared" ca="1" si="101"/>
        <v>1.039777384707961</v>
      </c>
      <c r="Y489" s="290">
        <f t="shared" ca="1" si="101"/>
        <v>1.0488863524529661</v>
      </c>
      <c r="Z489" s="290">
        <f t="shared" ca="1" si="101"/>
        <v>1.0576690632073964</v>
      </c>
      <c r="AA489" s="290">
        <f t="shared" ca="1" si="101"/>
        <v>1.0661306652555587</v>
      </c>
      <c r="AB489" s="290">
        <f t="shared" ca="1" si="101"/>
        <v>1.0742769421595242</v>
      </c>
      <c r="AC489" s="290">
        <f t="shared" ca="1" si="101"/>
        <v>1.082114280271296</v>
      </c>
      <c r="AD489" s="290">
        <f t="shared" ca="1" si="101"/>
        <v>1.0896496361218901</v>
      </c>
    </row>
    <row r="490" spans="1:30">
      <c r="A490" s="90">
        <v>404</v>
      </c>
      <c r="B490" s="90">
        <f t="shared" si="95"/>
        <v>1.6160000000000001</v>
      </c>
      <c r="C490" s="291">
        <f t="shared" ca="1" si="96"/>
        <v>-2.1237045960153786E-2</v>
      </c>
      <c r="D490" s="292">
        <f t="shared" ca="1" si="97"/>
        <v>0.21268367531068347</v>
      </c>
      <c r="E490" s="291">
        <f t="shared" ca="1" si="98"/>
        <v>-2.1099582559050482E-2</v>
      </c>
      <c r="F490" s="293">
        <f t="shared" ca="1" si="99"/>
        <v>0.97755371893028598</v>
      </c>
      <c r="G490" s="90">
        <f t="shared" ca="1" si="93"/>
        <v>0.98809852142715504</v>
      </c>
      <c r="T490" s="289">
        <f t="shared" ca="1" si="101"/>
        <v>1</v>
      </c>
      <c r="U490" s="290">
        <f t="shared" ca="1" si="101"/>
        <v>1.0103786450346801</v>
      </c>
      <c r="V490" s="290">
        <f t="shared" ca="1" si="101"/>
        <v>1.0204161863151116</v>
      </c>
      <c r="W490" s="290">
        <f t="shared" ca="1" si="101"/>
        <v>1.0301149938534373</v>
      </c>
      <c r="X490" s="290">
        <f t="shared" ca="1" si="101"/>
        <v>1.0394781966144011</v>
      </c>
      <c r="Y490" s="290">
        <f t="shared" ca="1" si="101"/>
        <v>1.0485096521434309</v>
      </c>
      <c r="Z490" s="290">
        <f t="shared" ca="1" si="101"/>
        <v>1.0572139153189621</v>
      </c>
      <c r="AA490" s="290">
        <f t="shared" ca="1" si="101"/>
        <v>1.0655962064337332</v>
      </c>
      <c r="AB490" s="290">
        <f t="shared" ca="1" si="101"/>
        <v>1.0736623788023691</v>
      </c>
      <c r="AC490" s="290">
        <f t="shared" ca="1" si="101"/>
        <v>1.0814188860833547</v>
      </c>
      <c r="AD490" s="290">
        <f t="shared" ca="1" si="101"/>
        <v>1.0888727494936516</v>
      </c>
    </row>
    <row r="491" spans="1:30">
      <c r="A491" s="90">
        <v>405</v>
      </c>
      <c r="B491" s="90">
        <f t="shared" si="95"/>
        <v>1.62</v>
      </c>
      <c r="C491" s="291">
        <f t="shared" ca="1" si="96"/>
        <v>-2.1092317817086748E-2</v>
      </c>
      <c r="D491" s="292">
        <f t="shared" ca="1" si="97"/>
        <v>0.27280760227300022</v>
      </c>
      <c r="E491" s="291">
        <f t="shared" ca="1" si="98"/>
        <v>-2.0915994642303808E-2</v>
      </c>
      <c r="F491" s="293">
        <f t="shared" ca="1" si="99"/>
        <v>0.9774715774140651</v>
      </c>
      <c r="G491" s="90">
        <f t="shared" ca="1" si="93"/>
        <v>0.9880154938562361</v>
      </c>
      <c r="T491" s="289">
        <f t="shared" ca="1" si="101"/>
        <v>1</v>
      </c>
      <c r="U491" s="290">
        <f t="shared" ca="1" si="101"/>
        <v>1.010286037520995</v>
      </c>
      <c r="V491" s="290">
        <f t="shared" ca="1" si="101"/>
        <v>1.0202294117502007</v>
      </c>
      <c r="W491" s="290">
        <f t="shared" ca="1" si="101"/>
        <v>1.0298325929642864</v>
      </c>
      <c r="X491" s="290">
        <f t="shared" ca="1" si="101"/>
        <v>1.0390988086629946</v>
      </c>
      <c r="Y491" s="290">
        <f t="shared" ca="1" si="101"/>
        <v>1.048032012876863</v>
      </c>
      <c r="Z491" s="290">
        <f t="shared" ca="1" si="101"/>
        <v>1.0566368546191511</v>
      </c>
      <c r="AA491" s="290">
        <f t="shared" ca="1" si="101"/>
        <v>1.0649186456869377</v>
      </c>
      <c r="AB491" s="290">
        <f t="shared" ca="1" si="101"/>
        <v>1.0728833280087788</v>
      </c>
      <c r="AC491" s="290">
        <f t="shared" ca="1" si="101"/>
        <v>1.0805374407269761</v>
      </c>
      <c r="AD491" s="290">
        <f t="shared" ca="1" si="101"/>
        <v>1.0878880871925216</v>
      </c>
    </row>
    <row r="492" spans="1:30">
      <c r="A492" s="90">
        <v>406</v>
      </c>
      <c r="B492" s="90">
        <f t="shared" si="95"/>
        <v>1.6240000000000001</v>
      </c>
      <c r="C492" s="291">
        <f t="shared" ca="1" si="96"/>
        <v>-2.0908734176810488E-2</v>
      </c>
      <c r="D492" s="292">
        <f t="shared" ca="1" si="97"/>
        <v>-0.20255180516378701</v>
      </c>
      <c r="E492" s="291">
        <f t="shared" ca="1" si="98"/>
        <v>-2.1039649067183502E-2</v>
      </c>
      <c r="F492" s="293">
        <f t="shared" ca="1" si="99"/>
        <v>0.97738955995673227</v>
      </c>
      <c r="G492" s="90">
        <f t="shared" ca="1" si="93"/>
        <v>0.98793259168241954</v>
      </c>
      <c r="T492" s="289">
        <f t="shared" ca="1" si="101"/>
        <v>1</v>
      </c>
      <c r="U492" s="290">
        <f t="shared" ca="1" si="101"/>
        <v>1.0103484117649884</v>
      </c>
      <c r="V492" s="290">
        <f t="shared" ca="1" si="101"/>
        <v>1.0203552087619128</v>
      </c>
      <c r="W492" s="290">
        <f t="shared" ca="1" si="101"/>
        <v>1.0300227936991702</v>
      </c>
      <c r="X492" s="290">
        <f t="shared" ca="1" si="101"/>
        <v>1.0393543276773192</v>
      </c>
      <c r="Y492" s="290">
        <f t="shared" ca="1" si="101"/>
        <v>1.0483536997124487</v>
      </c>
      <c r="Z492" s="290">
        <f t="shared" ca="1" si="101"/>
        <v>1.0570254953902847</v>
      </c>
      <c r="AA492" s="290">
        <f t="shared" ca="1" si="101"/>
        <v>1.0653749648558481</v>
      </c>
      <c r="AB492" s="290">
        <f t="shared" ca="1" si="101"/>
        <v>1.0734079903360059</v>
      </c>
      <c r="AC492" s="290">
        <f t="shared" ca="1" si="101"/>
        <v>1.0811310533829999</v>
      </c>
      <c r="AD492" s="290">
        <f t="shared" ca="1" si="101"/>
        <v>1.0885512020171486</v>
      </c>
    </row>
    <row r="493" spans="1:30">
      <c r="A493" s="90">
        <v>407</v>
      </c>
      <c r="B493" s="90">
        <f t="shared" si="95"/>
        <v>1.6280000000000001</v>
      </c>
      <c r="C493" s="291">
        <f t="shared" ca="1" si="96"/>
        <v>-2.1032385721301873E-2</v>
      </c>
      <c r="D493" s="292">
        <f t="shared" ca="1" si="97"/>
        <v>0.9539764697409453</v>
      </c>
      <c r="E493" s="291">
        <f t="shared" ca="1" si="98"/>
        <v>-2.0415804077639984E-2</v>
      </c>
      <c r="F493" s="293">
        <f t="shared" ca="1" si="99"/>
        <v>0.97730852706182003</v>
      </c>
      <c r="G493" s="90">
        <f t="shared" ca="1" si="93"/>
        <v>0.98785068469142845</v>
      </c>
      <c r="T493" s="289">
        <f t="shared" ca="1" si="101"/>
        <v>1</v>
      </c>
      <c r="U493" s="290">
        <f t="shared" ca="1" si="101"/>
        <v>1.0100337687481691</v>
      </c>
      <c r="V493" s="290">
        <f t="shared" ca="1" si="101"/>
        <v>1.019720712509236</v>
      </c>
      <c r="W493" s="290">
        <f t="shared" ca="1" si="101"/>
        <v>1.0290635763565268</v>
      </c>
      <c r="X493" s="290">
        <f t="shared" ca="1" si="101"/>
        <v>1.0380658576810624</v>
      </c>
      <c r="Y493" s="290">
        <f t="shared" ca="1" si="101"/>
        <v>1.046731774632653</v>
      </c>
      <c r="Z493" s="290">
        <f t="shared" ca="1" si="101"/>
        <v>1.0550662337603796</v>
      </c>
      <c r="AA493" s="290">
        <f t="shared" ca="1" si="101"/>
        <v>1.0630747970579699</v>
      </c>
      <c r="AB493" s="290">
        <f t="shared" ca="1" si="101"/>
        <v>1.070763648611611</v>
      </c>
      <c r="AC493" s="290">
        <f t="shared" ca="1" si="101"/>
        <v>1.0781395610380133</v>
      </c>
      <c r="AD493" s="290">
        <f t="shared" ca="1" si="101"/>
        <v>1.0852098618902308</v>
      </c>
    </row>
    <row r="494" spans="1:30">
      <c r="A494" s="90">
        <v>408</v>
      </c>
      <c r="B494" s="90">
        <f t="shared" si="95"/>
        <v>1.6320000000000001</v>
      </c>
      <c r="C494" s="291">
        <f t="shared" ca="1" si="96"/>
        <v>-2.0408555263513432E-2</v>
      </c>
      <c r="D494" s="292">
        <f t="shared" ca="1" si="97"/>
        <v>-1.0793914995045377</v>
      </c>
      <c r="E494" s="291">
        <f t="shared" ca="1" si="98"/>
        <v>-2.1106196144634857E-2</v>
      </c>
      <c r="F494" s="293">
        <f t="shared" ca="1" si="99"/>
        <v>0.97722737082188038</v>
      </c>
      <c r="G494" s="90">
        <f t="shared" ca="1" si="93"/>
        <v>0.9877686530248958</v>
      </c>
      <c r="T494" s="289">
        <f t="shared" ca="1" si="101"/>
        <v>1</v>
      </c>
      <c r="U494" s="290">
        <f t="shared" ca="1" si="101"/>
        <v>1.0103819812934578</v>
      </c>
      <c r="V494" s="290">
        <f t="shared" ca="1" si="101"/>
        <v>1.0204229153347961</v>
      </c>
      <c r="W494" s="290">
        <f t="shared" ca="1" si="101"/>
        <v>1.0301251685303023</v>
      </c>
      <c r="X494" s="290">
        <f t="shared" ca="1" si="101"/>
        <v>1.0394918663004604</v>
      </c>
      <c r="Y494" s="290">
        <f t="shared" ca="1" si="101"/>
        <v>1.0485268627195967</v>
      </c>
      <c r="Z494" s="290">
        <f t="shared" ca="1" si="101"/>
        <v>1.0572347092790515</v>
      </c>
      <c r="AA494" s="290">
        <f t="shared" ca="1" si="101"/>
        <v>1.0656206229785952</v>
      </c>
      <c r="AB494" s="290">
        <f t="shared" ca="1" si="101"/>
        <v>1.0736904539434062</v>
      </c>
      <c r="AC494" s="290">
        <f t="shared" ca="1" si="101"/>
        <v>1.0814506527547119</v>
      </c>
      <c r="AD494" s="290">
        <f t="shared" ca="1" si="101"/>
        <v>1.0889082376723525</v>
      </c>
    </row>
    <row r="495" spans="1:30">
      <c r="A495" s="90">
        <v>409</v>
      </c>
      <c r="B495" s="90">
        <f t="shared" si="95"/>
        <v>1.6360000000000001</v>
      </c>
      <c r="C495" s="291">
        <f t="shared" ca="1" si="96"/>
        <v>-2.1098931248615217E-2</v>
      </c>
      <c r="D495" s="292">
        <f t="shared" ca="1" si="97"/>
        <v>-0.73430730026793767</v>
      </c>
      <c r="E495" s="291">
        <f t="shared" ca="1" si="98"/>
        <v>-2.1573534571142739E-2</v>
      </c>
      <c r="F495" s="293">
        <f t="shared" ca="1" si="99"/>
        <v>0.97714395877986493</v>
      </c>
      <c r="G495" s="90">
        <f t="shared" ca="1" si="93"/>
        <v>0.98768434122311077</v>
      </c>
      <c r="T495" s="289">
        <f t="shared" ca="1" si="101"/>
        <v>1</v>
      </c>
      <c r="U495" s="290">
        <f t="shared" ca="1" si="101"/>
        <v>1.0106177605686129</v>
      </c>
      <c r="V495" s="290">
        <f t="shared" ca="1" si="101"/>
        <v>1.0208985230981076</v>
      </c>
      <c r="W495" s="290">
        <f t="shared" ca="1" si="101"/>
        <v>1.0308444002823798</v>
      </c>
      <c r="X495" s="290">
        <f t="shared" ca="1" si="101"/>
        <v>1.0404582680575636</v>
      </c>
      <c r="Y495" s="290">
        <f t="shared" ca="1" si="101"/>
        <v>1.0497437360626549</v>
      </c>
      <c r="Z495" s="290">
        <f t="shared" ca="1" si="101"/>
        <v>1.0587051171735458</v>
      </c>
      <c r="AA495" s="290">
        <f t="shared" ca="1" si="101"/>
        <v>1.0673473963145439</v>
      </c>
      <c r="AB495" s="290">
        <f t="shared" ca="1" si="101"/>
        <v>1.0756761987444221</v>
      </c>
      <c r="AC495" s="290">
        <f t="shared" ca="1" si="101"/>
        <v>1.083697758005183</v>
      </c>
      <c r="AD495" s="290">
        <f t="shared" ca="1" si="101"/>
        <v>1.091418883712199</v>
      </c>
    </row>
    <row r="496" spans="1:30">
      <c r="A496" s="90">
        <v>410</v>
      </c>
      <c r="B496" s="90">
        <f t="shared" si="95"/>
        <v>1.6400000000000001</v>
      </c>
      <c r="C496" s="291">
        <f t="shared" ca="1" si="96"/>
        <v>-2.1566258789009293E-2</v>
      </c>
      <c r="D496" s="292">
        <f t="shared" ca="1" si="97"/>
        <v>3.8243070563699771E-2</v>
      </c>
      <c r="E496" s="291">
        <f t="shared" ca="1" si="98"/>
        <v>-2.1541541224106203E-2</v>
      </c>
      <c r="F496" s="293">
        <f t="shared" ca="1" si="99"/>
        <v>0.97705970314091417</v>
      </c>
      <c r="G496" s="90">
        <f t="shared" ca="1" si="93"/>
        <v>0.9875991767245702</v>
      </c>
      <c r="T496" s="289">
        <f t="shared" ref="T496:AD505" ca="1" si="102">EXP(T$82-$E496*T$83)</f>
        <v>1</v>
      </c>
      <c r="U496" s="290">
        <f t="shared" ca="1" si="102"/>
        <v>1.0106016176889103</v>
      </c>
      <c r="V496" s="290">
        <f t="shared" ca="1" si="102"/>
        <v>1.0208659565764506</v>
      </c>
      <c r="W496" s="290">
        <f t="shared" ca="1" si="102"/>
        <v>1.0307951466560066</v>
      </c>
      <c r="X496" s="290">
        <f t="shared" ca="1" si="102"/>
        <v>1.0403920808815716</v>
      </c>
      <c r="Y496" s="290">
        <f t="shared" ca="1" si="102"/>
        <v>1.0496603855719291</v>
      </c>
      <c r="Z496" s="290">
        <f t="shared" ca="1" si="102"/>
        <v>1.0586043898916386</v>
      </c>
      <c r="AA496" s="290">
        <f t="shared" ca="1" si="102"/>
        <v>1.0672290946129559</v>
      </c>
      <c r="AB496" s="290">
        <f t="shared" ca="1" si="102"/>
        <v>1.075540140355751</v>
      </c>
      <c r="AC496" s="290">
        <f t="shared" ca="1" si="102"/>
        <v>1.0835437754936008</v>
      </c>
      <c r="AD496" s="290">
        <f t="shared" ca="1" si="102"/>
        <v>1.0912468239047037</v>
      </c>
    </row>
    <row r="497" spans="1:30">
      <c r="A497" s="90">
        <v>411</v>
      </c>
      <c r="B497" s="90">
        <f t="shared" si="95"/>
        <v>1.6440000000000001</v>
      </c>
      <c r="C497" s="291">
        <f t="shared" ca="1" si="96"/>
        <v>-2.1534266187221162E-2</v>
      </c>
      <c r="D497" s="292">
        <f t="shared" ca="1" si="97"/>
        <v>-1.3230048463279331</v>
      </c>
      <c r="E497" s="291">
        <f t="shared" ca="1" si="98"/>
        <v>-2.2389361180227687E-2</v>
      </c>
      <c r="F497" s="293">
        <f t="shared" ca="1" si="99"/>
        <v>0.97697386068318226</v>
      </c>
      <c r="G497" s="90">
        <f t="shared" ca="1" si="93"/>
        <v>0.98751240829034703</v>
      </c>
      <c r="T497" s="289">
        <f t="shared" ca="1" si="102"/>
        <v>1</v>
      </c>
      <c r="U497" s="290">
        <f t="shared" ca="1" si="102"/>
        <v>1.0110294892484024</v>
      </c>
      <c r="V497" s="290">
        <f t="shared" ca="1" si="102"/>
        <v>1.0217293166998724</v>
      </c>
      <c r="W497" s="290">
        <f t="shared" ca="1" si="102"/>
        <v>1.0321011574701104</v>
      </c>
      <c r="X497" s="290">
        <f t="shared" ca="1" si="102"/>
        <v>1.0421474567123681</v>
      </c>
      <c r="Y497" s="290">
        <f t="shared" ca="1" si="102"/>
        <v>1.0518714015289627</v>
      </c>
      <c r="Z497" s="290">
        <f t="shared" ca="1" si="102"/>
        <v>1.0612768918711557</v>
      </c>
      <c r="AA497" s="290">
        <f t="shared" ca="1" si="102"/>
        <v>1.0703685106301386</v>
      </c>
      <c r="AB497" s="290">
        <f t="shared" ca="1" si="102"/>
        <v>1.0791514931154746</v>
      </c>
      <c r="AC497" s="290">
        <f t="shared" ca="1" si="102"/>
        <v>1.0876316961090995</v>
      </c>
      <c r="AD497" s="290">
        <f t="shared" ca="1" si="102"/>
        <v>1.0958155666740499</v>
      </c>
    </row>
    <row r="498" spans="1:30">
      <c r="A498" s="90">
        <v>412</v>
      </c>
      <c r="B498" s="90">
        <f t="shared" si="95"/>
        <v>1.6480000000000001</v>
      </c>
      <c r="C498" s="291">
        <f t="shared" ca="1" si="96"/>
        <v>-2.2382066394347044E-2</v>
      </c>
      <c r="D498" s="292">
        <f t="shared" ca="1" si="97"/>
        <v>1.251121235039143</v>
      </c>
      <c r="E498" s="291">
        <f t="shared" ca="1" si="98"/>
        <v>-2.1573431787530996E-2</v>
      </c>
      <c r="F498" s="293">
        <f t="shared" ca="1" si="99"/>
        <v>0.97688796346037521</v>
      </c>
      <c r="G498" s="90">
        <f t="shared" ca="1" si="93"/>
        <v>0.98742558450030171</v>
      </c>
      <c r="T498" s="289">
        <f t="shared" ca="1" si="102"/>
        <v>1</v>
      </c>
      <c r="U498" s="290">
        <f t="shared" ca="1" si="102"/>
        <v>1.0106177087066839</v>
      </c>
      <c r="V498" s="290">
        <f t="shared" ca="1" si="102"/>
        <v>1.0208984184714196</v>
      </c>
      <c r="W498" s="290">
        <f t="shared" ca="1" si="102"/>
        <v>1.0308442420436634</v>
      </c>
      <c r="X498" s="290">
        <f t="shared" ca="1" si="102"/>
        <v>1.0404580554142071</v>
      </c>
      <c r="Y498" s="290">
        <f t="shared" ca="1" si="102"/>
        <v>1.0497434682756206</v>
      </c>
      <c r="Z498" s="290">
        <f t="shared" ca="1" si="102"/>
        <v>1.0587047935561142</v>
      </c>
      <c r="AA498" s="290">
        <f t="shared" ca="1" si="102"/>
        <v>1.0673470162309002</v>
      </c>
      <c r="AB498" s="290">
        <f t="shared" ca="1" si="102"/>
        <v>1.0756757616080939</v>
      </c>
      <c r="AC498" s="290">
        <f t="shared" ca="1" si="102"/>
        <v>1.0836972632773392</v>
      </c>
      <c r="AD498" s="290">
        <f t="shared" ca="1" si="102"/>
        <v>1.0914183308998253</v>
      </c>
    </row>
    <row r="499" spans="1:30">
      <c r="A499" s="90">
        <v>413</v>
      </c>
      <c r="B499" s="90">
        <f t="shared" si="95"/>
        <v>1.6520000000000001</v>
      </c>
      <c r="C499" s="291">
        <f t="shared" ca="1" si="96"/>
        <v>-2.1566156007791774E-2</v>
      </c>
      <c r="D499" s="292">
        <f t="shared" ca="1" si="97"/>
        <v>1.7529973045179104</v>
      </c>
      <c r="E499" s="291">
        <f t="shared" ca="1" si="98"/>
        <v>-2.0433144876345285E-2</v>
      </c>
      <c r="F499" s="293">
        <f t="shared" ca="1" si="99"/>
        <v>0.97680589546956054</v>
      </c>
      <c r="G499" s="90">
        <f t="shared" ca="1" si="93"/>
        <v>0.98734263124790222</v>
      </c>
      <c r="T499" s="289">
        <f t="shared" ca="1" si="102"/>
        <v>1</v>
      </c>
      <c r="U499" s="290">
        <f t="shared" ca="1" si="102"/>
        <v>1.0100425134447808</v>
      </c>
      <c r="V499" s="290">
        <f t="shared" ca="1" si="102"/>
        <v>1.0197383440449865</v>
      </c>
      <c r="W499" s="290">
        <f t="shared" ca="1" si="102"/>
        <v>1.0290902273081717</v>
      </c>
      <c r="X499" s="290">
        <f t="shared" ca="1" si="102"/>
        <v>1.0381016512343888</v>
      </c>
      <c r="Y499" s="290">
        <f t="shared" ca="1" si="102"/>
        <v>1.0467768247871732</v>
      </c>
      <c r="Z499" s="290">
        <f t="shared" ca="1" si="102"/>
        <v>1.0551206455619813</v>
      </c>
      <c r="AA499" s="290">
        <f t="shared" ca="1" si="102"/>
        <v>1.0631386668575773</v>
      </c>
      <c r="AB499" s="290">
        <f t="shared" ca="1" si="102"/>
        <v>1.0708370643479004</v>
      </c>
      <c r="AC499" s="290">
        <f t="shared" ca="1" si="102"/>
        <v>1.0782226025422448</v>
      </c>
      <c r="AD499" s="290">
        <f t="shared" ca="1" si="102"/>
        <v>1.0853026012112703</v>
      </c>
    </row>
    <row r="500" spans="1:30">
      <c r="A500" s="90">
        <v>414</v>
      </c>
      <c r="B500" s="90">
        <f t="shared" si="95"/>
        <v>1.6560000000000001</v>
      </c>
      <c r="C500" s="291">
        <f t="shared" ca="1" si="96"/>
        <v>-2.0425895658284673E-2</v>
      </c>
      <c r="D500" s="292">
        <f t="shared" ca="1" si="97"/>
        <v>1.2644358764583759</v>
      </c>
      <c r="E500" s="291">
        <f t="shared" ca="1" si="98"/>
        <v>-1.9608655426747851E-2</v>
      </c>
      <c r="F500" s="293">
        <f t="shared" ca="1" si="99"/>
        <v>0.9767276724685896</v>
      </c>
      <c r="G500" s="90">
        <f t="shared" ca="1" si="93"/>
        <v>0.98726356446097874</v>
      </c>
      <c r="T500" s="289">
        <f t="shared" ca="1" si="102"/>
        <v>1</v>
      </c>
      <c r="U500" s="290">
        <f t="shared" ca="1" si="102"/>
        <v>1.0096268199311891</v>
      </c>
      <c r="V500" s="290">
        <f t="shared" ca="1" si="102"/>
        <v>1.0189003683944589</v>
      </c>
      <c r="W500" s="290">
        <f t="shared" ca="1" si="102"/>
        <v>1.0278238387026071</v>
      </c>
      <c r="X500" s="290">
        <f t="shared" ca="1" si="102"/>
        <v>1.036401167971178</v>
      </c>
      <c r="Y500" s="290">
        <f t="shared" ca="1" si="102"/>
        <v>1.0446370041809931</v>
      </c>
      <c r="Z500" s="290">
        <f t="shared" ca="1" si="102"/>
        <v>1.0525366725314771</v>
      </c>
      <c r="AA500" s="290">
        <f t="shared" ca="1" si="102"/>
        <v>1.0601061412909334</v>
      </c>
      <c r="AB500" s="290">
        <f t="shared" ca="1" si="102"/>
        <v>1.0673519873413195</v>
      </c>
      <c r="AC500" s="290">
        <f t="shared" ca="1" si="102"/>
        <v>1.0742813616047457</v>
      </c>
      <c r="AD500" s="290">
        <f t="shared" ca="1" si="102"/>
        <v>1.08090195452806</v>
      </c>
    </row>
    <row r="501" spans="1:30">
      <c r="A501" s="90">
        <v>415</v>
      </c>
      <c r="B501" s="90">
        <f t="shared" si="95"/>
        <v>1.6600000000000001</v>
      </c>
      <c r="C501" s="291">
        <f t="shared" ca="1" si="96"/>
        <v>-1.9601425414225392E-2</v>
      </c>
      <c r="D501" s="292">
        <f t="shared" ca="1" si="97"/>
        <v>-0.36383957649711041</v>
      </c>
      <c r="E501" s="291">
        <f t="shared" ca="1" si="98"/>
        <v>-1.983658509711228E-2</v>
      </c>
      <c r="F501" s="293">
        <f t="shared" ca="1" si="99"/>
        <v>0.97665062099200994</v>
      </c>
      <c r="G501" s="90">
        <f t="shared" ca="1" si="93"/>
        <v>0.98718568183559685</v>
      </c>
      <c r="T501" s="289">
        <f t="shared" ca="1" si="102"/>
        <v>1</v>
      </c>
      <c r="U501" s="290">
        <f t="shared" ca="1" si="102"/>
        <v>1.0097417210687525</v>
      </c>
      <c r="V501" s="290">
        <f t="shared" ca="1" si="102"/>
        <v>1.0191319574240378</v>
      </c>
      <c r="W501" s="290">
        <f t="shared" ca="1" si="102"/>
        <v>1.0281737752180555</v>
      </c>
      <c r="X501" s="290">
        <f t="shared" ca="1" si="102"/>
        <v>1.0368709868855133</v>
      </c>
      <c r="Y501" s="290">
        <f t="shared" ca="1" si="102"/>
        <v>1.0452281185928918</v>
      </c>
      <c r="Z501" s="290">
        <f t="shared" ca="1" si="102"/>
        <v>1.0532503769524013</v>
      </c>
      <c r="AA501" s="290">
        <f t="shared" ca="1" si="102"/>
        <v>1.0609436152066281</v>
      </c>
      <c r="AB501" s="290">
        <f t="shared" ca="1" si="102"/>
        <v>1.0683142990814491</v>
      </c>
      <c r="AC501" s="290">
        <f t="shared" ca="1" si="102"/>
        <v>1.0753694724946377</v>
      </c>
      <c r="AD501" s="290">
        <f t="shared" ca="1" si="102"/>
        <v>1.082116723296862</v>
      </c>
    </row>
    <row r="502" spans="1:30">
      <c r="A502" s="90">
        <v>416</v>
      </c>
      <c r="B502" s="90">
        <f t="shared" si="95"/>
        <v>1.6640000000000001</v>
      </c>
      <c r="C502" s="291">
        <f t="shared" ca="1" si="96"/>
        <v>-1.9829349775229002E-2</v>
      </c>
      <c r="D502" s="292">
        <f t="shared" ca="1" si="97"/>
        <v>0.30939373844352591</v>
      </c>
      <c r="E502" s="291">
        <f t="shared" ca="1" si="98"/>
        <v>-1.9629379958531104E-2</v>
      </c>
      <c r="F502" s="293">
        <f t="shared" ca="1" si="99"/>
        <v>0.97657353511575917</v>
      </c>
      <c r="G502" s="90">
        <f t="shared" ca="1" si="93"/>
        <v>0.98710776443947701</v>
      </c>
      <c r="T502" s="289">
        <f t="shared" ca="1" si="102"/>
        <v>1</v>
      </c>
      <c r="U502" s="290">
        <f t="shared" ca="1" si="102"/>
        <v>1.0096372667900906</v>
      </c>
      <c r="V502" s="290">
        <f t="shared" ca="1" si="102"/>
        <v>1.0189214234787254</v>
      </c>
      <c r="W502" s="290">
        <f t="shared" ca="1" si="102"/>
        <v>1.027855651798087</v>
      </c>
      <c r="X502" s="290">
        <f t="shared" ca="1" si="102"/>
        <v>1.0364438775110296</v>
      </c>
      <c r="Y502" s="290">
        <f t="shared" ca="1" si="102"/>
        <v>1.0446907375086898</v>
      </c>
      <c r="Z502" s="290">
        <f t="shared" ca="1" si="102"/>
        <v>1.0526015461965084</v>
      </c>
      <c r="AA502" s="290">
        <f t="shared" ca="1" si="102"/>
        <v>1.0601822613748062</v>
      </c>
      <c r="AB502" s="290">
        <f t="shared" ca="1" si="102"/>
        <v>1.067439449811467</v>
      </c>
      <c r="AC502" s="290">
        <f t="shared" ca="1" si="102"/>
        <v>1.0743802526939701</v>
      </c>
      <c r="AD502" s="290">
        <f t="shared" ca="1" si="102"/>
        <v>1.081012351137167</v>
      </c>
    </row>
    <row r="503" spans="1:30">
      <c r="A503" s="90">
        <v>417</v>
      </c>
      <c r="B503" s="90">
        <f t="shared" si="95"/>
        <v>1.6679999999999999</v>
      </c>
      <c r="C503" s="291">
        <f t="shared" ca="1" si="96"/>
        <v>-1.9622149463254395E-2</v>
      </c>
      <c r="D503" s="292">
        <f t="shared" ca="1" si="97"/>
        <v>1.0340795992738843</v>
      </c>
      <c r="E503" s="291">
        <f t="shared" ca="1" si="98"/>
        <v>-1.8953794929131913E-2</v>
      </c>
      <c r="F503" s="293">
        <f t="shared" ca="1" si="99"/>
        <v>0.97649817940826689</v>
      </c>
      <c r="G503" s="90">
        <f t="shared" ca="1" si="93"/>
        <v>0.98703159587532319</v>
      </c>
      <c r="T503" s="289">
        <f t="shared" ca="1" si="102"/>
        <v>1</v>
      </c>
      <c r="U503" s="290">
        <f t="shared" ca="1" si="102"/>
        <v>1.0092967723508881</v>
      </c>
      <c r="V503" s="290">
        <f t="shared" ca="1" si="102"/>
        <v>1.0182352870244777</v>
      </c>
      <c r="W503" s="290">
        <f t="shared" ca="1" si="102"/>
        <v>1.0268191051198745</v>
      </c>
      <c r="X503" s="290">
        <f t="shared" ca="1" si="102"/>
        <v>1.0350525240834532</v>
      </c>
      <c r="Y503" s="290">
        <f t="shared" ca="1" si="102"/>
        <v>1.0429405436718631</v>
      </c>
      <c r="Z503" s="290">
        <f t="shared" ca="1" si="102"/>
        <v>1.0504888312820859</v>
      </c>
      <c r="AA503" s="290">
        <f t="shared" ca="1" si="102"/>
        <v>1.0577036868550098</v>
      </c>
      <c r="AB503" s="290">
        <f t="shared" ca="1" si="102"/>
        <v>1.0645920075498672</v>
      </c>
      <c r="AC503" s="290">
        <f t="shared" ca="1" si="102"/>
        <v>1.0711612523760761</v>
      </c>
      <c r="AD503" s="290">
        <f t="shared" ca="1" si="102"/>
        <v>1.077419406957717</v>
      </c>
    </row>
    <row r="504" spans="1:30">
      <c r="A504" s="90">
        <v>418</v>
      </c>
      <c r="B504" s="90">
        <f t="shared" si="95"/>
        <v>1.6719999999999999</v>
      </c>
      <c r="C504" s="291">
        <f t="shared" ca="1" si="96"/>
        <v>-1.8946580170835298E-2</v>
      </c>
      <c r="D504" s="292">
        <f t="shared" ca="1" si="97"/>
        <v>-0.38934764571672198</v>
      </c>
      <c r="E504" s="291">
        <f t="shared" ca="1" si="98"/>
        <v>-1.9198226431478491E-2</v>
      </c>
      <c r="F504" s="293">
        <f t="shared" ca="1" si="99"/>
        <v>0.97642367149213183</v>
      </c>
      <c r="G504" s="90">
        <f t="shared" ca="1" si="93"/>
        <v>0.98695628424759163</v>
      </c>
      <c r="T504" s="289">
        <f t="shared" ca="1" si="102"/>
        <v>1</v>
      </c>
      <c r="U504" s="290">
        <f t="shared" ca="1" si="102"/>
        <v>1.0094199524184087</v>
      </c>
      <c r="V504" s="290">
        <f t="shared" ca="1" si="102"/>
        <v>1.0184834827483549</v>
      </c>
      <c r="W504" s="290">
        <f t="shared" ca="1" si="102"/>
        <v>1.0271940143941727</v>
      </c>
      <c r="X504" s="290">
        <f t="shared" ca="1" si="102"/>
        <v>1.0355557099478094</v>
      </c>
      <c r="Y504" s="290">
        <f t="shared" ca="1" si="102"/>
        <v>1.043573437560195</v>
      </c>
      <c r="Z504" s="290">
        <f t="shared" ca="1" si="102"/>
        <v>1.0512527366509845</v>
      </c>
      <c r="AA504" s="290">
        <f t="shared" ca="1" si="102"/>
        <v>1.0585997831630427</v>
      </c>
      <c r="AB504" s="290">
        <f t="shared" ca="1" si="102"/>
        <v>1.0656213545591182</v>
      </c>
      <c r="AC504" s="290">
        <f t="shared" ca="1" si="102"/>
        <v>1.0723247947475243</v>
      </c>
      <c r="AD504" s="290">
        <f t="shared" ca="1" si="102"/>
        <v>1.0787179791124988</v>
      </c>
    </row>
    <row r="505" spans="1:30">
      <c r="A505" s="90">
        <v>419</v>
      </c>
      <c r="B505" s="90">
        <f t="shared" si="95"/>
        <v>1.6759999999999999</v>
      </c>
      <c r="C505" s="291">
        <f t="shared" ca="1" si="96"/>
        <v>-1.9191005979429767E-2</v>
      </c>
      <c r="D505" s="292">
        <f t="shared" ca="1" si="97"/>
        <v>0.44933402437607373</v>
      </c>
      <c r="E505" s="291">
        <f t="shared" ca="1" si="98"/>
        <v>-1.8900588846417835E-2</v>
      </c>
      <c r="F505" s="293">
        <f t="shared" ca="1" si="99"/>
        <v>0.97634927315646991</v>
      </c>
      <c r="G505" s="90">
        <f t="shared" ca="1" si="93"/>
        <v>0.98688108338237002</v>
      </c>
      <c r="T505" s="289">
        <f t="shared" ca="1" si="102"/>
        <v>1</v>
      </c>
      <c r="U505" s="290">
        <f t="shared" ca="1" si="102"/>
        <v>1.0092699613962937</v>
      </c>
      <c r="V505" s="290">
        <f t="shared" ca="1" si="102"/>
        <v>1.0181812695893979</v>
      </c>
      <c r="W505" s="290">
        <f t="shared" ca="1" si="102"/>
        <v>1.026737515715022</v>
      </c>
      <c r="X505" s="290">
        <f t="shared" ca="1" si="102"/>
        <v>1.0349430266287791</v>
      </c>
      <c r="Y505" s="290">
        <f t="shared" ca="1" si="102"/>
        <v>1.0428028307806299</v>
      </c>
      <c r="Z505" s="290">
        <f t="shared" ca="1" si="102"/>
        <v>1.0503226234626541</v>
      </c>
      <c r="AA505" s="290">
        <f t="shared" ca="1" si="102"/>
        <v>1.0575087316366336</v>
      </c>
      <c r="AB505" s="290">
        <f t="shared" ca="1" si="102"/>
        <v>1.0643680785387659</v>
      </c>
      <c r="AC505" s="290">
        <f t="shared" ca="1" si="102"/>
        <v>1.0709081482479867</v>
      </c>
      <c r="AD505" s="290">
        <f t="shared" ca="1" si="102"/>
        <v>1.077136950393033</v>
      </c>
    </row>
    <row r="506" spans="1:30">
      <c r="A506" s="90">
        <v>420</v>
      </c>
      <c r="B506" s="90">
        <f t="shared" si="95"/>
        <v>1.68</v>
      </c>
      <c r="C506" s="291">
        <f t="shared" ca="1" si="96"/>
        <v>-1.8893375327496027E-2</v>
      </c>
      <c r="D506" s="292">
        <f t="shared" ca="1" si="97"/>
        <v>-1.163767763032618</v>
      </c>
      <c r="E506" s="291">
        <f t="shared" ca="1" si="98"/>
        <v>-1.9645550944957773E-2</v>
      </c>
      <c r="F506" s="293">
        <f t="shared" ca="1" si="99"/>
        <v>0.97627400706658785</v>
      </c>
      <c r="G506" s="90">
        <f t="shared" ca="1" si="93"/>
        <v>0.98680500540252514</v>
      </c>
      <c r="T506" s="289">
        <f t="shared" ref="T506:AD515" ca="1" si="103">EXP(T$82-$E506*T$83)</f>
        <v>1</v>
      </c>
      <c r="U506" s="290">
        <f t="shared" ca="1" si="103"/>
        <v>1.009645418364816</v>
      </c>
      <c r="V506" s="290">
        <f t="shared" ca="1" si="103"/>
        <v>1.01893785269162</v>
      </c>
      <c r="W506" s="290">
        <f t="shared" ca="1" si="103"/>
        <v>1.0278804756790034</v>
      </c>
      <c r="X506" s="290">
        <f t="shared" ca="1" si="103"/>
        <v>1.0364772042337351</v>
      </c>
      <c r="Y506" s="290">
        <f t="shared" ca="1" si="103"/>
        <v>1.0447326665957548</v>
      </c>
      <c r="Z506" s="290">
        <f t="shared" ca="1" si="103"/>
        <v>1.0526521687497206</v>
      </c>
      <c r="AA506" s="290">
        <f t="shared" ca="1" si="103"/>
        <v>1.0602416603292424</v>
      </c>
      <c r="AB506" s="290">
        <f t="shared" ca="1" si="103"/>
        <v>1.0675077002113553</v>
      </c>
      <c r="AC506" s="290">
        <f t="shared" ca="1" si="103"/>
        <v>1.0744574219884917</v>
      </c>
      <c r="AD506" s="290">
        <f t="shared" ca="1" si="103"/>
        <v>1.0810984994943722</v>
      </c>
    </row>
    <row r="507" spans="1:30">
      <c r="A507" s="90">
        <v>421</v>
      </c>
      <c r="B507" s="90">
        <f t="shared" si="95"/>
        <v>1.6839999999999999</v>
      </c>
      <c r="C507" s="291">
        <f t="shared" ca="1" si="96"/>
        <v>-1.9638320072996443E-2</v>
      </c>
      <c r="D507" s="292">
        <f t="shared" ca="1" si="97"/>
        <v>-0.8457071711110693</v>
      </c>
      <c r="E507" s="291">
        <f t="shared" ca="1" si="98"/>
        <v>-2.0184924244231309E-2</v>
      </c>
      <c r="F507" s="293">
        <f t="shared" ca="1" si="99"/>
        <v>0.9761962392489254</v>
      </c>
      <c r="G507" s="90">
        <f t="shared" ca="1" si="93"/>
        <v>0.98672639870894008</v>
      </c>
      <c r="T507" s="289">
        <f t="shared" ca="1" si="103"/>
        <v>1</v>
      </c>
      <c r="U507" s="290">
        <f t="shared" ca="1" si="103"/>
        <v>1.0099173468329681</v>
      </c>
      <c r="V507" s="290">
        <f t="shared" ca="1" si="103"/>
        <v>1.0194859907763865</v>
      </c>
      <c r="W507" s="290">
        <f t="shared" ca="1" si="103"/>
        <v>1.0287088045263579</v>
      </c>
      <c r="X507" s="290">
        <f t="shared" ca="1" si="103"/>
        <v>1.0375894107367705</v>
      </c>
      <c r="Y507" s="290">
        <f t="shared" ca="1" si="103"/>
        <v>1.0461321500635068</v>
      </c>
      <c r="Z507" s="290">
        <f t="shared" ca="1" si="103"/>
        <v>1.0543420484338937</v>
      </c>
      <c r="AA507" s="290">
        <f t="shared" ca="1" si="103"/>
        <v>1.0622247837471115</v>
      </c>
      <c r="AB507" s="290">
        <f t="shared" ca="1" si="103"/>
        <v>1.0697866522031345</v>
      </c>
      <c r="AC507" s="290">
        <f t="shared" ca="1" si="103"/>
        <v>1.0770345344478833</v>
      </c>
      <c r="AD507" s="290">
        <f t="shared" ca="1" si="103"/>
        <v>1.0839758617117883</v>
      </c>
    </row>
    <row r="508" spans="1:30">
      <c r="A508" s="90">
        <v>422</v>
      </c>
      <c r="B508" s="90">
        <f t="shared" si="95"/>
        <v>1.6879999999999999</v>
      </c>
      <c r="C508" s="291">
        <f t="shared" ca="1" si="96"/>
        <v>-2.017768080818625E-2</v>
      </c>
      <c r="D508" s="292">
        <f t="shared" ca="1" si="97"/>
        <v>0.3583592669930013</v>
      </c>
      <c r="E508" s="291">
        <f t="shared" ca="1" si="98"/>
        <v>-1.9946063202435433E-2</v>
      </c>
      <c r="F508" s="293">
        <f t="shared" ca="1" si="99"/>
        <v>0.97611789095511625</v>
      </c>
      <c r="G508" s="90">
        <f t="shared" ca="1" si="93"/>
        <v>0.98664720527765337</v>
      </c>
      <c r="T508" s="289">
        <f t="shared" ca="1" si="103"/>
        <v>1</v>
      </c>
      <c r="U508" s="290">
        <f t="shared" ca="1" si="103"/>
        <v>1.0097969144904444</v>
      </c>
      <c r="V508" s="290">
        <f t="shared" ca="1" si="103"/>
        <v>1.0192432118882944</v>
      </c>
      <c r="W508" s="290">
        <f t="shared" ca="1" si="103"/>
        <v>1.0283418974294116</v>
      </c>
      <c r="X508" s="290">
        <f t="shared" ca="1" si="103"/>
        <v>1.0370967238021516</v>
      </c>
      <c r="Y508" s="290">
        <f t="shared" ca="1" si="103"/>
        <v>1.045512158783106</v>
      </c>
      <c r="Z508" s="290">
        <f t="shared" ca="1" si="103"/>
        <v>1.05359335212508</v>
      </c>
      <c r="AA508" s="290">
        <f t="shared" ca="1" si="103"/>
        <v>1.0613461019032209</v>
      </c>
      <c r="AB508" s="290">
        <f t="shared" ca="1" si="103"/>
        <v>1.0687768205168797</v>
      </c>
      <c r="AC508" s="290">
        <f t="shared" ca="1" si="103"/>
        <v>1.0758925005347133</v>
      </c>
      <c r="AD508" s="290">
        <f t="shared" ca="1" si="103"/>
        <v>1.0827006805598973</v>
      </c>
    </row>
    <row r="509" spans="1:30">
      <c r="A509" s="90">
        <v>423</v>
      </c>
      <c r="B509" s="90">
        <f t="shared" si="95"/>
        <v>1.6919999999999999</v>
      </c>
      <c r="C509" s="291">
        <f t="shared" ca="1" si="96"/>
        <v>-1.993882533038498E-2</v>
      </c>
      <c r="D509" s="292">
        <f t="shared" ca="1" si="97"/>
        <v>0.82685430519534742</v>
      </c>
      <c r="E509" s="291">
        <f t="shared" ca="1" si="98"/>
        <v>-1.9404406293084511E-2</v>
      </c>
      <c r="F509" s="293">
        <f t="shared" ca="1" si="99"/>
        <v>0.97604107258341077</v>
      </c>
      <c r="G509" s="90">
        <f t="shared" ca="1" si="93"/>
        <v>0.98656955827163129</v>
      </c>
      <c r="T509" s="289">
        <f t="shared" ca="1" si="103"/>
        <v>1</v>
      </c>
      <c r="U509" s="290">
        <f t="shared" ca="1" si="103"/>
        <v>1.0095238674461251</v>
      </c>
      <c r="V509" s="290">
        <f t="shared" ca="1" si="103"/>
        <v>1.0186928847968471</v>
      </c>
      <c r="W509" s="290">
        <f t="shared" ca="1" si="103"/>
        <v>1.0275103596925517</v>
      </c>
      <c r="X509" s="290">
        <f t="shared" ca="1" si="103"/>
        <v>1.0359803413037791</v>
      </c>
      <c r="Y509" s="290">
        <f t="shared" ca="1" si="103"/>
        <v>1.0441075870489513</v>
      </c>
      <c r="Z509" s="290">
        <f t="shared" ca="1" si="103"/>
        <v>1.0518975286264809</v>
      </c>
      <c r="AA509" s="290">
        <f t="shared" ca="1" si="103"/>
        <v>1.0593562375675307</v>
      </c>
      <c r="AB509" s="290">
        <f t="shared" ca="1" si="103"/>
        <v>1.0664903905069347</v>
      </c>
      <c r="AC509" s="290">
        <f t="shared" ca="1" si="103"/>
        <v>1.0733072343593071</v>
      </c>
      <c r="AD509" s="290">
        <f t="shared" ca="1" si="103"/>
        <v>1.0798145515763724</v>
      </c>
    </row>
    <row r="510" spans="1:30">
      <c r="A510" s="90">
        <v>424</v>
      </c>
      <c r="B510" s="90">
        <f t="shared" si="95"/>
        <v>1.696</v>
      </c>
      <c r="C510" s="291">
        <f t="shared" ca="1" si="96"/>
        <v>-1.939718103831187E-2</v>
      </c>
      <c r="D510" s="292">
        <f t="shared" ca="1" si="97"/>
        <v>-0.22718080604274871</v>
      </c>
      <c r="E510" s="291">
        <f t="shared" ca="1" si="98"/>
        <v>-1.9544014340014071E-2</v>
      </c>
      <c r="F510" s="293">
        <f t="shared" ca="1" si="99"/>
        <v>0.97596504502810211</v>
      </c>
      <c r="G510" s="90">
        <f t="shared" ca="1" si="93"/>
        <v>0.98649271061248645</v>
      </c>
      <c r="T510" s="289">
        <f t="shared" ca="1" si="103"/>
        <v>1</v>
      </c>
      <c r="U510" s="290">
        <f t="shared" ca="1" si="103"/>
        <v>1.0095942362314092</v>
      </c>
      <c r="V510" s="290">
        <f t="shared" ca="1" si="103"/>
        <v>1.0188346990890937</v>
      </c>
      <c r="W510" s="290">
        <f t="shared" ca="1" si="103"/>
        <v>1.0277246180300987</v>
      </c>
      <c r="X510" s="290">
        <f t="shared" ca="1" si="103"/>
        <v>1.0362679656001452</v>
      </c>
      <c r="Y510" s="290">
        <f t="shared" ca="1" si="103"/>
        <v>1.0444694243868571</v>
      </c>
      <c r="Z510" s="290">
        <f t="shared" ca="1" si="103"/>
        <v>1.0523343532712284</v>
      </c>
      <c r="AA510" s="290">
        <f t="shared" ca="1" si="103"/>
        <v>1.0598687531835227</v>
      </c>
      <c r="AB510" s="290">
        <f t="shared" ca="1" si="103"/>
        <v>1.0670792325611442</v>
      </c>
      <c r="AC510" s="290">
        <f t="shared" ca="1" si="103"/>
        <v>1.073972972695648</v>
      </c>
      <c r="AD510" s="290">
        <f t="shared" ca="1" si="103"/>
        <v>1.0805576931451422</v>
      </c>
    </row>
    <row r="511" spans="1:30">
      <c r="A511" s="90">
        <v>425</v>
      </c>
      <c r="B511" s="90">
        <f t="shared" si="95"/>
        <v>1.7</v>
      </c>
      <c r="C511" s="291">
        <f t="shared" ca="1" si="96"/>
        <v>-1.9536785833231748E-2</v>
      </c>
      <c r="D511" s="292">
        <f t="shared" ca="1" si="97"/>
        <v>0.81114863674625615</v>
      </c>
      <c r="E511" s="291">
        <f t="shared" ca="1" si="98"/>
        <v>-1.901251780821964E-2</v>
      </c>
      <c r="F511" s="293">
        <f t="shared" ca="1" si="99"/>
        <v>0.97588978827451056</v>
      </c>
      <c r="G511" s="90">
        <f t="shared" ca="1" si="93"/>
        <v>0.98641664206964197</v>
      </c>
      <c r="T511" s="289">
        <f t="shared" ca="1" si="103"/>
        <v>1</v>
      </c>
      <c r="U511" s="290">
        <f t="shared" ca="1" si="103"/>
        <v>1.009326364088464</v>
      </c>
      <c r="V511" s="290">
        <f t="shared" ca="1" si="103"/>
        <v>1.0182949087097959</v>
      </c>
      <c r="W511" s="290">
        <f t="shared" ca="1" si="103"/>
        <v>1.0269091618385724</v>
      </c>
      <c r="X511" s="290">
        <f t="shared" ca="1" si="103"/>
        <v>1.0351733884852761</v>
      </c>
      <c r="Y511" s="290">
        <f t="shared" ca="1" si="103"/>
        <v>1.043092556757182</v>
      </c>
      <c r="Z511" s="290">
        <f t="shared" ca="1" si="103"/>
        <v>1.050672303279383</v>
      </c>
      <c r="AA511" s="290">
        <f t="shared" ca="1" si="103"/>
        <v>1.0579188981823986</v>
      </c>
      <c r="AB511" s="290">
        <f t="shared" ca="1" si="103"/>
        <v>1.06483920985374</v>
      </c>
      <c r="AC511" s="290">
        <f t="shared" ca="1" si="103"/>
        <v>1.0714406696400411</v>
      </c>
      <c r="AD511" s="290">
        <f t="shared" ca="1" si="103"/>
        <v>1.0777312366750933</v>
      </c>
    </row>
    <row r="512" spans="1:30">
      <c r="A512" s="90">
        <v>426</v>
      </c>
      <c r="B512" s="90">
        <f t="shared" si="95"/>
        <v>1.704</v>
      </c>
      <c r="C512" s="291">
        <f t="shared" ca="1" si="96"/>
        <v>-1.9005301682040763E-2</v>
      </c>
      <c r="D512" s="292">
        <f t="shared" ca="1" si="97"/>
        <v>1.6840478221477848</v>
      </c>
      <c r="E512" s="291">
        <f t="shared" ca="1" si="98"/>
        <v>-1.7916854527293774E-2</v>
      </c>
      <c r="F512" s="293">
        <f t="shared" ca="1" si="99"/>
        <v>0.97581771294154085</v>
      </c>
      <c r="G512" s="90">
        <f t="shared" ca="1" si="93"/>
        <v>0.98634378926517752</v>
      </c>
      <c r="T512" s="289">
        <f t="shared" ca="1" si="103"/>
        <v>1</v>
      </c>
      <c r="U512" s="290">
        <f t="shared" ca="1" si="103"/>
        <v>1.0087743783985994</v>
      </c>
      <c r="V512" s="290">
        <f t="shared" ca="1" si="103"/>
        <v>1.0171830502052288</v>
      </c>
      <c r="W512" s="290">
        <f t="shared" ca="1" si="103"/>
        <v>1.0252301658743612</v>
      </c>
      <c r="X512" s="290">
        <f t="shared" ca="1" si="103"/>
        <v>1.0329205993928445</v>
      </c>
      <c r="Y512" s="290">
        <f t="shared" ca="1" si="103"/>
        <v>1.0402599125386272</v>
      </c>
      <c r="Z512" s="290">
        <f t="shared" ca="1" si="103"/>
        <v>1.047254318631005</v>
      </c>
      <c r="AA512" s="290">
        <f t="shared" ca="1" si="103"/>
        <v>1.0539106459789547</v>
      </c>
      <c r="AB512" s="290">
        <f t="shared" ca="1" si="103"/>
        <v>1.0602363012241758</v>
      </c>
      <c r="AC512" s="290">
        <f t="shared" ca="1" si="103"/>
        <v>1.0662392327639187</v>
      </c>
      <c r="AD512" s="290">
        <f t="shared" ca="1" si="103"/>
        <v>1.0719278944266679</v>
      </c>
    </row>
    <row r="513" spans="1:30">
      <c r="A513" s="90">
        <v>427</v>
      </c>
      <c r="B513" s="90">
        <f t="shared" si="95"/>
        <v>1.708</v>
      </c>
      <c r="C513" s="291">
        <f t="shared" ca="1" si="96"/>
        <v>-1.7909663923337107E-2</v>
      </c>
      <c r="D513" s="292">
        <f t="shared" ca="1" si="97"/>
        <v>1.0426368874275367</v>
      </c>
      <c r="E513" s="291">
        <f t="shared" ca="1" si="98"/>
        <v>-1.7235778574815713E-2</v>
      </c>
      <c r="F513" s="293">
        <f t="shared" ca="1" si="99"/>
        <v>0.97574911022905997</v>
      </c>
      <c r="G513" s="90">
        <f t="shared" ca="1" si="93"/>
        <v>0.98627444654011232</v>
      </c>
      <c r="T513" s="289">
        <f t="shared" ca="1" si="103"/>
        <v>1</v>
      </c>
      <c r="U513" s="290">
        <f t="shared" ca="1" si="103"/>
        <v>1.0084314103770311</v>
      </c>
      <c r="V513" s="290">
        <f t="shared" ca="1" si="103"/>
        <v>1.0164925190856167</v>
      </c>
      <c r="W513" s="290">
        <f t="shared" ca="1" si="103"/>
        <v>1.0241878679789254</v>
      </c>
      <c r="X513" s="290">
        <f t="shared" ca="1" si="103"/>
        <v>1.0315227133482667</v>
      </c>
      <c r="Y513" s="290">
        <f t="shared" ca="1" si="103"/>
        <v>1.0385029890882567</v>
      </c>
      <c r="Z513" s="290">
        <f t="shared" ca="1" si="103"/>
        <v>1.0451352694376657</v>
      </c>
      <c r="AA513" s="290">
        <f t="shared" ca="1" si="103"/>
        <v>1.0514267315023023</v>
      </c>
      <c r="AB513" s="290">
        <f t="shared" ca="1" si="103"/>
        <v>1.0573851177558227</v>
      </c>
      <c r="AC513" s="290">
        <f t="shared" ca="1" si="103"/>
        <v>1.0630186987023134</v>
      </c>
      <c r="AD513" s="290">
        <f t="shared" ca="1" si="103"/>
        <v>1.0683362358720523</v>
      </c>
    </row>
    <row r="514" spans="1:30">
      <c r="A514" s="90">
        <v>428</v>
      </c>
      <c r="B514" s="90">
        <f t="shared" si="95"/>
        <v>1.712</v>
      </c>
      <c r="C514" s="291">
        <f t="shared" ca="1" si="96"/>
        <v>-1.722860383574391E-2</v>
      </c>
      <c r="D514" s="292">
        <f t="shared" ca="1" si="97"/>
        <v>0.89215778942982238</v>
      </c>
      <c r="E514" s="291">
        <f t="shared" ca="1" si="98"/>
        <v>-1.6651977332197365E-2</v>
      </c>
      <c r="F514" s="293">
        <f t="shared" ca="1" si="99"/>
        <v>0.97568298057472302</v>
      </c>
      <c r="G514" s="90">
        <f t="shared" ca="1" si="93"/>
        <v>0.98620760354989356</v>
      </c>
      <c r="T514" s="289">
        <f t="shared" ca="1" si="103"/>
        <v>1</v>
      </c>
      <c r="U514" s="290">
        <f t="shared" ca="1" si="103"/>
        <v>1.008137519595544</v>
      </c>
      <c r="V514" s="290">
        <f t="shared" ca="1" si="103"/>
        <v>1.0159009862522699</v>
      </c>
      <c r="W514" s="290">
        <f t="shared" ca="1" si="103"/>
        <v>1.0232952798186397</v>
      </c>
      <c r="X514" s="290">
        <f t="shared" ca="1" si="103"/>
        <v>1.0303259863564294</v>
      </c>
      <c r="Y514" s="290">
        <f t="shared" ca="1" si="103"/>
        <v>1.0369993603856265</v>
      </c>
      <c r="Z514" s="290">
        <f t="shared" ca="1" si="103"/>
        <v>1.0433222867786216</v>
      </c>
      <c r="AA514" s="290">
        <f t="shared" ca="1" si="103"/>
        <v>1.0493022425096925</v>
      </c>
      <c r="AB514" s="290">
        <f t="shared" ca="1" si="103"/>
        <v>1.0549472584548683</v>
      </c>
      <c r="AC514" s="290">
        <f t="shared" ca="1" si="103"/>
        <v>1.0602658814248052</v>
      </c>
      <c r="AD514" s="290">
        <f t="shared" ca="1" si="103"/>
        <v>1.0652671366004907</v>
      </c>
    </row>
    <row r="515" spans="1:30">
      <c r="A515" s="90">
        <v>429</v>
      </c>
      <c r="B515" s="90">
        <f t="shared" si="95"/>
        <v>1.716</v>
      </c>
      <c r="C515" s="291">
        <f t="shared" ca="1" si="96"/>
        <v>-1.6644816192107385E-2</v>
      </c>
      <c r="D515" s="292">
        <f t="shared" ca="1" si="97"/>
        <v>-0.41624952166050483</v>
      </c>
      <c r="E515" s="291">
        <f t="shared" ca="1" si="98"/>
        <v>-1.6913849886731534E-2</v>
      </c>
      <c r="F515" s="293">
        <f t="shared" ca="1" si="99"/>
        <v>0.97561748356051625</v>
      </c>
      <c r="G515" s="90">
        <f t="shared" ca="1" si="93"/>
        <v>0.98614140002404904</v>
      </c>
      <c r="T515" s="289">
        <f t="shared" ca="1" si="103"/>
        <v>1</v>
      </c>
      <c r="U515" s="290">
        <f t="shared" ca="1" si="103"/>
        <v>1.0082693379937606</v>
      </c>
      <c r="V515" s="290">
        <f t="shared" ca="1" si="103"/>
        <v>1.0161662843386499</v>
      </c>
      <c r="W515" s="290">
        <f t="shared" ca="1" si="103"/>
        <v>1.0236955669959957</v>
      </c>
      <c r="X515" s="290">
        <f t="shared" ca="1" si="103"/>
        <v>1.0308626238789305</v>
      </c>
      <c r="Y515" s="290">
        <f t="shared" ca="1" si="103"/>
        <v>1.0376735655080949</v>
      </c>
      <c r="Z515" s="290">
        <f t="shared" ca="1" si="103"/>
        <v>1.0441351372834515</v>
      </c>
      <c r="AA515" s="290">
        <f t="shared" ca="1" si="103"/>
        <v>1.0502546815783853</v>
      </c>
      <c r="AB515" s="290">
        <f t="shared" ca="1" si="103"/>
        <v>1.0560400998515578</v>
      </c>
      <c r="AC515" s="290">
        <f t="shared" ca="1" si="103"/>
        <v>1.0614998149597112</v>
      </c>
      <c r="AD515" s="290">
        <f t="shared" ca="1" si="103"/>
        <v>1.0666427338419699</v>
      </c>
    </row>
    <row r="516" spans="1:30">
      <c r="A516" s="90">
        <v>430</v>
      </c>
      <c r="B516" s="90">
        <f t="shared" si="95"/>
        <v>1.72</v>
      </c>
      <c r="C516" s="291">
        <f t="shared" ca="1" si="96"/>
        <v>-1.6906682646620094E-2</v>
      </c>
      <c r="D516" s="292">
        <f t="shared" ca="1" si="97"/>
        <v>-0.11402570087251442</v>
      </c>
      <c r="E516" s="291">
        <f t="shared" ca="1" si="98"/>
        <v>-1.6980380642633314E-2</v>
      </c>
      <c r="F516" s="293">
        <f t="shared" ca="1" si="99"/>
        <v>0.97555135019428862</v>
      </c>
      <c r="G516" s="90">
        <f t="shared" ca="1" si="93"/>
        <v>0.98607455328189964</v>
      </c>
      <c r="T516" s="289">
        <f t="shared" ref="T516:AD525" ca="1" si="104">EXP(T$82-$E516*T$83)</f>
        <v>1</v>
      </c>
      <c r="U516" s="290">
        <f t="shared" ca="1" si="104"/>
        <v>1.0083028302269941</v>
      </c>
      <c r="V516" s="290">
        <f t="shared" ca="1" si="104"/>
        <v>1.0162336964134393</v>
      </c>
      <c r="W516" s="290">
        <f t="shared" ca="1" si="104"/>
        <v>1.0237972880029675</v>
      </c>
      <c r="X516" s="290">
        <f t="shared" ca="1" si="104"/>
        <v>1.0309990053280702</v>
      </c>
      <c r="Y516" s="290">
        <f t="shared" ca="1" si="104"/>
        <v>1.03784492237069</v>
      </c>
      <c r="Z516" s="290">
        <f t="shared" ca="1" si="104"/>
        <v>1.0443417491305345</v>
      </c>
      <c r="AA516" s="290">
        <f t="shared" ca="1" si="104"/>
        <v>1.0504967938073282</v>
      </c>
      <c r="AB516" s="290">
        <f t="shared" ca="1" si="104"/>
        <v>1.0563179249925607</v>
      </c>
      <c r="AC516" s="290">
        <f t="shared" ca="1" si="104"/>
        <v>1.06181353405407</v>
      </c>
      <c r="AD516" s="290">
        <f t="shared" ca="1" si="104"/>
        <v>1.066992497884182</v>
      </c>
    </row>
    <row r="517" spans="1:30">
      <c r="A517" s="90">
        <v>431</v>
      </c>
      <c r="B517" s="90">
        <f t="shared" si="95"/>
        <v>1.724</v>
      </c>
      <c r="C517" s="291">
        <f t="shared" ca="1" si="96"/>
        <v>-1.6973211852764056E-2</v>
      </c>
      <c r="D517" s="292">
        <f t="shared" ca="1" si="97"/>
        <v>0.47177227110291481</v>
      </c>
      <c r="E517" s="291">
        <f t="shared" ca="1" si="98"/>
        <v>-1.6668292254034614E-2</v>
      </c>
      <c r="F517" s="293">
        <f t="shared" ca="1" si="99"/>
        <v>0.97548570038678917</v>
      </c>
      <c r="G517" s="90">
        <f t="shared" ca="1" si="93"/>
        <v>0.98600819531459205</v>
      </c>
      <c r="T517" s="289">
        <f t="shared" ca="1" si="104"/>
        <v>1</v>
      </c>
      <c r="U517" s="290">
        <f t="shared" ca="1" si="104"/>
        <v>1.0081457315100666</v>
      </c>
      <c r="V517" s="290">
        <f t="shared" ca="1" si="104"/>
        <v>1.0159175125648094</v>
      </c>
      <c r="W517" s="290">
        <f t="shared" ca="1" si="104"/>
        <v>1.0233202135372186</v>
      </c>
      <c r="X517" s="290">
        <f t="shared" ca="1" si="104"/>
        <v>1.0303594112488472</v>
      </c>
      <c r="Y517" s="290">
        <f t="shared" ca="1" si="104"/>
        <v>1.0370413512402064</v>
      </c>
      <c r="Z517" s="290">
        <f t="shared" ca="1" si="104"/>
        <v>1.043372909688379</v>
      </c>
      <c r="AA517" s="290">
        <f t="shared" ca="1" si="104"/>
        <v>1.0493615551778639</v>
      </c>
      <c r="AB517" s="290">
        <f t="shared" ca="1" si="104"/>
        <v>1.0550153105197599</v>
      </c>
      <c r="AC517" s="290">
        <f t="shared" ca="1" si="104"/>
        <v>1.0603427148019624</v>
      </c>
      <c r="AD517" s="290">
        <f t="shared" ca="1" si="104"/>
        <v>1.0653527858402274</v>
      </c>
    </row>
    <row r="518" spans="1:30">
      <c r="A518" s="90">
        <v>432</v>
      </c>
      <c r="B518" s="90">
        <f t="shared" si="95"/>
        <v>1.728</v>
      </c>
      <c r="C518" s="291">
        <f t="shared" ca="1" si="96"/>
        <v>-1.6661130733907202E-2</v>
      </c>
      <c r="D518" s="292">
        <f t="shared" ca="1" si="97"/>
        <v>-0.58263022431044964</v>
      </c>
      <c r="E518" s="291">
        <f t="shared" ca="1" si="98"/>
        <v>-1.703770092483653E-2</v>
      </c>
      <c r="F518" s="293">
        <f t="shared" ca="1" si="99"/>
        <v>0.97541994317449965</v>
      </c>
      <c r="G518" s="90">
        <f t="shared" ca="1" si="93"/>
        <v>0.9859417287839265</v>
      </c>
      <c r="T518" s="289">
        <f t="shared" ca="1" si="104"/>
        <v>1</v>
      </c>
      <c r="U518" s="290">
        <f t="shared" ca="1" si="104"/>
        <v>1.0083316867098462</v>
      </c>
      <c r="V518" s="290">
        <f t="shared" ca="1" si="104"/>
        <v>1.0162917795915929</v>
      </c>
      <c r="W518" s="290">
        <f t="shared" ca="1" si="104"/>
        <v>1.0238849349267667</v>
      </c>
      <c r="X518" s="290">
        <f t="shared" ca="1" si="104"/>
        <v>1.0311165206889474</v>
      </c>
      <c r="Y518" s="290">
        <f t="shared" ca="1" si="104"/>
        <v>1.0379925793948961</v>
      </c>
      <c r="Z518" s="290">
        <f t="shared" ca="1" si="104"/>
        <v>1.0445197905561874</v>
      </c>
      <c r="AA518" s="290">
        <f t="shared" ca="1" si="104"/>
        <v>1.0507054329376058</v>
      </c>
      <c r="AB518" s="290">
        <f t="shared" ca="1" si="104"/>
        <v>1.0565573468179319</v>
      </c>
      <c r="AC518" s="290">
        <f t="shared" ca="1" si="104"/>
        <v>1.062083896436578</v>
      </c>
      <c r="AD518" s="290">
        <f t="shared" ca="1" si="104"/>
        <v>1.0672939327969522</v>
      </c>
    </row>
    <row r="519" spans="1:30">
      <c r="A519" s="90">
        <v>433</v>
      </c>
      <c r="B519" s="90">
        <f t="shared" si="95"/>
        <v>1.732</v>
      </c>
      <c r="C519" s="291">
        <f t="shared" ca="1" si="96"/>
        <v>-1.7030530799756898E-2</v>
      </c>
      <c r="D519" s="292">
        <f t="shared" ca="1" si="97"/>
        <v>1.0085633626043131</v>
      </c>
      <c r="E519" s="291">
        <f t="shared" ca="1" si="98"/>
        <v>-1.6378668122241802E-2</v>
      </c>
      <c r="F519" s="293">
        <f t="shared" ca="1" si="99"/>
        <v>0.97535475536726979</v>
      </c>
      <c r="G519" s="90">
        <f t="shared" ca="1" si="93"/>
        <v>0.98587583780045251</v>
      </c>
      <c r="T519" s="289">
        <f t="shared" ca="1" si="104"/>
        <v>1</v>
      </c>
      <c r="U519" s="290">
        <f t="shared" ca="1" si="104"/>
        <v>1.0079999627240332</v>
      </c>
      <c r="V519" s="290">
        <f t="shared" ca="1" si="104"/>
        <v>1.0156241757750666</v>
      </c>
      <c r="W519" s="290">
        <f t="shared" ca="1" si="104"/>
        <v>1.0228776779821585</v>
      </c>
      <c r="X519" s="290">
        <f t="shared" ca="1" si="104"/>
        <v>1.0297662104005656</v>
      </c>
      <c r="Y519" s="290">
        <f t="shared" ca="1" si="104"/>
        <v>1.0362961781314104</v>
      </c>
      <c r="Z519" s="290">
        <f t="shared" ca="1" si="104"/>
        <v>1.0424746118255559</v>
      </c>
      <c r="AA519" s="290">
        <f t="shared" ca="1" si="104"/>
        <v>1.0483091290774729</v>
      </c>
      <c r="AB519" s="290">
        <f t="shared" ca="1" si="104"/>
        <v>1.0538078959037498</v>
      </c>
      <c r="AC519" s="290">
        <f t="shared" ca="1" si="104"/>
        <v>1.05897958848826</v>
      </c>
      <c r="AD519" s="290">
        <f t="shared" ca="1" si="104"/>
        <v>1.0638333553630017</v>
      </c>
    </row>
    <row r="520" spans="1:30">
      <c r="A520" s="90">
        <v>434</v>
      </c>
      <c r="B520" s="90">
        <f t="shared" si="95"/>
        <v>1.736</v>
      </c>
      <c r="C520" s="291">
        <f t="shared" ca="1" si="96"/>
        <v>-1.6371513348577085E-2</v>
      </c>
      <c r="D520" s="292">
        <f t="shared" ca="1" si="97"/>
        <v>0.17190339181213304</v>
      </c>
      <c r="E520" s="291">
        <f t="shared" ca="1" si="98"/>
        <v>-1.6260407383978857E-2</v>
      </c>
      <c r="F520" s="293">
        <f t="shared" ca="1" si="99"/>
        <v>0.97529108809032194</v>
      </c>
      <c r="G520" s="90">
        <f t="shared" ca="1" si="93"/>
        <v>0.98581148374911265</v>
      </c>
      <c r="T520" s="289">
        <f t="shared" ca="1" si="104"/>
        <v>1</v>
      </c>
      <c r="U520" s="290">
        <f t="shared" ca="1" si="104"/>
        <v>1.0079404477626066</v>
      </c>
      <c r="V520" s="290">
        <f t="shared" ca="1" si="104"/>
        <v>1.0155044234206341</v>
      </c>
      <c r="W520" s="290">
        <f t="shared" ca="1" si="104"/>
        <v>1.0226970347357827</v>
      </c>
      <c r="X520" s="290">
        <f t="shared" ca="1" si="104"/>
        <v>1.0295240899436777</v>
      </c>
      <c r="Y520" s="290">
        <f t="shared" ca="1" si="104"/>
        <v>1.035992059390666</v>
      </c>
      <c r="Z520" s="290">
        <f t="shared" ca="1" si="104"/>
        <v>1.0421080368700191</v>
      </c>
      <c r="AA520" s="290">
        <f t="shared" ca="1" si="104"/>
        <v>1.047879700863219</v>
      </c>
      <c r="AB520" s="290">
        <f t="shared" ca="1" si="104"/>
        <v>1.0533152758807789</v>
      </c>
      <c r="AC520" s="290">
        <f t="shared" ca="1" si="104"/>
        <v>1.0584234940843347</v>
      </c>
      <c r="AD520" s="290">
        <f t="shared" ca="1" si="104"/>
        <v>1.0632135573586705</v>
      </c>
    </row>
    <row r="521" spans="1:30">
      <c r="A521" s="90">
        <v>435</v>
      </c>
      <c r="B521" s="90">
        <f t="shared" si="95"/>
        <v>1.74</v>
      </c>
      <c r="C521" s="291">
        <f t="shared" ca="1" si="96"/>
        <v>-1.6253255365062693E-2</v>
      </c>
      <c r="D521" s="292">
        <f t="shared" ca="1" si="97"/>
        <v>-0.54850388743169176</v>
      </c>
      <c r="E521" s="291">
        <f t="shared" ca="1" si="98"/>
        <v>-1.6607768751078816E-2</v>
      </c>
      <c r="F521" s="293">
        <f t="shared" ca="1" si="99"/>
        <v>0.97522697811899028</v>
      </c>
      <c r="G521" s="90">
        <f t="shared" ca="1" si="93"/>
        <v>0.98574668222807615</v>
      </c>
      <c r="T521" s="289">
        <f t="shared" ca="1" si="104"/>
        <v>1</v>
      </c>
      <c r="U521" s="290">
        <f t="shared" ca="1" si="104"/>
        <v>1.008115268088126</v>
      </c>
      <c r="V521" s="290">
        <f t="shared" ca="1" si="104"/>
        <v>1.0158562062164824</v>
      </c>
      <c r="W521" s="290">
        <f t="shared" ca="1" si="104"/>
        <v>1.0232277199176487</v>
      </c>
      <c r="X521" s="290">
        <f t="shared" ca="1" si="104"/>
        <v>1.0302354202985051</v>
      </c>
      <c r="Y521" s="290">
        <f t="shared" ca="1" si="104"/>
        <v>1.0368855862161013</v>
      </c>
      <c r="Z521" s="290">
        <f t="shared" ca="1" si="104"/>
        <v>1.0431851261084482</v>
      </c>
      <c r="AA521" s="290">
        <f t="shared" ca="1" si="104"/>
        <v>1.0491415396861998</v>
      </c>
      <c r="AB521" s="290">
        <f t="shared" ca="1" si="104"/>
        <v>1.0547628796802397</v>
      </c>
      <c r="AC521" s="290">
        <f t="shared" ca="1" si="104"/>
        <v>1.0600577138277123</v>
      </c>
      <c r="AD521" s="290">
        <f t="shared" ca="1" si="104"/>
        <v>1.06503508726618</v>
      </c>
    </row>
    <row r="522" spans="1:30">
      <c r="A522" s="90">
        <v>436</v>
      </c>
      <c r="B522" s="90">
        <f t="shared" si="95"/>
        <v>1.744</v>
      </c>
      <c r="C522" s="291">
        <f t="shared" ca="1" si="96"/>
        <v>-1.6600608640777139E-2</v>
      </c>
      <c r="D522" s="292">
        <f t="shared" ca="1" si="97"/>
        <v>0.57081657584605172</v>
      </c>
      <c r="E522" s="291">
        <f t="shared" ca="1" si="98"/>
        <v>-1.6231673940888591E-2</v>
      </c>
      <c r="F522" s="293">
        <f t="shared" ca="1" si="99"/>
        <v>0.97516292840145113</v>
      </c>
      <c r="G522" s="90">
        <f t="shared" ca="1" si="93"/>
        <v>0.98568194161078559</v>
      </c>
      <c r="T522" s="289">
        <f t="shared" ca="1" si="104"/>
        <v>1</v>
      </c>
      <c r="U522" s="290">
        <f t="shared" ca="1" si="104"/>
        <v>1.0079259881284792</v>
      </c>
      <c r="V522" s="290">
        <f t="shared" ca="1" si="104"/>
        <v>1.0154753296963948</v>
      </c>
      <c r="W522" s="290">
        <f t="shared" ca="1" si="104"/>
        <v>1.0226531492265061</v>
      </c>
      <c r="X522" s="290">
        <f t="shared" ca="1" si="104"/>
        <v>1.0294652712872849</v>
      </c>
      <c r="Y522" s="290">
        <f t="shared" ca="1" si="104"/>
        <v>1.0359181820853829</v>
      </c>
      <c r="Z522" s="290">
        <f t="shared" ca="1" si="104"/>
        <v>1.0420189907612092</v>
      </c>
      <c r="AA522" s="290">
        <f t="shared" ca="1" si="104"/>
        <v>1.0477753905932603</v>
      </c>
      <c r="AB522" s="290">
        <f t="shared" ca="1" si="104"/>
        <v>1.0531956203056145</v>
      </c>
      <c r="AC522" s="290">
        <f t="shared" ca="1" si="104"/>
        <v>1.0582884256602483</v>
      </c>
      <c r="AD522" s="290">
        <f t="shared" ca="1" si="104"/>
        <v>1.0630630215027574</v>
      </c>
    </row>
    <row r="523" spans="1:30">
      <c r="A523" s="90">
        <v>437</v>
      </c>
      <c r="B523" s="90">
        <f t="shared" si="95"/>
        <v>1.748</v>
      </c>
      <c r="C523" s="291">
        <f t="shared" ca="1" si="96"/>
        <v>-1.6224522591285102E-2</v>
      </c>
      <c r="D523" s="292">
        <f t="shared" ca="1" si="97"/>
        <v>0.2257749510888982</v>
      </c>
      <c r="E523" s="291">
        <f t="shared" ca="1" si="98"/>
        <v>-1.6078597932914988E-2</v>
      </c>
      <c r="F523" s="293">
        <f t="shared" ca="1" si="99"/>
        <v>0.97509991487878134</v>
      </c>
      <c r="G523" s="90">
        <f t="shared" ca="1" si="93"/>
        <v>0.98561824836572476</v>
      </c>
      <c r="T523" s="289">
        <f t="shared" ca="1" si="104"/>
        <v>1</v>
      </c>
      <c r="U523" s="290">
        <f t="shared" ca="1" si="104"/>
        <v>1.0078489586334116</v>
      </c>
      <c r="V523" s="290">
        <f t="shared" ca="1" si="104"/>
        <v>1.0153203483563646</v>
      </c>
      <c r="W523" s="290">
        <f t="shared" ca="1" si="104"/>
        <v>1.0224193830680293</v>
      </c>
      <c r="X523" s="290">
        <f t="shared" ca="1" si="104"/>
        <v>1.0291519744157271</v>
      </c>
      <c r="Y523" s="290">
        <f t="shared" ca="1" si="104"/>
        <v>1.0355246931519331</v>
      </c>
      <c r="Z523" s="290">
        <f t="shared" ca="1" si="104"/>
        <v>1.0415447302141527</v>
      </c>
      <c r="AA523" s="290">
        <f t="shared" ca="1" si="104"/>
        <v>1.0472198577331715</v>
      </c>
      <c r="AB523" s="290">
        <f t="shared" ca="1" si="104"/>
        <v>1.0525583901638134</v>
      </c>
      <c r="AC523" s="290">
        <f t="shared" ca="1" si="104"/>
        <v>1.057569145719502</v>
      </c>
      <c r="AD523" s="290">
        <f t="shared" ca="1" si="104"/>
        <v>1.0622614082787292</v>
      </c>
    </row>
    <row r="524" spans="1:30">
      <c r="A524" s="90">
        <v>438</v>
      </c>
      <c r="B524" s="90">
        <f t="shared" si="95"/>
        <v>1.752</v>
      </c>
      <c r="C524" s="291">
        <f t="shared" ca="1" si="96"/>
        <v>-1.6071450149041919E-2</v>
      </c>
      <c r="D524" s="292">
        <f t="shared" ca="1" si="97"/>
        <v>-0.91572329369423477</v>
      </c>
      <c r="E524" s="291">
        <f t="shared" ca="1" si="98"/>
        <v>-1.6663307696344731E-2</v>
      </c>
      <c r="F524" s="293">
        <f t="shared" ca="1" si="99"/>
        <v>0.97503606371062901</v>
      </c>
      <c r="G524" s="90">
        <f t="shared" ca="1" si="93"/>
        <v>0.98555370843955914</v>
      </c>
      <c r="T524" s="289">
        <f t="shared" ca="1" si="104"/>
        <v>1</v>
      </c>
      <c r="U524" s="290">
        <f t="shared" ca="1" si="104"/>
        <v>1.0081432225873841</v>
      </c>
      <c r="V524" s="290">
        <f t="shared" ca="1" si="104"/>
        <v>1.015912463394216</v>
      </c>
      <c r="W524" s="290">
        <f t="shared" ca="1" si="104"/>
        <v>1.0233125956882669</v>
      </c>
      <c r="X524" s="290">
        <f t="shared" ca="1" si="104"/>
        <v>1.0303491991140308</v>
      </c>
      <c r="Y524" s="290">
        <f t="shared" ca="1" si="104"/>
        <v>1.0370285219553277</v>
      </c>
      <c r="Z524" s="290">
        <f t="shared" ca="1" si="104"/>
        <v>1.0433574430457597</v>
      </c>
      <c r="AA524" s="290">
        <f t="shared" ca="1" si="104"/>
        <v>1.0493434335330278</v>
      </c>
      <c r="AB524" s="290">
        <f t="shared" ca="1" si="104"/>
        <v>1.0549945186922121</v>
      </c>
      <c r="AC524" s="290">
        <f t="shared" ca="1" si="104"/>
        <v>1.0603192399706738</v>
      </c>
      <c r="AD524" s="290">
        <f t="shared" ca="1" si="104"/>
        <v>1.0653266174344258</v>
      </c>
    </row>
    <row r="525" spans="1:30">
      <c r="A525" s="90">
        <v>439</v>
      </c>
      <c r="B525" s="90">
        <f t="shared" si="95"/>
        <v>1.756</v>
      </c>
      <c r="C525" s="291">
        <f t="shared" ca="1" si="96"/>
        <v>-1.6656146292326885E-2</v>
      </c>
      <c r="D525" s="292">
        <f t="shared" ca="1" si="97"/>
        <v>-0.31041114790739832</v>
      </c>
      <c r="E525" s="291">
        <f t="shared" ca="1" si="98"/>
        <v>-1.6856773689184684E-2</v>
      </c>
      <c r="F525" s="293">
        <f t="shared" ca="1" si="99"/>
        <v>0.97497069932525415</v>
      </c>
      <c r="G525" s="90">
        <f t="shared" ca="1" si="93"/>
        <v>0.98548763897320435</v>
      </c>
      <c r="T525" s="289">
        <f t="shared" ca="1" si="104"/>
        <v>1</v>
      </c>
      <c r="U525" s="290">
        <f t="shared" ca="1" si="104"/>
        <v>1.0082406061642606</v>
      </c>
      <c r="V525" s="290">
        <f t="shared" ca="1" si="104"/>
        <v>1.0161084556284965</v>
      </c>
      <c r="W525" s="290">
        <f t="shared" ca="1" si="104"/>
        <v>1.0236083094209754</v>
      </c>
      <c r="X525" s="290">
        <f t="shared" ca="1" si="104"/>
        <v>1.0307456377137652</v>
      </c>
      <c r="Y525" s="290">
        <f t="shared" ca="1" si="104"/>
        <v>1.0375265823886235</v>
      </c>
      <c r="Z525" s="290">
        <f t="shared" ca="1" si="104"/>
        <v>1.0439579192262056</v>
      </c>
      <c r="AA525" s="290">
        <f t="shared" ca="1" si="104"/>
        <v>1.0500470199247329</v>
      </c>
      <c r="AB525" s="290">
        <f t="shared" ca="1" si="104"/>
        <v>1.0558018141435088</v>
      </c>
      <c r="AC525" s="290">
        <f t="shared" ca="1" si="104"/>
        <v>1.0612307517543595</v>
      </c>
      <c r="AD525" s="290">
        <f t="shared" ca="1" si="104"/>
        <v>1.0663427654713855</v>
      </c>
    </row>
    <row r="526" spans="1:30">
      <c r="A526" s="90">
        <v>440</v>
      </c>
      <c r="B526" s="90">
        <f t="shared" si="95"/>
        <v>1.76</v>
      </c>
      <c r="C526" s="291">
        <f t="shared" ca="1" si="96"/>
        <v>-1.6849607778597946E-2</v>
      </c>
      <c r="D526" s="292">
        <f t="shared" ca="1" si="97"/>
        <v>0.75319530972136062</v>
      </c>
      <c r="E526" s="291">
        <f t="shared" ca="1" si="98"/>
        <v>-1.6362796607885807E-2</v>
      </c>
      <c r="F526" s="293">
        <f t="shared" ca="1" si="99"/>
        <v>0.97490592526167685</v>
      </c>
      <c r="G526" s="90">
        <f t="shared" ca="1" si="93"/>
        <v>0.98542216619640643</v>
      </c>
      <c r="T526" s="289">
        <f t="shared" ref="T526:AD535" ca="1" si="105">EXP(T$82-$E526*T$83)</f>
        <v>1</v>
      </c>
      <c r="U526" s="290">
        <f t="shared" ca="1" si="105"/>
        <v>1.0079919751474073</v>
      </c>
      <c r="V526" s="290">
        <f t="shared" ca="1" si="105"/>
        <v>1.0156081032537703</v>
      </c>
      <c r="W526" s="290">
        <f t="shared" ca="1" si="105"/>
        <v>1.0228534323945282</v>
      </c>
      <c r="X526" s="290">
        <f t="shared" ca="1" si="105"/>
        <v>1.0297337126371005</v>
      </c>
      <c r="Y526" s="290">
        <f t="shared" ca="1" si="105"/>
        <v>1.0362553578359697</v>
      </c>
      <c r="Z526" s="290">
        <f t="shared" ca="1" si="105"/>
        <v>1.0424254071140129</v>
      </c>
      <c r="AA526" s="290">
        <f t="shared" ca="1" si="105"/>
        <v>1.0482514862358434</v>
      </c>
      <c r="AB526" s="290">
        <f t="shared" ca="1" si="105"/>
        <v>1.0537417690677957</v>
      </c>
      <c r="AC526" s="290">
        <f t="shared" ca="1" si="105"/>
        <v>1.0589049393065235</v>
      </c>
      <c r="AD526" s="290">
        <f t="shared" ca="1" si="105"/>
        <v>1.0637501526451856</v>
      </c>
    </row>
    <row r="527" spans="1:30">
      <c r="A527" s="90">
        <v>441</v>
      </c>
      <c r="B527" s="90">
        <f t="shared" si="95"/>
        <v>1.764</v>
      </c>
      <c r="C527" s="291">
        <f t="shared" ca="1" si="96"/>
        <v>-1.6355642203929852E-2</v>
      </c>
      <c r="D527" s="292">
        <f t="shared" ca="1" si="97"/>
        <v>-0.69512052382025402</v>
      </c>
      <c r="E527" s="291">
        <f t="shared" ca="1" si="98"/>
        <v>-1.6804918018077129E-2</v>
      </c>
      <c r="F527" s="293">
        <f t="shared" ca="1" si="99"/>
        <v>0.97484125660357968</v>
      </c>
      <c r="G527" s="90">
        <f t="shared" ca="1" si="93"/>
        <v>0.98535679996209002</v>
      </c>
      <c r="T527" s="289">
        <f t="shared" ca="1" si="105"/>
        <v>1</v>
      </c>
      <c r="U527" s="290">
        <f t="shared" ca="1" si="105"/>
        <v>1.0082145030275793</v>
      </c>
      <c r="V527" s="290">
        <f t="shared" ca="1" si="105"/>
        <v>1.0160559191272469</v>
      </c>
      <c r="W527" s="290">
        <f t="shared" ca="1" si="105"/>
        <v>1.0235290393879355</v>
      </c>
      <c r="X527" s="290">
        <f t="shared" ca="1" si="105"/>
        <v>1.0306393633049884</v>
      </c>
      <c r="Y527" s="290">
        <f t="shared" ca="1" si="105"/>
        <v>1.0373930612645796</v>
      </c>
      <c r="Z527" s="290">
        <f t="shared" ca="1" si="105"/>
        <v>1.0437969366580186</v>
      </c>
      <c r="AA527" s="290">
        <f t="shared" ca="1" si="105"/>
        <v>1.0498583878320411</v>
      </c>
      <c r="AB527" s="290">
        <f t="shared" ca="1" si="105"/>
        <v>1.0555853700704005</v>
      </c>
      <c r="AC527" s="290">
        <f t="shared" ca="1" si="105"/>
        <v>1.0609863577897274</v>
      </c>
      <c r="AD527" s="290">
        <f t="shared" ca="1" si="105"/>
        <v>1.0660703071198985</v>
      </c>
    </row>
    <row r="528" spans="1:30">
      <c r="A528" s="90">
        <v>442</v>
      </c>
      <c r="B528" s="90">
        <f t="shared" si="95"/>
        <v>1.768</v>
      </c>
      <c r="C528" s="291">
        <f t="shared" ca="1" si="96"/>
        <v>-1.6797753315408902E-2</v>
      </c>
      <c r="D528" s="292">
        <f t="shared" ca="1" si="97"/>
        <v>0.32072852668501289</v>
      </c>
      <c r="E528" s="291">
        <f t="shared" ca="1" si="98"/>
        <v>-1.6590457508410223E-2</v>
      </c>
      <c r="F528" s="293">
        <f t="shared" ca="1" si="99"/>
        <v>0.9747761483982309</v>
      </c>
      <c r="G528" s="90">
        <f t="shared" ca="1" si="93"/>
        <v>0.98529098943915705</v>
      </c>
      <c r="T528" s="289">
        <f t="shared" ca="1" si="105"/>
        <v>1</v>
      </c>
      <c r="U528" s="290">
        <f t="shared" ca="1" si="105"/>
        <v>1.0081065549532735</v>
      </c>
      <c r="V528" s="290">
        <f t="shared" ca="1" si="105"/>
        <v>1.0158386717407946</v>
      </c>
      <c r="W528" s="290">
        <f t="shared" ca="1" si="105"/>
        <v>1.0232012659558953</v>
      </c>
      <c r="X528" s="290">
        <f t="shared" ca="1" si="105"/>
        <v>1.0301999585153592</v>
      </c>
      <c r="Y528" s="290">
        <f t="shared" ca="1" si="105"/>
        <v>1.0368410378082882</v>
      </c>
      <c r="Z528" s="290">
        <f t="shared" ca="1" si="105"/>
        <v>1.0431314215020964</v>
      </c>
      <c r="AA528" s="290">
        <f t="shared" ca="1" si="105"/>
        <v>1.0490786182115843</v>
      </c>
      <c r="AB528" s="290">
        <f t="shared" ca="1" si="105"/>
        <v>1.0546906892260888</v>
      </c>
      <c r="AC528" s="290">
        <f t="shared" ca="1" si="105"/>
        <v>1.0599762104771997</v>
      </c>
      <c r="AD528" s="290">
        <f t="shared" ca="1" si="105"/>
        <v>1.0649442349166853</v>
      </c>
    </row>
    <row r="529" spans="1:30">
      <c r="A529" s="90">
        <v>443</v>
      </c>
      <c r="B529" s="90">
        <f t="shared" si="95"/>
        <v>1.772</v>
      </c>
      <c r="C529" s="291">
        <f t="shared" ca="1" si="96"/>
        <v>-1.6583297801354133E-2</v>
      </c>
      <c r="D529" s="292">
        <f t="shared" ca="1" si="97"/>
        <v>0.62384456065782867</v>
      </c>
      <c r="E529" s="291">
        <f t="shared" ca="1" si="98"/>
        <v>-1.6180089633437384E-2</v>
      </c>
      <c r="F529" s="293">
        <f t="shared" ca="1" si="99"/>
        <v>0.97471226259637878</v>
      </c>
      <c r="G529" s="90">
        <f t="shared" ca="1" si="93"/>
        <v>0.98522641450570037</v>
      </c>
      <c r="T529" s="289">
        <f t="shared" ca="1" si="105"/>
        <v>1</v>
      </c>
      <c r="U529" s="290">
        <f t="shared" ca="1" si="105"/>
        <v>1.0079000296919978</v>
      </c>
      <c r="V529" s="290">
        <f t="shared" ca="1" si="105"/>
        <v>1.0154231006781669</v>
      </c>
      <c r="W529" s="290">
        <f t="shared" ca="1" si="105"/>
        <v>1.0225743675842682</v>
      </c>
      <c r="X529" s="290">
        <f t="shared" ca="1" si="105"/>
        <v>1.0293596843105941</v>
      </c>
      <c r="Y529" s="290">
        <f t="shared" ca="1" si="105"/>
        <v>1.0357855655449566</v>
      </c>
      <c r="Z529" s="290">
        <f t="shared" ca="1" si="105"/>
        <v>1.04185914798544</v>
      </c>
      <c r="AA529" s="290">
        <f t="shared" ca="1" si="105"/>
        <v>1.0475881514785046</v>
      </c>
      <c r="AB529" s="290">
        <f t="shared" ca="1" si="105"/>
        <v>1.0529808402667693</v>
      </c>
      <c r="AC529" s="290">
        <f t="shared" ca="1" si="105"/>
        <v>1.0580459845280055</v>
      </c>
      <c r="AD529" s="290">
        <f t="shared" ca="1" si="105"/>
        <v>1.0627928223737644</v>
      </c>
    </row>
    <row r="530" spans="1:30">
      <c r="A530" s="90">
        <v>444</v>
      </c>
      <c r="B530" s="90">
        <f t="shared" si="95"/>
        <v>1.776</v>
      </c>
      <c r="C530" s="291">
        <f t="shared" ca="1" si="96"/>
        <v>-1.6172939485431304E-2</v>
      </c>
      <c r="D530" s="292">
        <f t="shared" ca="1" si="97"/>
        <v>2.0684395288811595</v>
      </c>
      <c r="E530" s="291">
        <f t="shared" ca="1" si="98"/>
        <v>-1.4836049231860271E-2</v>
      </c>
      <c r="F530" s="293">
        <f t="shared" ca="1" si="99"/>
        <v>0.97465180084990732</v>
      </c>
      <c r="G530" s="90">
        <f t="shared" ref="G530:G586" ca="1" si="106">G529*EXP($B$81*(E529+E530)/2)</f>
        <v>0.98516530056266638</v>
      </c>
      <c r="T530" s="289">
        <f t="shared" ca="1" si="105"/>
        <v>1</v>
      </c>
      <c r="U530" s="290">
        <f t="shared" ca="1" si="105"/>
        <v>1.0072239125443798</v>
      </c>
      <c r="V530" s="290">
        <f t="shared" ca="1" si="105"/>
        <v>1.0140632086157209</v>
      </c>
      <c r="W530" s="290">
        <f t="shared" ca="1" si="105"/>
        <v>1.0205238324381043</v>
      </c>
      <c r="X530" s="290">
        <f t="shared" ca="1" si="105"/>
        <v>1.0266124063180255</v>
      </c>
      <c r="Y530" s="290">
        <f t="shared" ca="1" si="105"/>
        <v>1.0323361901340462</v>
      </c>
      <c r="Z530" s="290">
        <f t="shared" ca="1" si="105"/>
        <v>1.0377030407129852</v>
      </c>
      <c r="AA530" s="290">
        <f t="shared" ca="1" si="105"/>
        <v>1.0427213712965004</v>
      </c>
      <c r="AB530" s="290">
        <f t="shared" ca="1" si="105"/>
        <v>1.0474001112896187</v>
      </c>
      <c r="AC530" s="290">
        <f t="shared" ca="1" si="105"/>
        <v>1.0517486664690772</v>
      </c>
      <c r="AD530" s="290">
        <f t="shared" ca="1" si="105"/>
        <v>1.0557768798153881</v>
      </c>
    </row>
    <row r="531" spans="1:30">
      <c r="A531" s="90">
        <v>445</v>
      </c>
      <c r="B531" s="90">
        <f t="shared" si="95"/>
        <v>1.78</v>
      </c>
      <c r="C531" s="291">
        <f t="shared" ca="1" si="96"/>
        <v>-1.4828930391737173E-2</v>
      </c>
      <c r="D531" s="292">
        <f t="shared" ca="1" si="97"/>
        <v>0.56704367891759955</v>
      </c>
      <c r="E531" s="291">
        <f t="shared" ca="1" si="98"/>
        <v>-1.4462434220537015E-2</v>
      </c>
      <c r="F531" s="293">
        <f t="shared" ca="1" si="99"/>
        <v>0.97459469088384099</v>
      </c>
      <c r="G531" s="90">
        <f t="shared" ca="1" si="106"/>
        <v>0.9851075745554545</v>
      </c>
      <c r="T531" s="289">
        <f t="shared" ca="1" si="105"/>
        <v>1</v>
      </c>
      <c r="U531" s="290">
        <f t="shared" ca="1" si="105"/>
        <v>1.0070360467488884</v>
      </c>
      <c r="V531" s="290">
        <f t="shared" ca="1" si="105"/>
        <v>1.0136855107748231</v>
      </c>
      <c r="W531" s="290">
        <f t="shared" ca="1" si="105"/>
        <v>1.0199545574484934</v>
      </c>
      <c r="X531" s="290">
        <f t="shared" ca="1" si="105"/>
        <v>1.0258500239553729</v>
      </c>
      <c r="Y531" s="290">
        <f t="shared" ca="1" si="105"/>
        <v>1.0313793782397036</v>
      </c>
      <c r="Z531" s="290">
        <f t="shared" ca="1" si="105"/>
        <v>1.0365506778853149</v>
      </c>
      <c r="AA531" s="290">
        <f t="shared" ca="1" si="105"/>
        <v>1.0413725291364841</v>
      </c>
      <c r="AB531" s="290">
        <f t="shared" ca="1" si="105"/>
        <v>1.0458540462494779</v>
      </c>
      <c r="AC531" s="290">
        <f t="shared" ca="1" si="105"/>
        <v>1.0500048113514653</v>
      </c>
      <c r="AD531" s="290">
        <f t="shared" ca="1" si="105"/>
        <v>1.0538348349693207</v>
      </c>
    </row>
    <row r="532" spans="1:30">
      <c r="A532" s="90">
        <v>446</v>
      </c>
      <c r="B532" s="90">
        <f t="shared" si="95"/>
        <v>1.784</v>
      </c>
      <c r="C532" s="291">
        <f t="shared" ca="1" si="96"/>
        <v>-1.4455324083348027E-2</v>
      </c>
      <c r="D532" s="292">
        <f t="shared" ca="1" si="97"/>
        <v>0.30777337635624213</v>
      </c>
      <c r="E532" s="291">
        <f t="shared" ca="1" si="98"/>
        <v>-1.4256401551935241E-2</v>
      </c>
      <c r="F532" s="293">
        <f t="shared" ca="1" si="99"/>
        <v>0.97453871404170167</v>
      </c>
      <c r="G532" s="90">
        <f t="shared" ca="1" si="106"/>
        <v>0.98505099389509698</v>
      </c>
      <c r="T532" s="289">
        <f t="shared" ca="1" si="105"/>
        <v>1</v>
      </c>
      <c r="U532" s="290">
        <f t="shared" ca="1" si="105"/>
        <v>1.0069324618031459</v>
      </c>
      <c r="V532" s="290">
        <f t="shared" ca="1" si="105"/>
        <v>1.013477286783099</v>
      </c>
      <c r="W532" s="290">
        <f t="shared" ca="1" si="105"/>
        <v>1.0196407625422896</v>
      </c>
      <c r="X532" s="290">
        <f t="shared" ca="1" si="105"/>
        <v>1.0254298449713855</v>
      </c>
      <c r="Y532" s="290">
        <f t="shared" ca="1" si="105"/>
        <v>1.030852116895594</v>
      </c>
      <c r="Z532" s="290">
        <f t="shared" ca="1" si="105"/>
        <v>1.0359157466857418</v>
      </c>
      <c r="AA532" s="290">
        <f t="shared" ca="1" si="105"/>
        <v>1.0406294470369548</v>
      </c>
      <c r="AB532" s="290">
        <f t="shared" ca="1" si="105"/>
        <v>1.0450024341050419</v>
      </c>
      <c r="AC532" s="290">
        <f t="shared" ca="1" si="105"/>
        <v>1.0490443871765978</v>
      </c>
      <c r="AD532" s="290">
        <f t="shared" ca="1" si="105"/>
        <v>1.0527654090345508</v>
      </c>
    </row>
    <row r="533" spans="1:30">
      <c r="A533" s="90">
        <v>447</v>
      </c>
      <c r="B533" s="90">
        <f t="shared" si="95"/>
        <v>1.788</v>
      </c>
      <c r="C533" s="291">
        <f t="shared" ca="1" si="96"/>
        <v>-1.4249296214041475E-2</v>
      </c>
      <c r="D533" s="292">
        <f t="shared" ca="1" si="97"/>
        <v>-0.14043666361365734</v>
      </c>
      <c r="E533" s="291">
        <f t="shared" ca="1" si="98"/>
        <v>-1.4340064353118128E-2</v>
      </c>
      <c r="F533" s="293">
        <f t="shared" ca="1" si="99"/>
        <v>0.97448297890932623</v>
      </c>
      <c r="G533" s="90">
        <f t="shared" ca="1" si="106"/>
        <v>0.98499465755180937</v>
      </c>
      <c r="T533" s="289">
        <f t="shared" ca="1" si="105"/>
        <v>1</v>
      </c>
      <c r="U533" s="290">
        <f t="shared" ca="1" si="105"/>
        <v>1.0069745228124305</v>
      </c>
      <c r="V533" s="290">
        <f t="shared" ca="1" si="105"/>
        <v>1.0135618342471753</v>
      </c>
      <c r="W533" s="290">
        <f t="shared" ca="1" si="105"/>
        <v>1.0197681722492824</v>
      </c>
      <c r="X533" s="290">
        <f t="shared" ca="1" si="105"/>
        <v>1.0256004444900699</v>
      </c>
      <c r="Y533" s="290">
        <f t="shared" ca="1" si="105"/>
        <v>1.031066187134025</v>
      </c>
      <c r="Z533" s="290">
        <f t="shared" ca="1" si="105"/>
        <v>1.0361735235591198</v>
      </c>
      <c r="AA533" s="290">
        <f t="shared" ca="1" si="105"/>
        <v>1.0409311232335203</v>
      </c>
      <c r="AB533" s="290">
        <f t="shared" ca="1" si="105"/>
        <v>1.0453481609390134</v>
      </c>
      <c r="AC533" s="290">
        <f t="shared" ca="1" si="105"/>
        <v>1.0494342765174445</v>
      </c>
      <c r="AD533" s="290">
        <f t="shared" ca="1" si="105"/>
        <v>1.0531995353022157</v>
      </c>
    </row>
    <row r="534" spans="1:30">
      <c r="A534" s="90">
        <v>448</v>
      </c>
      <c r="B534" s="90">
        <f t="shared" si="95"/>
        <v>1.792</v>
      </c>
      <c r="C534" s="291">
        <f t="shared" ca="1" si="96"/>
        <v>-1.4332957066395157E-2</v>
      </c>
      <c r="D534" s="292">
        <f t="shared" ca="1" si="97"/>
        <v>0.25919847595594753</v>
      </c>
      <c r="E534" s="291">
        <f t="shared" ca="1" si="98"/>
        <v>-1.4165429850149484E-2</v>
      </c>
      <c r="F534" s="293">
        <f t="shared" ca="1" si="99"/>
        <v>0.97442742425514117</v>
      </c>
      <c r="G534" s="90">
        <f t="shared" ca="1" si="106"/>
        <v>0.98493850363351765</v>
      </c>
      <c r="T534" s="289">
        <f t="shared" ca="1" si="105"/>
        <v>1</v>
      </c>
      <c r="U534" s="290">
        <f t="shared" ca="1" si="105"/>
        <v>1.0068867282784213</v>
      </c>
      <c r="V534" s="290">
        <f t="shared" ca="1" si="105"/>
        <v>1.0133853611367307</v>
      </c>
      <c r="W534" s="290">
        <f t="shared" ca="1" si="105"/>
        <v>1.0195022402083815</v>
      </c>
      <c r="X534" s="290">
        <f t="shared" ca="1" si="105"/>
        <v>1.0252443738420598</v>
      </c>
      <c r="Y534" s="290">
        <f t="shared" ca="1" si="105"/>
        <v>1.030619395617286</v>
      </c>
      <c r="Z534" s="290">
        <f t="shared" ca="1" si="105"/>
        <v>1.0356355228371805</v>
      </c>
      <c r="AA534" s="290">
        <f t="shared" ca="1" si="105"/>
        <v>1.040301515201036</v>
      </c>
      <c r="AB534" s="290">
        <f t="shared" ca="1" si="105"/>
        <v>1.0446266338465582</v>
      </c>
      <c r="AC534" s="290">
        <f t="shared" ca="1" si="105"/>
        <v>1.0486206009374874</v>
      </c>
      <c r="AD534" s="290">
        <f t="shared" ca="1" si="105"/>
        <v>1.0522935599579673</v>
      </c>
    </row>
    <row r="535" spans="1:30">
      <c r="A535" s="90">
        <v>449</v>
      </c>
      <c r="B535" s="90">
        <f t="shared" ref="B535:B586" si="107">A535*$B$81</f>
        <v>1.796</v>
      </c>
      <c r="C535" s="291">
        <f t="shared" ca="1" si="96"/>
        <v>-1.4158326631337401E-2</v>
      </c>
      <c r="D535" s="292">
        <f t="shared" ca="1" si="97"/>
        <v>-0.5625823131255856</v>
      </c>
      <c r="E535" s="291">
        <f t="shared" ca="1" si="98"/>
        <v>-1.4521939297188874E-2</v>
      </c>
      <c r="F535" s="293">
        <f t="shared" ca="1" si="99"/>
        <v>0.97437151834049629</v>
      </c>
      <c r="G535" s="90">
        <f t="shared" ca="1" si="106"/>
        <v>0.98488199466574444</v>
      </c>
      <c r="T535" s="289">
        <f t="shared" ca="1" si="105"/>
        <v>1</v>
      </c>
      <c r="U535" s="290">
        <f t="shared" ca="1" si="105"/>
        <v>1.0070659654932141</v>
      </c>
      <c r="V535" s="290">
        <f t="shared" ca="1" si="105"/>
        <v>1.0137456566974947</v>
      </c>
      <c r="W535" s="290">
        <f t="shared" ca="1" si="105"/>
        <v>1.0200452037175851</v>
      </c>
      <c r="X535" s="290">
        <f t="shared" ca="1" si="105"/>
        <v>1.025971409482237</v>
      </c>
      <c r="Y535" s="290">
        <f t="shared" ca="1" si="105"/>
        <v>1.031531708774597</v>
      </c>
      <c r="Z535" s="290">
        <f t="shared" ca="1" si="105"/>
        <v>1.0367341271913888</v>
      </c>
      <c r="AA535" s="290">
        <f t="shared" ca="1" si="105"/>
        <v>1.0415872402341979</v>
      </c>
      <c r="AB535" s="290">
        <f t="shared" ca="1" si="105"/>
        <v>1.0461001327236537</v>
      </c>
      <c r="AC535" s="290">
        <f t="shared" ca="1" si="105"/>
        <v>1.0502823587133894</v>
      </c>
      <c r="AD535" s="290">
        <f t="shared" ca="1" si="105"/>
        <v>1.0541439020665233</v>
      </c>
    </row>
    <row r="536" spans="1:30">
      <c r="A536" s="90">
        <v>450</v>
      </c>
      <c r="B536" s="90">
        <f t="shared" si="107"/>
        <v>1.8</v>
      </c>
      <c r="C536" s="291">
        <f t="shared" ref="C536:C586" ca="1" si="108">E535*EXP(-$B$78*$B$81)+$B$77*(1-EXP(-$B$78*$B$81))</f>
        <v>-1.4514827773897223E-2</v>
      </c>
      <c r="D536" s="292">
        <f t="shared" ref="D536:D586" ca="1" si="109">NORMSINV(RAND())</f>
        <v>0.36583539465802623</v>
      </c>
      <c r="E536" s="291">
        <f t="shared" ref="E536:E586" ca="1" si="110">C536+($B$82^0.5)*D536</f>
        <v>-1.4278378137975705E-2</v>
      </c>
      <c r="F536" s="293">
        <f t="shared" ref="F536:F586" ca="1" si="111">F535*EXP($B$81*(E535+E536)/2)</f>
        <v>0.97431539553881041</v>
      </c>
      <c r="G536" s="90">
        <f t="shared" ca="1" si="106"/>
        <v>0.98482526647138513</v>
      </c>
      <c r="T536" s="289">
        <f t="shared" ref="T536:AD545" ca="1" si="112">EXP(T$82-$E536*T$83)</f>
        <v>1</v>
      </c>
      <c r="U536" s="290">
        <f t="shared" ca="1" si="112"/>
        <v>1.006943510239753</v>
      </c>
      <c r="V536" s="290">
        <f t="shared" ca="1" si="112"/>
        <v>1.0134994950698279</v>
      </c>
      <c r="W536" s="290">
        <f t="shared" ca="1" si="112"/>
        <v>1.0196742290455802</v>
      </c>
      <c r="X536" s="290">
        <f t="shared" ca="1" si="112"/>
        <v>1.0254746553891436</v>
      </c>
      <c r="Y536" s="290">
        <f t="shared" ca="1" si="112"/>
        <v>1.0309083446673735</v>
      </c>
      <c r="Z536" s="290">
        <f t="shared" ca="1" si="112"/>
        <v>1.0359834534315806</v>
      </c>
      <c r="AA536" s="290">
        <f t="shared" ca="1" si="112"/>
        <v>1.0407086830219214</v>
      </c>
      <c r="AB536" s="290">
        <f t="shared" ca="1" si="112"/>
        <v>1.0450932387266014</v>
      </c>
      <c r="AC536" s="290">
        <f t="shared" ca="1" si="112"/>
        <v>1.0491467894719873</v>
      </c>
      <c r="AD536" s="290">
        <f t="shared" ca="1" si="112"/>
        <v>1.0528794282054312</v>
      </c>
    </row>
    <row r="537" spans="1:30">
      <c r="A537" s="90">
        <v>451</v>
      </c>
      <c r="B537" s="90">
        <f t="shared" si="107"/>
        <v>1.804</v>
      </c>
      <c r="C537" s="291">
        <f t="shared" ca="1" si="108"/>
        <v>-1.427127228816252E-2</v>
      </c>
      <c r="D537" s="292">
        <f t="shared" ca="1" si="109"/>
        <v>0.8123248469532427</v>
      </c>
      <c r="E537" s="291">
        <f t="shared" ca="1" si="110"/>
        <v>-1.3746244045633817E-2</v>
      </c>
      <c r="F537" s="293">
        <f t="shared" ca="1" si="111"/>
        <v>0.97426078742750111</v>
      </c>
      <c r="G537" s="90">
        <f t="shared" ca="1" si="106"/>
        <v>0.98477006930625988</v>
      </c>
      <c r="T537" s="289">
        <f t="shared" ca="1" si="112"/>
        <v>1</v>
      </c>
      <c r="U537" s="290">
        <f t="shared" ca="1" si="112"/>
        <v>1.0066760209630006</v>
      </c>
      <c r="V537" s="290">
        <f t="shared" ca="1" si="112"/>
        <v>1.0129618873952837</v>
      </c>
      <c r="W537" s="290">
        <f t="shared" ca="1" si="112"/>
        <v>1.0188641903601032</v>
      </c>
      <c r="X537" s="290">
        <f t="shared" ca="1" si="112"/>
        <v>1.0243901802618989</v>
      </c>
      <c r="Y537" s="290">
        <f t="shared" ca="1" si="112"/>
        <v>1.029547724765574</v>
      </c>
      <c r="Z537" s="290">
        <f t="shared" ca="1" si="112"/>
        <v>1.034345266750367</v>
      </c>
      <c r="AA537" s="290">
        <f t="shared" ca="1" si="112"/>
        <v>1.0387917825000865</v>
      </c>
      <c r="AB537" s="290">
        <f t="shared" ca="1" si="112"/>
        <v>1.0428967403184053</v>
      </c>
      <c r="AC537" s="290">
        <f t="shared" ca="1" si="112"/>
        <v>1.0466700597434688</v>
      </c>
      <c r="AD537" s="290">
        <f t="shared" ca="1" si="112"/>
        <v>1.0501220715214987</v>
      </c>
    </row>
    <row r="538" spans="1:30">
      <c r="A538" s="90">
        <v>452</v>
      </c>
      <c r="B538" s="90">
        <f t="shared" si="107"/>
        <v>1.8080000000000001</v>
      </c>
      <c r="C538" s="291">
        <f t="shared" ca="1" si="108"/>
        <v>-1.3739150591275319E-2</v>
      </c>
      <c r="D538" s="292">
        <f t="shared" ca="1" si="109"/>
        <v>-1.2796255991651728</v>
      </c>
      <c r="E538" s="291">
        <f t="shared" ca="1" si="110"/>
        <v>-1.4566208364953266E-2</v>
      </c>
      <c r="F538" s="293">
        <f t="shared" ca="1" si="111"/>
        <v>0.97420562156503754</v>
      </c>
      <c r="G538" s="90">
        <f t="shared" ca="1" si="106"/>
        <v>0.98471430837355822</v>
      </c>
      <c r="T538" s="289">
        <f t="shared" ca="1" si="112"/>
        <v>1</v>
      </c>
      <c r="U538" s="290">
        <f t="shared" ca="1" si="112"/>
        <v>1.0070882242534163</v>
      </c>
      <c r="V538" s="290">
        <f t="shared" ca="1" si="112"/>
        <v>1.0137904048405597</v>
      </c>
      <c r="W538" s="290">
        <f t="shared" ca="1" si="112"/>
        <v>1.0201126456406413</v>
      </c>
      <c r="X538" s="290">
        <f t="shared" ca="1" si="112"/>
        <v>1.0260617241049936</v>
      </c>
      <c r="Y538" s="290">
        <f t="shared" ca="1" si="112"/>
        <v>1.0316450503518657</v>
      </c>
      <c r="Z538" s="290">
        <f t="shared" ca="1" si="112"/>
        <v>1.0368706261840326</v>
      </c>
      <c r="AA538" s="290">
        <f t="shared" ca="1" si="112"/>
        <v>1.0417470042326129</v>
      </c>
      <c r="AB538" s="290">
        <f t="shared" ca="1" si="112"/>
        <v>1.0462832474179984</v>
      </c>
      <c r="AC538" s="290">
        <f t="shared" ca="1" si="112"/>
        <v>1.0504888889049142</v>
      </c>
      <c r="AD538" s="290">
        <f t="shared" ca="1" si="112"/>
        <v>1.0543738927145248</v>
      </c>
    </row>
    <row r="539" spans="1:30">
      <c r="A539" s="90">
        <v>453</v>
      </c>
      <c r="B539" s="90">
        <f t="shared" si="107"/>
        <v>1.8120000000000001</v>
      </c>
      <c r="C539" s="291">
        <f t="shared" ca="1" si="108"/>
        <v>-1.4559095810464346E-2</v>
      </c>
      <c r="D539" s="292">
        <f t="shared" ca="1" si="109"/>
        <v>3.0848157956817581</v>
      </c>
      <c r="E539" s="291">
        <f t="shared" ca="1" si="110"/>
        <v>-1.2565293181126827E-2</v>
      </c>
      <c r="F539" s="293">
        <f t="shared" ca="1" si="111"/>
        <v>0.97415275967661752</v>
      </c>
      <c r="G539" s="90">
        <f t="shared" ca="1" si="106"/>
        <v>0.98466087626770438</v>
      </c>
      <c r="T539" s="289">
        <f t="shared" ca="1" si="112"/>
        <v>1</v>
      </c>
      <c r="U539" s="290">
        <f t="shared" ca="1" si="112"/>
        <v>1.0060826430172105</v>
      </c>
      <c r="V539" s="290">
        <f t="shared" ca="1" si="112"/>
        <v>1.0117698076367121</v>
      </c>
      <c r="W539" s="290">
        <f t="shared" ca="1" si="112"/>
        <v>1.0170687913055132</v>
      </c>
      <c r="X539" s="290">
        <f t="shared" ca="1" si="112"/>
        <v>1.0219875289245923</v>
      </c>
      <c r="Y539" s="290">
        <f t="shared" ca="1" si="112"/>
        <v>1.0265345491420168</v>
      </c>
      <c r="Z539" s="290">
        <f t="shared" ca="1" si="112"/>
        <v>1.0307189308455282</v>
      </c>
      <c r="AA539" s="290">
        <f t="shared" ca="1" si="112"/>
        <v>1.0345502600534511</v>
      </c>
      <c r="AB539" s="290">
        <f t="shared" ca="1" si="112"/>
        <v>1.0380385873888405</v>
      </c>
      <c r="AC539" s="290">
        <f t="shared" ca="1" si="112"/>
        <v>1.0411943863066118</v>
      </c>
      <c r="AD539" s="290">
        <f t="shared" ca="1" si="112"/>
        <v>1.0440285122281292</v>
      </c>
    </row>
    <row r="540" spans="1:30">
      <c r="A540" s="90">
        <v>454</v>
      </c>
      <c r="B540" s="90">
        <f t="shared" si="107"/>
        <v>1.8160000000000001</v>
      </c>
      <c r="C540" s="291">
        <f t="shared" ca="1" si="108"/>
        <v>-1.2558227235667192E-2</v>
      </c>
      <c r="D540" s="292">
        <f t="shared" ca="1" si="109"/>
        <v>1.0149810033948068</v>
      </c>
      <c r="E540" s="291">
        <f t="shared" ca="1" si="110"/>
        <v>-1.1902216657619384E-2</v>
      </c>
      <c r="F540" s="293">
        <f t="shared" ca="1" si="111"/>
        <v>0.97410509065850559</v>
      </c>
      <c r="G540" s="90">
        <f t="shared" ca="1" si="106"/>
        <v>0.98461269304728161</v>
      </c>
      <c r="T540" s="289">
        <f t="shared" ca="1" si="112"/>
        <v>1</v>
      </c>
      <c r="U540" s="290">
        <f t="shared" ca="1" si="112"/>
        <v>1.0057496283987373</v>
      </c>
      <c r="V540" s="290">
        <f t="shared" ca="1" si="112"/>
        <v>1.011101097574463</v>
      </c>
      <c r="W540" s="290">
        <f t="shared" ca="1" si="112"/>
        <v>1.0160621036234447</v>
      </c>
      <c r="X540" s="290">
        <f t="shared" ca="1" si="112"/>
        <v>1.0206409670865995</v>
      </c>
      <c r="Y540" s="290">
        <f t="shared" ca="1" si="112"/>
        <v>1.0248465883656797</v>
      </c>
      <c r="Z540" s="290">
        <f t="shared" ca="1" si="112"/>
        <v>1.0286884034334058</v>
      </c>
      <c r="AA540" s="290">
        <f t="shared" ca="1" si="112"/>
        <v>1.0321763400344435</v>
      </c>
      <c r="AB540" s="290">
        <f t="shared" ca="1" si="112"/>
        <v>1.0353207745597293</v>
      </c>
      <c r="AC540" s="290">
        <f t="shared" ca="1" si="112"/>
        <v>1.0381324897610542</v>
      </c>
      <c r="AD540" s="290">
        <f t="shared" ca="1" si="112"/>
        <v>1.040622633457198</v>
      </c>
    </row>
    <row r="541" spans="1:30">
      <c r="A541" s="90">
        <v>455</v>
      </c>
      <c r="B541" s="90">
        <f t="shared" si="107"/>
        <v>1.82</v>
      </c>
      <c r="C541" s="291">
        <f t="shared" ca="1" si="108"/>
        <v>-1.1895166157768516E-2</v>
      </c>
      <c r="D541" s="292">
        <f t="shared" ca="1" si="109"/>
        <v>0.60277506108718637</v>
      </c>
      <c r="E541" s="291">
        <f t="shared" ca="1" si="110"/>
        <v>-1.1505575796043494E-2</v>
      </c>
      <c r="F541" s="293">
        <f t="shared" ca="1" si="111"/>
        <v>0.97405948842638113</v>
      </c>
      <c r="G541" s="90">
        <f t="shared" ca="1" si="106"/>
        <v>0.98456659890711984</v>
      </c>
      <c r="T541" s="289">
        <f t="shared" ca="1" si="112"/>
        <v>1</v>
      </c>
      <c r="U541" s="290">
        <f t="shared" ca="1" si="112"/>
        <v>1.0055504775287218</v>
      </c>
      <c r="V541" s="290">
        <f t="shared" ca="1" si="112"/>
        <v>1.0107012981099235</v>
      </c>
      <c r="W541" s="290">
        <f t="shared" ca="1" si="112"/>
        <v>1.0154603968847593</v>
      </c>
      <c r="X541" s="290">
        <f t="shared" ca="1" si="112"/>
        <v>1.0198363254096134</v>
      </c>
      <c r="Y541" s="290">
        <f t="shared" ca="1" si="112"/>
        <v>1.0238382065605727</v>
      </c>
      <c r="Z541" s="290">
        <f t="shared" ca="1" si="112"/>
        <v>1.0274756897889834</v>
      </c>
      <c r="AA541" s="290">
        <f t="shared" ca="1" si="112"/>
        <v>1.0307589069237115</v>
      </c>
      <c r="AB541" s="290">
        <f t="shared" ca="1" si="112"/>
        <v>1.0336984287010582</v>
      </c>
      <c r="AC541" s="290">
        <f t="shared" ca="1" si="112"/>
        <v>1.0363052221874518</v>
      </c>
      <c r="AD541" s="290">
        <f t="shared" ca="1" si="112"/>
        <v>1.038590609244205</v>
      </c>
    </row>
    <row r="542" spans="1:30">
      <c r="A542" s="90">
        <v>456</v>
      </c>
      <c r="B542" s="90">
        <f t="shared" si="107"/>
        <v>1.8240000000000001</v>
      </c>
      <c r="C542" s="291">
        <f t="shared" ca="1" si="108"/>
        <v>-1.1498534535487565E-2</v>
      </c>
      <c r="D542" s="292">
        <f t="shared" ca="1" si="109"/>
        <v>1.4548135560804409</v>
      </c>
      <c r="E542" s="291">
        <f t="shared" ca="1" si="110"/>
        <v>-1.0558247891024244E-2</v>
      </c>
      <c r="F542" s="293">
        <f t="shared" ca="1" si="111"/>
        <v>0.97401650642110871</v>
      </c>
      <c r="G542" s="90">
        <f t="shared" ca="1" si="106"/>
        <v>0.9845231532580111</v>
      </c>
      <c r="T542" s="289">
        <f t="shared" ca="1" si="112"/>
        <v>1</v>
      </c>
      <c r="U542" s="290">
        <f t="shared" ca="1" si="112"/>
        <v>1.0050749897252043</v>
      </c>
      <c r="V542" s="290">
        <f t="shared" ca="1" si="112"/>
        <v>1.0097470658209582</v>
      </c>
      <c r="W542" s="290">
        <f t="shared" ca="1" si="112"/>
        <v>1.0140247357935017</v>
      </c>
      <c r="X542" s="290">
        <f t="shared" ca="1" si="112"/>
        <v>1.0179171036381853</v>
      </c>
      <c r="Y542" s="290">
        <f t="shared" ca="1" si="112"/>
        <v>1.0214338235618912</v>
      </c>
      <c r="Z542" s="290">
        <f t="shared" ca="1" si="112"/>
        <v>1.0245850541947874</v>
      </c>
      <c r="AA542" s="290">
        <f t="shared" ca="1" si="112"/>
        <v>1.0273814134836556</v>
      </c>
      <c r="AB542" s="290">
        <f t="shared" ca="1" si="112"/>
        <v>1.029833934443722</v>
      </c>
      <c r="AC542" s="290">
        <f t="shared" ca="1" si="112"/>
        <v>1.0319540219295316</v>
      </c>
      <c r="AD542" s="290">
        <f t="shared" ca="1" si="112"/>
        <v>1.0337534105690898</v>
      </c>
    </row>
    <row r="543" spans="1:30">
      <c r="A543" s="90">
        <v>457</v>
      </c>
      <c r="B543" s="90">
        <f t="shared" si="107"/>
        <v>1.8280000000000001</v>
      </c>
      <c r="C543" s="291">
        <f t="shared" ca="1" si="108"/>
        <v>-1.0551228697387706E-2</v>
      </c>
      <c r="D543" s="292">
        <f t="shared" ca="1" si="109"/>
        <v>-1.2994284851675493</v>
      </c>
      <c r="E543" s="291">
        <f t="shared" ca="1" si="110"/>
        <v>-1.139108562952279E-2</v>
      </c>
      <c r="F543" s="293">
        <f t="shared" ca="1" si="111"/>
        <v>0.97397374933329728</v>
      </c>
      <c r="G543" s="90">
        <f t="shared" ca="1" si="106"/>
        <v>0.98447993495253194</v>
      </c>
      <c r="T543" s="289">
        <f t="shared" ca="1" si="112"/>
        <v>1</v>
      </c>
      <c r="U543" s="290">
        <f t="shared" ca="1" si="112"/>
        <v>1.0054930000741342</v>
      </c>
      <c r="V543" s="290">
        <f t="shared" ca="1" si="112"/>
        <v>1.0105859256183729</v>
      </c>
      <c r="W543" s="290">
        <f t="shared" ca="1" si="112"/>
        <v>1.0152867808461457</v>
      </c>
      <c r="X543" s="290">
        <f t="shared" ca="1" si="112"/>
        <v>1.0196041840339882</v>
      </c>
      <c r="Y543" s="290">
        <f t="shared" ca="1" si="112"/>
        <v>1.0235473222801303</v>
      </c>
      <c r="Z543" s="290">
        <f t="shared" ca="1" si="112"/>
        <v>1.0271259066307434</v>
      </c>
      <c r="AA543" s="290">
        <f t="shared" ca="1" si="112"/>
        <v>1.030350127769087</v>
      </c>
      <c r="AB543" s="290">
        <f t="shared" ca="1" si="112"/>
        <v>1.0332306124480368</v>
      </c>
      <c r="AC543" s="290">
        <f t="shared" ca="1" si="112"/>
        <v>1.0357783808305927</v>
      </c>
      <c r="AD543" s="290">
        <f t="shared" ca="1" si="112"/>
        <v>1.0380048048870565</v>
      </c>
    </row>
    <row r="544" spans="1:30">
      <c r="A544" s="90">
        <v>458</v>
      </c>
      <c r="B544" s="90">
        <f t="shared" si="107"/>
        <v>1.8320000000000001</v>
      </c>
      <c r="C544" s="291">
        <f t="shared" ca="1" si="108"/>
        <v>-1.1384047035884264E-2</v>
      </c>
      <c r="D544" s="292">
        <f t="shared" ca="1" si="109"/>
        <v>-1.7604341232954794</v>
      </c>
      <c r="E544" s="291">
        <f t="shared" ca="1" si="110"/>
        <v>-1.2521864791069318E-2</v>
      </c>
      <c r="F544" s="293">
        <f t="shared" ca="1" si="111"/>
        <v>0.97392716927521528</v>
      </c>
      <c r="G544" s="90">
        <f t="shared" ca="1" si="106"/>
        <v>0.98443285243867362</v>
      </c>
      <c r="T544" s="289">
        <f t="shared" ca="1" si="112"/>
        <v>1</v>
      </c>
      <c r="U544" s="290">
        <f t="shared" ca="1" si="112"/>
        <v>1.0060608287537516</v>
      </c>
      <c r="V544" s="290">
        <f t="shared" ca="1" si="112"/>
        <v>1.0117259967450565</v>
      </c>
      <c r="W544" s="290">
        <f t="shared" ca="1" si="112"/>
        <v>1.0170028274900149</v>
      </c>
      <c r="X544" s="290">
        <f t="shared" ca="1" si="112"/>
        <v>1.0218992811224976</v>
      </c>
      <c r="Y544" s="290">
        <f t="shared" ca="1" si="112"/>
        <v>1.0264239106290167</v>
      </c>
      <c r="Z544" s="290">
        <f t="shared" ca="1" si="112"/>
        <v>1.0305858182892156</v>
      </c>
      <c r="AA544" s="290">
        <f t="shared" ca="1" si="112"/>
        <v>1.0343946125207037</v>
      </c>
      <c r="AB544" s="290">
        <f t="shared" ca="1" si="112"/>
        <v>1.0378603653130085</v>
      </c>
      <c r="AC544" s="290">
        <f t="shared" ca="1" si="112"/>
        <v>1.0409935704202007</v>
      </c>
      <c r="AD544" s="290">
        <f t="shared" ca="1" si="112"/>
        <v>1.0438051024664761</v>
      </c>
    </row>
    <row r="545" spans="1:30">
      <c r="A545" s="90">
        <v>459</v>
      </c>
      <c r="B545" s="90">
        <f t="shared" si="107"/>
        <v>1.8360000000000001</v>
      </c>
      <c r="C545" s="291">
        <f t="shared" ca="1" si="108"/>
        <v>-1.251479985722433E-2</v>
      </c>
      <c r="D545" s="292">
        <f t="shared" ca="1" si="109"/>
        <v>-0.24076404203593388</v>
      </c>
      <c r="E545" s="291">
        <f t="shared" ca="1" si="110"/>
        <v>-1.2670412383824183E-2</v>
      </c>
      <c r="F545" s="293">
        <f t="shared" ca="1" si="111"/>
        <v>0.97387809962500882</v>
      </c>
      <c r="G545" s="90">
        <f t="shared" ca="1" si="106"/>
        <v>0.98438325347763744</v>
      </c>
      <c r="T545" s="289">
        <f t="shared" ca="1" si="112"/>
        <v>1</v>
      </c>
      <c r="U545" s="290">
        <f t="shared" ca="1" si="112"/>
        <v>1.0061354467940871</v>
      </c>
      <c r="V545" s="290">
        <f t="shared" ca="1" si="112"/>
        <v>1.0118758605452483</v>
      </c>
      <c r="W545" s="290">
        <f t="shared" ca="1" si="112"/>
        <v>1.0172284756248249</v>
      </c>
      <c r="X545" s="290">
        <f t="shared" ca="1" si="112"/>
        <v>1.0222011658729704</v>
      </c>
      <c r="Y545" s="290">
        <f t="shared" ca="1" si="112"/>
        <v>1.0268024010332162</v>
      </c>
      <c r="Z545" s="290">
        <f t="shared" ca="1" si="112"/>
        <v>1.0310412033716521</v>
      </c>
      <c r="AA545" s="290">
        <f t="shared" ca="1" si="112"/>
        <v>1.0349271046798592</v>
      </c>
      <c r="AB545" s="290">
        <f t="shared" ca="1" si="112"/>
        <v>1.0384701038468829</v>
      </c>
      <c r="AC545" s="290">
        <f t="shared" ca="1" si="112"/>
        <v>1.0416806251704125</v>
      </c>
      <c r="AD545" s="290">
        <f t="shared" ca="1" si="112"/>
        <v>1.0445694775621335</v>
      </c>
    </row>
    <row r="546" spans="1:30">
      <c r="A546" s="90">
        <v>460</v>
      </c>
      <c r="B546" s="90">
        <f t="shared" si="107"/>
        <v>1.84</v>
      </c>
      <c r="C546" s="291">
        <f t="shared" ca="1" si="108"/>
        <v>-1.2663343989733025E-2</v>
      </c>
      <c r="D546" s="292">
        <f t="shared" ca="1" si="109"/>
        <v>-0.41508637230783518</v>
      </c>
      <c r="E546" s="291">
        <f t="shared" ca="1" si="110"/>
        <v>-1.2931625908435607E-2</v>
      </c>
      <c r="F546" s="293">
        <f t="shared" ca="1" si="111"/>
        <v>0.97382823437287458</v>
      </c>
      <c r="G546" s="90">
        <f t="shared" ca="1" si="106"/>
        <v>0.98433285033257212</v>
      </c>
      <c r="T546" s="289">
        <f t="shared" ref="T546:AD555" ca="1" si="113">EXP(T$82-$E546*T$83)</f>
        <v>1</v>
      </c>
      <c r="U546" s="290">
        <f t="shared" ca="1" si="113"/>
        <v>1.0062666723148073</v>
      </c>
      <c r="V546" s="290">
        <f t="shared" ca="1" si="113"/>
        <v>1.0121394423957797</v>
      </c>
      <c r="W546" s="290">
        <f t="shared" ca="1" si="113"/>
        <v>1.0176253880342343</v>
      </c>
      <c r="X546" s="290">
        <f t="shared" ca="1" si="113"/>
        <v>1.0227322314406713</v>
      </c>
      <c r="Y546" s="290">
        <f t="shared" ca="1" si="113"/>
        <v>1.0274682960336559</v>
      </c>
      <c r="Z546" s="290">
        <f t="shared" ca="1" si="113"/>
        <v>1.0318424633765499</v>
      </c>
      <c r="AA546" s="290">
        <f t="shared" ca="1" si="113"/>
        <v>1.0358641304619263</v>
      </c>
      <c r="AB546" s="290">
        <f t="shared" ca="1" si="113"/>
        <v>1.0395431675298286</v>
      </c>
      <c r="AC546" s="290">
        <f t="shared" ca="1" si="113"/>
        <v>1.042889876591089</v>
      </c>
      <c r="AD546" s="290">
        <f t="shared" ca="1" si="113"/>
        <v>1.0459149508118644</v>
      </c>
    </row>
    <row r="547" spans="1:30">
      <c r="A547" s="90">
        <v>461</v>
      </c>
      <c r="B547" s="90">
        <f t="shared" si="107"/>
        <v>1.8440000000000001</v>
      </c>
      <c r="C547" s="291">
        <f t="shared" ca="1" si="108"/>
        <v>-1.2924551429674335E-2</v>
      </c>
      <c r="D547" s="292">
        <f t="shared" ca="1" si="109"/>
        <v>-1.1395960943170065</v>
      </c>
      <c r="E547" s="291">
        <f t="shared" ca="1" si="110"/>
        <v>-1.3661104222360573E-2</v>
      </c>
      <c r="F547" s="293">
        <f t="shared" ca="1" si="111"/>
        <v>0.97377644224731985</v>
      </c>
      <c r="G547" s="90">
        <f t="shared" ca="1" si="106"/>
        <v>0.98428049952903962</v>
      </c>
      <c r="T547" s="289">
        <f t="shared" ca="1" si="113"/>
        <v>1</v>
      </c>
      <c r="U547" s="290">
        <f t="shared" ca="1" si="113"/>
        <v>1.0066332300932794</v>
      </c>
      <c r="V547" s="290">
        <f t="shared" ca="1" si="113"/>
        <v>1.0128758982829864</v>
      </c>
      <c r="W547" s="290">
        <f t="shared" ca="1" si="113"/>
        <v>1.0187346463829681</v>
      </c>
      <c r="X547" s="290">
        <f t="shared" ca="1" si="113"/>
        <v>1.0242167740252577</v>
      </c>
      <c r="Y547" s="290">
        <f t="shared" ca="1" si="113"/>
        <v>1.0293301964594366</v>
      </c>
      <c r="Z547" s="290">
        <f t="shared" ca="1" si="113"/>
        <v>1.0340834023983236</v>
      </c>
      <c r="AA547" s="290">
        <f t="shared" ca="1" si="113"/>
        <v>1.0384854121115794</v>
      </c>
      <c r="AB547" s="290">
        <f t="shared" ca="1" si="113"/>
        <v>1.042545735955666</v>
      </c>
      <c r="AC547" s="290">
        <f t="shared" ca="1" si="113"/>
        <v>1.0462743335141225</v>
      </c>
      <c r="AD547" s="290">
        <f t="shared" ca="1" si="113"/>
        <v>1.0496815735074709</v>
      </c>
    </row>
    <row r="548" spans="1:30">
      <c r="A548" s="90">
        <v>462</v>
      </c>
      <c r="B548" s="90">
        <f t="shared" si="107"/>
        <v>1.8480000000000001</v>
      </c>
      <c r="C548" s="291">
        <f t="shared" ca="1" si="108"/>
        <v>-1.3654012751236819E-2</v>
      </c>
      <c r="D548" s="292">
        <f t="shared" ca="1" si="109"/>
        <v>0.11987628665381438</v>
      </c>
      <c r="E548" s="291">
        <f t="shared" ca="1" si="110"/>
        <v>-1.357653335818516E-2</v>
      </c>
      <c r="F548" s="293">
        <f t="shared" ca="1" si="111"/>
        <v>0.97372339695252474</v>
      </c>
      <c r="G548" s="90">
        <f t="shared" ca="1" si="106"/>
        <v>0.98422688203841913</v>
      </c>
      <c r="T548" s="289">
        <f t="shared" ca="1" si="113"/>
        <v>1</v>
      </c>
      <c r="U548" s="290">
        <f t="shared" ca="1" si="113"/>
        <v>1.0065907269804151</v>
      </c>
      <c r="V548" s="290">
        <f t="shared" ca="1" si="113"/>
        <v>1.0127904910317893</v>
      </c>
      <c r="W548" s="290">
        <f t="shared" ca="1" si="113"/>
        <v>1.0186059844082662</v>
      </c>
      <c r="X548" s="290">
        <f t="shared" ca="1" si="113"/>
        <v>1.0240445556609037</v>
      </c>
      <c r="Y548" s="290">
        <f t="shared" ca="1" si="113"/>
        <v>1.0291141673183248</v>
      </c>
      <c r="Z548" s="290">
        <f t="shared" ca="1" si="113"/>
        <v>1.0338233536253794</v>
      </c>
      <c r="AA548" s="290">
        <f t="shared" ca="1" si="113"/>
        <v>1.0381811785412114</v>
      </c>
      <c r="AB548" s="290">
        <f t="shared" ca="1" si="113"/>
        <v>1.0421971941849231</v>
      </c>
      <c r="AC548" s="290">
        <f t="shared" ca="1" si="113"/>
        <v>1.0458813999024876</v>
      </c>
      <c r="AD548" s="290">
        <f t="shared" ca="1" si="113"/>
        <v>1.049244202113879</v>
      </c>
    </row>
    <row r="549" spans="1:30">
      <c r="A549" s="90">
        <v>463</v>
      </c>
      <c r="B549" s="90">
        <f t="shared" si="107"/>
        <v>1.8520000000000001</v>
      </c>
      <c r="C549" s="291">
        <f t="shared" ca="1" si="108"/>
        <v>-1.3569443857042902E-2</v>
      </c>
      <c r="D549" s="292">
        <f t="shared" ca="1" si="109"/>
        <v>-0.1385184887892778</v>
      </c>
      <c r="E549" s="291">
        <f t="shared" ca="1" si="110"/>
        <v>-1.3658972226142454E-2</v>
      </c>
      <c r="F549" s="293">
        <f t="shared" ca="1" si="111"/>
        <v>0.97367035869903085</v>
      </c>
      <c r="G549" s="90">
        <f t="shared" ca="1" si="106"/>
        <v>0.98417327166505397</v>
      </c>
      <c r="T549" s="289">
        <f t="shared" ca="1" si="113"/>
        <v>1</v>
      </c>
      <c r="U549" s="290">
        <f t="shared" ca="1" si="113"/>
        <v>1.0066321585854778</v>
      </c>
      <c r="V549" s="290">
        <f t="shared" ca="1" si="113"/>
        <v>1.0128737451133083</v>
      </c>
      <c r="W549" s="290">
        <f t="shared" ca="1" si="113"/>
        <v>1.0187314026685661</v>
      </c>
      <c r="X549" s="290">
        <f t="shared" ca="1" si="113"/>
        <v>1.0242124321162649</v>
      </c>
      <c r="Y549" s="290">
        <f t="shared" ca="1" si="113"/>
        <v>1.0293247498977216</v>
      </c>
      <c r="Z549" s="290">
        <f t="shared" ca="1" si="113"/>
        <v>1.0340768458735423</v>
      </c>
      <c r="AA549" s="290">
        <f t="shared" ca="1" si="113"/>
        <v>1.038477741414813</v>
      </c>
      <c r="AB549" s="290">
        <f t="shared" ca="1" si="113"/>
        <v>1.0425369479309283</v>
      </c>
      <c r="AC549" s="290">
        <f t="shared" ca="1" si="113"/>
        <v>1.046264426008011</v>
      </c>
      <c r="AD549" s="290">
        <f t="shared" ca="1" si="113"/>
        <v>1.0496705453172313</v>
      </c>
    </row>
    <row r="550" spans="1:30">
      <c r="A550" s="90">
        <v>464</v>
      </c>
      <c r="B550" s="90">
        <f t="shared" si="107"/>
        <v>1.8560000000000001</v>
      </c>
      <c r="C550" s="291">
        <f t="shared" ca="1" si="108"/>
        <v>-1.3651880804681113E-2</v>
      </c>
      <c r="D550" s="292">
        <f t="shared" ca="1" si="109"/>
        <v>-3.1555375326886584E-2</v>
      </c>
      <c r="E550" s="291">
        <f t="shared" ca="1" si="110"/>
        <v>-1.3672275925318316E-2</v>
      </c>
      <c r="F550" s="293">
        <f t="shared" ca="1" si="111"/>
        <v>0.9736171369012796</v>
      </c>
      <c r="G550" s="90">
        <f t="shared" ca="1" si="106"/>
        <v>0.98411947576755254</v>
      </c>
      <c r="T550" s="289">
        <f t="shared" ca="1" si="113"/>
        <v>1</v>
      </c>
      <c r="U550" s="290">
        <f t="shared" ca="1" si="113"/>
        <v>1.0066388448343055</v>
      </c>
      <c r="V550" s="290">
        <f t="shared" ca="1" si="113"/>
        <v>1.0128871810101325</v>
      </c>
      <c r="W550" s="290">
        <f t="shared" ca="1" si="113"/>
        <v>1.0187516436803701</v>
      </c>
      <c r="X550" s="290">
        <f t="shared" ca="1" si="113"/>
        <v>1.024239526016421</v>
      </c>
      <c r="Y550" s="290">
        <f t="shared" ca="1" si="113"/>
        <v>1.0293587370232768</v>
      </c>
      <c r="Z550" s="290">
        <f t="shared" ca="1" si="113"/>
        <v>1.0341177593993764</v>
      </c>
      <c r="AA550" s="290">
        <f t="shared" ca="1" si="113"/>
        <v>1.0385256076428648</v>
      </c>
      <c r="AB550" s="290">
        <f t="shared" ca="1" si="113"/>
        <v>1.0425917865927232</v>
      </c>
      <c r="AC550" s="290">
        <f t="shared" ca="1" si="113"/>
        <v>1.04632625057877</v>
      </c>
      <c r="AD550" s="290">
        <f t="shared" ca="1" si="113"/>
        <v>1.0497393633398981</v>
      </c>
    </row>
    <row r="551" spans="1:30">
      <c r="A551" s="90">
        <v>465</v>
      </c>
      <c r="B551" s="90">
        <f t="shared" si="107"/>
        <v>1.86</v>
      </c>
      <c r="C551" s="291">
        <f t="shared" ca="1" si="108"/>
        <v>-1.3665184193962529E-2</v>
      </c>
      <c r="D551" s="292">
        <f t="shared" ca="1" si="109"/>
        <v>2.4802604278572211</v>
      </c>
      <c r="E551" s="291">
        <f t="shared" ca="1" si="110"/>
        <v>-1.2062122588330861E-2</v>
      </c>
      <c r="F551" s="293">
        <f t="shared" ca="1" si="111"/>
        <v>0.97356702728802991</v>
      </c>
      <c r="G551" s="90">
        <f t="shared" ca="1" si="106"/>
        <v>0.98406882562546583</v>
      </c>
      <c r="T551" s="289">
        <f t="shared" ca="1" si="113"/>
        <v>1</v>
      </c>
      <c r="U551" s="290">
        <f t="shared" ca="1" si="113"/>
        <v>1.0058299273114086</v>
      </c>
      <c r="V551" s="290">
        <f t="shared" ca="1" si="113"/>
        <v>1.0112623216241894</v>
      </c>
      <c r="W551" s="290">
        <f t="shared" ca="1" si="113"/>
        <v>1.0163047827807048</v>
      </c>
      <c r="X551" s="290">
        <f t="shared" ca="1" si="113"/>
        <v>1.0209655382526432</v>
      </c>
      <c r="Y551" s="290">
        <f t="shared" ca="1" si="113"/>
        <v>1.0252533987662447</v>
      </c>
      <c r="Z551" s="290">
        <f t="shared" ca="1" si="113"/>
        <v>1.0291777141985672</v>
      </c>
      <c r="AA551" s="290">
        <f t="shared" ca="1" si="113"/>
        <v>1.0327483299421862</v>
      </c>
      <c r="AB551" s="290">
        <f t="shared" ca="1" si="113"/>
        <v>1.0359755439214331</v>
      </c>
      <c r="AC551" s="290">
        <f t="shared" ca="1" si="113"/>
        <v>1.0388700644277817</v>
      </c>
      <c r="AD551" s="290">
        <f t="shared" ca="1" si="113"/>
        <v>1.0414429689264644</v>
      </c>
    </row>
    <row r="552" spans="1:30">
      <c r="A552" s="90">
        <v>466</v>
      </c>
      <c r="B552" s="90">
        <f t="shared" si="107"/>
        <v>1.8640000000000001</v>
      </c>
      <c r="C552" s="291">
        <f t="shared" ca="1" si="108"/>
        <v>-1.205506836365434E-2</v>
      </c>
      <c r="D552" s="292">
        <f t="shared" ca="1" si="109"/>
        <v>-0.60650241672774385</v>
      </c>
      <c r="E552" s="291">
        <f t="shared" ca="1" si="110"/>
        <v>-1.2447067819461095E-2</v>
      </c>
      <c r="F552" s="293">
        <f t="shared" ca="1" si="111"/>
        <v>0.97351930577836188</v>
      </c>
      <c r="G552" s="90">
        <f t="shared" ca="1" si="106"/>
        <v>0.98402058934726433</v>
      </c>
      <c r="T552" s="289">
        <f t="shared" ca="1" si="113"/>
        <v>1</v>
      </c>
      <c r="U552" s="290">
        <f t="shared" ca="1" si="113"/>
        <v>1.0060232590283253</v>
      </c>
      <c r="V552" s="290">
        <f t="shared" ca="1" si="113"/>
        <v>1.011650545435983</v>
      </c>
      <c r="W552" s="290">
        <f t="shared" ca="1" si="113"/>
        <v>1.0168892276519577</v>
      </c>
      <c r="X552" s="290">
        <f t="shared" ca="1" si="113"/>
        <v>1.0217473092776017</v>
      </c>
      <c r="Y552" s="290">
        <f t="shared" ca="1" si="113"/>
        <v>1.0262333852214554</v>
      </c>
      <c r="Z552" s="290">
        <f t="shared" ca="1" si="113"/>
        <v>1.0303565980502842</v>
      </c>
      <c r="AA552" s="290">
        <f t="shared" ca="1" si="113"/>
        <v>1.0341265947548541</v>
      </c>
      <c r="AB552" s="290">
        <f t="shared" ca="1" si="113"/>
        <v>1.0375534841149472</v>
      </c>
      <c r="AC552" s="290">
        <f t="shared" ca="1" si="113"/>
        <v>1.040647794832871</v>
      </c>
      <c r="AD552" s="290">
        <f t="shared" ca="1" si="113"/>
        <v>1.0434204345893852</v>
      </c>
    </row>
    <row r="553" spans="1:30">
      <c r="A553" s="90">
        <v>467</v>
      </c>
      <c r="B553" s="90">
        <f t="shared" si="107"/>
        <v>1.8680000000000001</v>
      </c>
      <c r="C553" s="291">
        <f t="shared" ca="1" si="108"/>
        <v>-1.2440004627925961E-2</v>
      </c>
      <c r="D553" s="292">
        <f t="shared" ca="1" si="109"/>
        <v>1.9545959247344046E-2</v>
      </c>
      <c r="E553" s="291">
        <f t="shared" ca="1" si="110"/>
        <v>-1.2427371528408372E-2</v>
      </c>
      <c r="F553" s="293">
        <f t="shared" ca="1" si="111"/>
        <v>0.97347087548919708</v>
      </c>
      <c r="G553" s="90">
        <f t="shared" ca="1" si="106"/>
        <v>0.98397163664401199</v>
      </c>
      <c r="T553" s="289">
        <f t="shared" ca="1" si="113"/>
        <v>1</v>
      </c>
      <c r="U553" s="290">
        <f t="shared" ca="1" si="113"/>
        <v>1.0060133660236279</v>
      </c>
      <c r="V553" s="290">
        <f t="shared" ca="1" si="113"/>
        <v>1.0116306777741846</v>
      </c>
      <c r="W553" s="290">
        <f t="shared" ca="1" si="113"/>
        <v>1.0168593155104675</v>
      </c>
      <c r="X553" s="290">
        <f t="shared" ca="1" si="113"/>
        <v>1.0217072942819274</v>
      </c>
      <c r="Y553" s="290">
        <f t="shared" ca="1" si="113"/>
        <v>1.0261832200371983</v>
      </c>
      <c r="Z553" s="290">
        <f t="shared" ca="1" si="113"/>
        <v>1.0302962459516378</v>
      </c>
      <c r="AA553" s="290">
        <f t="shared" ca="1" si="113"/>
        <v>1.0340560291723437</v>
      </c>
      <c r="AB553" s="290">
        <f t="shared" ca="1" si="113"/>
        <v>1.03747268816508</v>
      </c>
      <c r="AC553" s="290">
        <f t="shared" ca="1" si="113"/>
        <v>1.0405567608322837</v>
      </c>
      <c r="AD553" s="290">
        <f t="shared" ca="1" si="113"/>
        <v>1.0433191635559811</v>
      </c>
    </row>
    <row r="554" spans="1:30">
      <c r="A554" s="90">
        <v>468</v>
      </c>
      <c r="B554" s="90">
        <f t="shared" si="107"/>
        <v>1.8720000000000001</v>
      </c>
      <c r="C554" s="291">
        <f t="shared" ca="1" si="108"/>
        <v>-1.2420308795675796E-2</v>
      </c>
      <c r="D554" s="292">
        <f t="shared" ca="1" si="109"/>
        <v>-0.45045710886269008</v>
      </c>
      <c r="E554" s="291">
        <f t="shared" ca="1" si="110"/>
        <v>-1.2711451809567073E-2</v>
      </c>
      <c r="F554" s="293">
        <f t="shared" ca="1" si="111"/>
        <v>0.97342193289483947</v>
      </c>
      <c r="G554" s="90">
        <f t="shared" ca="1" si="106"/>
        <v>0.98392216610936711</v>
      </c>
      <c r="T554" s="289">
        <f t="shared" ca="1" si="113"/>
        <v>1</v>
      </c>
      <c r="U554" s="290">
        <f t="shared" ca="1" si="113"/>
        <v>1.006156062587332</v>
      </c>
      <c r="V554" s="290">
        <f t="shared" ca="1" si="113"/>
        <v>1.0119172675147203</v>
      </c>
      <c r="W554" s="290">
        <f t="shared" ca="1" si="113"/>
        <v>1.0172908245379937</v>
      </c>
      <c r="X554" s="290">
        <f t="shared" ca="1" si="113"/>
        <v>1.0222845836648724</v>
      </c>
      <c r="Y554" s="290">
        <f t="shared" ca="1" si="113"/>
        <v>1.026906991644934</v>
      </c>
      <c r="Z554" s="290">
        <f t="shared" ca="1" si="113"/>
        <v>1.0311670486384021</v>
      </c>
      <c r="AA554" s="290">
        <f t="shared" ca="1" si="113"/>
        <v>1.035074265263012</v>
      </c>
      <c r="AB554" s="290">
        <f t="shared" ca="1" si="113"/>
        <v>1.038638620204376</v>
      </c>
      <c r="AC554" s="290">
        <f t="shared" ca="1" si="113"/>
        <v>1.041870518560182</v>
      </c>
      <c r="AD554" s="290">
        <f t="shared" ca="1" si="113"/>
        <v>1.0447807510733833</v>
      </c>
    </row>
    <row r="555" spans="1:30">
      <c r="A555" s="90">
        <v>469</v>
      </c>
      <c r="B555" s="90">
        <f t="shared" si="107"/>
        <v>1.8760000000000001</v>
      </c>
      <c r="C555" s="291">
        <f t="shared" ca="1" si="108"/>
        <v>-1.2704382459509458E-2</v>
      </c>
      <c r="D555" s="292">
        <f t="shared" ca="1" si="109"/>
        <v>1.1558702550695257</v>
      </c>
      <c r="E555" s="291">
        <f t="shared" ca="1" si="110"/>
        <v>-1.1957311222077167E-2</v>
      </c>
      <c r="F555" s="293">
        <f t="shared" ca="1" si="111"/>
        <v>0.973373907849583</v>
      </c>
      <c r="G555" s="90">
        <f t="shared" ca="1" si="106"/>
        <v>0.98387362302136028</v>
      </c>
      <c r="T555" s="289">
        <f t="shared" ca="1" si="113"/>
        <v>1</v>
      </c>
      <c r="U555" s="290">
        <f t="shared" ca="1" si="113"/>
        <v>1.0057772941510157</v>
      </c>
      <c r="V555" s="290">
        <f t="shared" ca="1" si="113"/>
        <v>1.0111566433858024</v>
      </c>
      <c r="W555" s="290">
        <f t="shared" ca="1" si="113"/>
        <v>1.0161457106290328</v>
      </c>
      <c r="X555" s="290">
        <f t="shared" ca="1" si="113"/>
        <v>1.0207527843506892</v>
      </c>
      <c r="Y555" s="290">
        <f t="shared" ca="1" si="113"/>
        <v>1.0249867340540946</v>
      </c>
      <c r="Z555" s="290">
        <f t="shared" ca="1" si="113"/>
        <v>1.0288569660499929</v>
      </c>
      <c r="AA555" s="290">
        <f t="shared" ca="1" si="113"/>
        <v>1.0323733797137429</v>
      </c>
      <c r="AB555" s="290">
        <f t="shared" ca="1" si="113"/>
        <v>1.0355463244083405</v>
      </c>
      <c r="AC555" s="290">
        <f t="shared" ca="1" si="113"/>
        <v>1.0383865572404225</v>
      </c>
      <c r="AD555" s="290">
        <f t="shared" ca="1" si="113"/>
        <v>1.0409052018008169</v>
      </c>
    </row>
    <row r="556" spans="1:30">
      <c r="A556" s="90">
        <v>470</v>
      </c>
      <c r="B556" s="90">
        <f t="shared" si="107"/>
        <v>1.8800000000000001</v>
      </c>
      <c r="C556" s="291">
        <f t="shared" ca="1" si="108"/>
        <v>-1.1950259438861473E-2</v>
      </c>
      <c r="D556" s="292">
        <f t="shared" ca="1" si="109"/>
        <v>1.1983479690132762E-2</v>
      </c>
      <c r="E556" s="291">
        <f t="shared" ca="1" si="110"/>
        <v>-1.194251418115492E-2</v>
      </c>
      <c r="F556" s="293">
        <f t="shared" ca="1" si="111"/>
        <v>0.97332738202865143</v>
      </c>
      <c r="G556" s="90">
        <f t="shared" ca="1" si="106"/>
        <v>0.98382659532970473</v>
      </c>
      <c r="T556" s="289">
        <f t="shared" ref="T556:AD565" ca="1" si="114">EXP(T$82-$E556*T$83)</f>
        <v>1</v>
      </c>
      <c r="U556" s="290">
        <f t="shared" ca="1" si="114"/>
        <v>1.0057698637376744</v>
      </c>
      <c r="V556" s="290">
        <f t="shared" ca="1" si="114"/>
        <v>1.0111417248513874</v>
      </c>
      <c r="W556" s="290">
        <f t="shared" ca="1" si="114"/>
        <v>1.0161232551740746</v>
      </c>
      <c r="X556" s="290">
        <f t="shared" ca="1" si="114"/>
        <v>1.020722751788721</v>
      </c>
      <c r="Y556" s="290">
        <f t="shared" ca="1" si="114"/>
        <v>1.0249490924970799</v>
      </c>
      <c r="Z556" s="290">
        <f t="shared" ca="1" si="114"/>
        <v>1.0288116915765582</v>
      </c>
      <c r="AA556" s="290">
        <f t="shared" ca="1" si="114"/>
        <v>1.0323204560222918</v>
      </c>
      <c r="AB556" s="290">
        <f t="shared" ca="1" si="114"/>
        <v>1.0354857424570696</v>
      </c>
      <c r="AC556" s="290">
        <f t="shared" ca="1" si="114"/>
        <v>1.0383183148761914</v>
      </c>
      <c r="AD556" s="290">
        <f t="shared" ca="1" si="114"/>
        <v>1.0408293033787539</v>
      </c>
    </row>
    <row r="557" spans="1:30">
      <c r="A557" s="90">
        <v>471</v>
      </c>
      <c r="B557" s="90">
        <f t="shared" si="107"/>
        <v>1.8840000000000001</v>
      </c>
      <c r="C557" s="291">
        <f t="shared" ca="1" si="108"/>
        <v>-1.1935462742619359E-2</v>
      </c>
      <c r="D557" s="292">
        <f t="shared" ca="1" si="109"/>
        <v>-2.9019849639926532E-2</v>
      </c>
      <c r="E557" s="291">
        <f t="shared" ca="1" si="110"/>
        <v>-1.1954219082170025E-2</v>
      </c>
      <c r="F557" s="293">
        <f t="shared" ca="1" si="111"/>
        <v>0.973280864450626</v>
      </c>
      <c r="G557" s="90">
        <f t="shared" ca="1" si="106"/>
        <v>0.98377957596987087</v>
      </c>
      <c r="T557" s="289">
        <f t="shared" ca="1" si="114"/>
        <v>1</v>
      </c>
      <c r="U557" s="290">
        <f t="shared" ca="1" si="114"/>
        <v>1.0057757414118649</v>
      </c>
      <c r="V557" s="290">
        <f t="shared" ca="1" si="114"/>
        <v>1.0111535258391893</v>
      </c>
      <c r="W557" s="290">
        <f t="shared" ca="1" si="114"/>
        <v>1.0161410180681572</v>
      </c>
      <c r="X557" s="290">
        <f t="shared" ca="1" si="114"/>
        <v>1.0207465083685832</v>
      </c>
      <c r="Y557" s="290">
        <f t="shared" ca="1" si="114"/>
        <v>1.0249788679779073</v>
      </c>
      <c r="Z557" s="290">
        <f t="shared" ca="1" si="114"/>
        <v>1.0288475048716788</v>
      </c>
      <c r="AA557" s="290">
        <f t="shared" ca="1" si="114"/>
        <v>1.0323623200175915</v>
      </c>
      <c r="AB557" s="290">
        <f t="shared" ca="1" si="114"/>
        <v>1.0355336642957671</v>
      </c>
      <c r="AC557" s="290">
        <f t="shared" ca="1" si="114"/>
        <v>1.0383722962524282</v>
      </c>
      <c r="AD557" s="290">
        <f t="shared" ca="1" si="114"/>
        <v>1.040889340838512</v>
      </c>
    </row>
    <row r="558" spans="1:30">
      <c r="A558" s="90">
        <v>472</v>
      </c>
      <c r="B558" s="90">
        <f t="shared" si="107"/>
        <v>1.8880000000000001</v>
      </c>
      <c r="C558" s="291">
        <f t="shared" ca="1" si="108"/>
        <v>-1.1947167370982189E-2</v>
      </c>
      <c r="D558" s="292">
        <f t="shared" ca="1" si="109"/>
        <v>-0.19248860809813589</v>
      </c>
      <c r="E558" s="291">
        <f t="shared" ca="1" si="110"/>
        <v>-1.2071578135955845E-2</v>
      </c>
      <c r="F558" s="293">
        <f t="shared" ca="1" si="111"/>
        <v>0.9732340978768681</v>
      </c>
      <c r="G558" s="90">
        <f t="shared" ca="1" si="106"/>
        <v>0.98373230492840524</v>
      </c>
      <c r="T558" s="289">
        <f t="shared" ca="1" si="114"/>
        <v>1</v>
      </c>
      <c r="U558" s="290">
        <f t="shared" ca="1" si="114"/>
        <v>1.005834675742509</v>
      </c>
      <c r="V558" s="290">
        <f t="shared" ca="1" si="114"/>
        <v>1.0112718559197276</v>
      </c>
      <c r="W558" s="290">
        <f t="shared" ca="1" si="114"/>
        <v>1.0163191346845599</v>
      </c>
      <c r="X558" s="290">
        <f t="shared" ca="1" si="114"/>
        <v>1.0209847340066096</v>
      </c>
      <c r="Y558" s="290">
        <f t="shared" ca="1" si="114"/>
        <v>1.0252774593098146</v>
      </c>
      <c r="Z558" s="290">
        <f t="shared" ca="1" si="114"/>
        <v>1.0292066553797714</v>
      </c>
      <c r="AA558" s="290">
        <f t="shared" ca="1" si="114"/>
        <v>1.0327821627381699</v>
      </c>
      <c r="AB558" s="290">
        <f t="shared" ca="1" si="114"/>
        <v>1.0360142746674768</v>
      </c>
      <c r="AC558" s="290">
        <f t="shared" ca="1" si="114"/>
        <v>1.0389136950535223</v>
      </c>
      <c r="AD558" s="290">
        <f t="shared" ca="1" si="114"/>
        <v>1.0414914971981153</v>
      </c>
    </row>
    <row r="559" spans="1:30">
      <c r="A559" s="90">
        <v>473</v>
      </c>
      <c r="B559" s="90">
        <f t="shared" si="107"/>
        <v>1.8920000000000001</v>
      </c>
      <c r="C559" s="291">
        <f t="shared" ca="1" si="108"/>
        <v>-1.2064523691023163E-2</v>
      </c>
      <c r="D559" s="292">
        <f t="shared" ca="1" si="109"/>
        <v>-3.1602354163996843E-2</v>
      </c>
      <c r="E559" s="291">
        <f t="shared" ca="1" si="110"/>
        <v>-1.2084949175395239E-2</v>
      </c>
      <c r="F559" s="293">
        <f t="shared" ca="1" si="111"/>
        <v>0.97318707910055624</v>
      </c>
      <c r="G559" s="90">
        <f t="shared" ca="1" si="106"/>
        <v>0.98368477896389472</v>
      </c>
      <c r="T559" s="289">
        <f t="shared" ca="1" si="114"/>
        <v>1</v>
      </c>
      <c r="U559" s="290">
        <f t="shared" ca="1" si="114"/>
        <v>1.005841390511852</v>
      </c>
      <c r="V559" s="290">
        <f t="shared" ca="1" si="114"/>
        <v>1.0112853384696028</v>
      </c>
      <c r="W559" s="290">
        <f t="shared" ca="1" si="114"/>
        <v>1.0163394299811546</v>
      </c>
      <c r="X559" s="290">
        <f t="shared" ca="1" si="114"/>
        <v>1.0210118792358924</v>
      </c>
      <c r="Y559" s="290">
        <f t="shared" ca="1" si="114"/>
        <v>1.0253114841598772</v>
      </c>
      <c r="Z559" s="290">
        <f t="shared" ca="1" si="114"/>
        <v>1.0292475823388172</v>
      </c>
      <c r="AA559" s="290">
        <f t="shared" ca="1" si="114"/>
        <v>1.0328300074062775</v>
      </c>
      <c r="AB559" s="290">
        <f t="shared" ca="1" si="114"/>
        <v>1.0360690460803179</v>
      </c>
      <c r="AC559" s="290">
        <f t="shared" ca="1" si="114"/>
        <v>1.0389753960162718</v>
      </c>
      <c r="AD559" s="290">
        <f t="shared" ca="1" si="114"/>
        <v>1.041560124627853</v>
      </c>
    </row>
    <row r="560" spans="1:30">
      <c r="A560" s="90">
        <v>474</v>
      </c>
      <c r="B560" s="90">
        <f t="shared" si="107"/>
        <v>1.8960000000000001</v>
      </c>
      <c r="C560" s="291">
        <f t="shared" ca="1" si="108"/>
        <v>-1.2077894418999495E-2</v>
      </c>
      <c r="D560" s="292">
        <f t="shared" ca="1" si="109"/>
        <v>-0.71670450592157053</v>
      </c>
      <c r="E560" s="291">
        <f t="shared" ca="1" si="110"/>
        <v>-1.2541120563771185E-2</v>
      </c>
      <c r="F560" s="293">
        <f t="shared" ca="1" si="111"/>
        <v>0.97313914873514407</v>
      </c>
      <c r="G560" s="90">
        <f t="shared" ca="1" si="106"/>
        <v>0.983636331577037</v>
      </c>
      <c r="T560" s="289">
        <f t="shared" ca="1" si="114"/>
        <v>1</v>
      </c>
      <c r="U560" s="290">
        <f t="shared" ca="1" si="114"/>
        <v>1.0060705009512134</v>
      </c>
      <c r="V560" s="290">
        <f t="shared" ca="1" si="114"/>
        <v>1.0117454218815616</v>
      </c>
      <c r="W560" s="290">
        <f t="shared" ca="1" si="114"/>
        <v>1.0170320747475958</v>
      </c>
      <c r="X560" s="290">
        <f t="shared" ca="1" si="114"/>
        <v>1.0219384084946761</v>
      </c>
      <c r="Y560" s="290">
        <f t="shared" ca="1" si="114"/>
        <v>1.0264729653176534</v>
      </c>
      <c r="Z560" s="290">
        <f t="shared" ca="1" si="114"/>
        <v>1.0306448371244463</v>
      </c>
      <c r="AA560" s="290">
        <f t="shared" ca="1" si="114"/>
        <v>1.0344636224012862</v>
      </c>
      <c r="AB560" s="290">
        <f t="shared" ca="1" si="114"/>
        <v>1.0379393836644779</v>
      </c>
      <c r="AC560" s="290">
        <f t="shared" ca="1" si="114"/>
        <v>1.0410826056683076</v>
      </c>
      <c r="AD560" s="290">
        <f t="shared" ca="1" si="114"/>
        <v>1.0439041545234693</v>
      </c>
    </row>
    <row r="561" spans="1:30">
      <c r="A561" s="90">
        <v>475</v>
      </c>
      <c r="B561" s="90">
        <f t="shared" si="107"/>
        <v>1.9000000000000001</v>
      </c>
      <c r="C561" s="291">
        <f t="shared" ca="1" si="108"/>
        <v>-1.2534055181385008E-2</v>
      </c>
      <c r="D561" s="292">
        <f t="shared" ca="1" si="109"/>
        <v>-7.6958674736104585E-2</v>
      </c>
      <c r="E561" s="291">
        <f t="shared" ca="1" si="110"/>
        <v>-1.2583795722863682E-2</v>
      </c>
      <c r="F561" s="293">
        <f t="shared" ca="1" si="111"/>
        <v>0.97309024988443937</v>
      </c>
      <c r="G561" s="90">
        <f t="shared" ca="1" si="106"/>
        <v>0.98358690525790471</v>
      </c>
      <c r="T561" s="289">
        <f t="shared" ca="1" si="114"/>
        <v>1</v>
      </c>
      <c r="U561" s="290">
        <f t="shared" ca="1" si="114"/>
        <v>1.0060919370656349</v>
      </c>
      <c r="V561" s="290">
        <f t="shared" ca="1" si="114"/>
        <v>1.0117884737184781</v>
      </c>
      <c r="W561" s="290">
        <f t="shared" ca="1" si="114"/>
        <v>1.0170968963007008</v>
      </c>
      <c r="X561" s="290">
        <f t="shared" ca="1" si="114"/>
        <v>1.0220251289640301</v>
      </c>
      <c r="Y561" s="290">
        <f t="shared" ca="1" si="114"/>
        <v>1.0265816899877176</v>
      </c>
      <c r="Z561" s="290">
        <f t="shared" ca="1" si="114"/>
        <v>1.0307756482933566</v>
      </c>
      <c r="AA561" s="290">
        <f t="shared" ca="1" si="114"/>
        <v>1.0346165803554568</v>
      </c>
      <c r="AB561" s="290">
        <f t="shared" ca="1" si="114"/>
        <v>1.0381145276927572</v>
      </c>
      <c r="AC561" s="290">
        <f t="shared" ca="1" si="114"/>
        <v>1.0412799551100942</v>
      </c>
      <c r="AD561" s="290">
        <f t="shared" ca="1" si="114"/>
        <v>1.0441237098453895</v>
      </c>
    </row>
    <row r="562" spans="1:30">
      <c r="A562" s="90">
        <v>476</v>
      </c>
      <c r="B562" s="90">
        <f t="shared" si="107"/>
        <v>1.9040000000000001</v>
      </c>
      <c r="C562" s="291">
        <f t="shared" ca="1" si="108"/>
        <v>-1.2576729346408513E-2</v>
      </c>
      <c r="D562" s="292">
        <f t="shared" ca="1" si="109"/>
        <v>2.5912918858200005</v>
      </c>
      <c r="E562" s="291">
        <f t="shared" ca="1" si="110"/>
        <v>-1.090190500760644E-2</v>
      </c>
      <c r="F562" s="293">
        <f t="shared" ca="1" si="111"/>
        <v>0.97304454354510816</v>
      </c>
      <c r="G562" s="90">
        <f t="shared" ca="1" si="106"/>
        <v>0.98354070588753928</v>
      </c>
      <c r="T562" s="289">
        <f t="shared" ca="1" si="114"/>
        <v>1</v>
      </c>
      <c r="U562" s="290">
        <f t="shared" ca="1" si="114"/>
        <v>1.0052474539188494</v>
      </c>
      <c r="V562" s="290">
        <f t="shared" ca="1" si="114"/>
        <v>1.0100931234285304</v>
      </c>
      <c r="W562" s="290">
        <f t="shared" ca="1" si="114"/>
        <v>1.0145453081934848</v>
      </c>
      <c r="X562" s="290">
        <f t="shared" ca="1" si="114"/>
        <v>1.0186129117176932</v>
      </c>
      <c r="Y562" s="290">
        <f t="shared" ca="1" si="114"/>
        <v>1.0223053954892709</v>
      </c>
      <c r="Z562" s="290">
        <f t="shared" ca="1" si="114"/>
        <v>1.0256327335639641</v>
      </c>
      <c r="AA562" s="290">
        <f t="shared" ca="1" si="114"/>
        <v>1.0286053677810598</v>
      </c>
      <c r="AB562" s="290">
        <f t="shared" ca="1" si="114"/>
        <v>1.0312341637901583</v>
      </c>
      <c r="AC562" s="290">
        <f t="shared" ca="1" si="114"/>
        <v>1.0335303680510521</v>
      </c>
      <c r="AD562" s="290">
        <f t="shared" ca="1" si="114"/>
        <v>1.0355055659528249</v>
      </c>
    </row>
    <row r="563" spans="1:30">
      <c r="A563" s="90">
        <v>477</v>
      </c>
      <c r="B563" s="90">
        <f t="shared" si="107"/>
        <v>1.9080000000000001</v>
      </c>
      <c r="C563" s="291">
        <f t="shared" ca="1" si="108"/>
        <v>-1.0894877808870664E-2</v>
      </c>
      <c r="D563" s="292">
        <f t="shared" ca="1" si="109"/>
        <v>-1.0855146666883206</v>
      </c>
      <c r="E563" s="291">
        <f t="shared" ca="1" si="110"/>
        <v>-1.1596476264006068E-2</v>
      </c>
      <c r="F563" s="293">
        <f t="shared" ca="1" si="111"/>
        <v>0.97300076067588936</v>
      </c>
      <c r="G563" s="90">
        <f t="shared" ca="1" si="106"/>
        <v>0.98349645073562164</v>
      </c>
      <c r="T563" s="289">
        <f t="shared" ca="1" si="114"/>
        <v>1</v>
      </c>
      <c r="U563" s="290">
        <f t="shared" ca="1" si="114"/>
        <v>1.0055961145958343</v>
      </c>
      <c r="V563" s="290">
        <f t="shared" ca="1" si="114"/>
        <v>1.0107929084876697</v>
      </c>
      <c r="W563" s="290">
        <f t="shared" ca="1" si="114"/>
        <v>1.0155982619984105</v>
      </c>
      <c r="X563" s="290">
        <f t="shared" ca="1" si="114"/>
        <v>1.020020673722696</v>
      </c>
      <c r="Y563" s="290">
        <f t="shared" ca="1" si="114"/>
        <v>1.0240692155477829</v>
      </c>
      <c r="Z563" s="290">
        <f t="shared" ca="1" si="114"/>
        <v>1.0277534880123771</v>
      </c>
      <c r="AA563" s="290">
        <f t="shared" ca="1" si="114"/>
        <v>1.0310835761993351</v>
      </c>
      <c r="AB563" s="290">
        <f t="shared" ca="1" si="114"/>
        <v>1.03407000634355</v>
      </c>
      <c r="AC563" s="290">
        <f t="shared" ca="1" si="114"/>
        <v>1.0367237033205547</v>
      </c>
      <c r="AD563" s="290">
        <f t="shared" ca="1" si="114"/>
        <v>1.0390559491656057</v>
      </c>
    </row>
    <row r="564" spans="1:30">
      <c r="A564" s="90">
        <v>478</v>
      </c>
      <c r="B564" s="90">
        <f t="shared" si="107"/>
        <v>1.9120000000000001</v>
      </c>
      <c r="C564" s="291">
        <f t="shared" ca="1" si="108"/>
        <v>-1.1589432886027769E-2</v>
      </c>
      <c r="D564" s="292">
        <f t="shared" ca="1" si="109"/>
        <v>-1.229162301975556</v>
      </c>
      <c r="E564" s="291">
        <f t="shared" ca="1" si="110"/>
        <v>-1.2383874820937469E-2</v>
      </c>
      <c r="F564" s="293">
        <f t="shared" ca="1" si="111"/>
        <v>0.97295409599523985</v>
      </c>
      <c r="G564" s="90">
        <f t="shared" ca="1" si="106"/>
        <v>0.98344928268637821</v>
      </c>
      <c r="T564" s="289">
        <f t="shared" ca="1" si="114"/>
        <v>1</v>
      </c>
      <c r="U564" s="290">
        <f t="shared" ca="1" si="114"/>
        <v>1.0059915189488695</v>
      </c>
      <c r="V564" s="290">
        <f t="shared" ca="1" si="114"/>
        <v>1.0115868039988678</v>
      </c>
      <c r="W564" s="290">
        <f t="shared" ca="1" si="114"/>
        <v>1.0167932615376367</v>
      </c>
      <c r="X564" s="290">
        <f t="shared" ca="1" si="114"/>
        <v>1.0216189318988862</v>
      </c>
      <c r="Y564" s="290">
        <f t="shared" ca="1" si="114"/>
        <v>1.0260724454129471</v>
      </c>
      <c r="Z564" s="290">
        <f t="shared" ca="1" si="114"/>
        <v>1.0301629786825084</v>
      </c>
      <c r="AA564" s="290">
        <f t="shared" ca="1" si="114"/>
        <v>1.0339002112818816</v>
      </c>
      <c r="AB564" s="290">
        <f t="shared" ca="1" si="114"/>
        <v>1.0372942830640717</v>
      </c>
      <c r="AC564" s="290">
        <f t="shared" ca="1" si="114"/>
        <v>1.0403557522446409</v>
      </c>
      <c r="AD564" s="290">
        <f t="shared" ca="1" si="114"/>
        <v>1.0430955544159921</v>
      </c>
    </row>
    <row r="565" spans="1:30">
      <c r="A565" s="90">
        <v>479</v>
      </c>
      <c r="B565" s="90">
        <f t="shared" si="107"/>
        <v>1.9160000000000001</v>
      </c>
      <c r="C565" s="291">
        <f t="shared" ca="1" si="108"/>
        <v>-1.2376813101410913E-2</v>
      </c>
      <c r="D565" s="292">
        <f t="shared" ca="1" si="109"/>
        <v>1.4371528477960296</v>
      </c>
      <c r="E565" s="291">
        <f t="shared" ca="1" si="110"/>
        <v>-1.1447941066099527E-2</v>
      </c>
      <c r="F565" s="293">
        <f t="shared" ca="1" si="111"/>
        <v>0.97290772257464686</v>
      </c>
      <c r="G565" s="90">
        <f t="shared" ca="1" si="106"/>
        <v>0.98340240903899279</v>
      </c>
      <c r="T565" s="289">
        <f t="shared" ca="1" si="114"/>
        <v>1</v>
      </c>
      <c r="U565" s="290">
        <f t="shared" ca="1" si="114"/>
        <v>1.0055215427765818</v>
      </c>
      <c r="V565" s="290">
        <f t="shared" ca="1" si="114"/>
        <v>1.0106432175683779</v>
      </c>
      <c r="W565" s="290">
        <f t="shared" ca="1" si="114"/>
        <v>1.0153729942839049</v>
      </c>
      <c r="X565" s="290">
        <f t="shared" ca="1" si="114"/>
        <v>1.0197194580647699</v>
      </c>
      <c r="Y565" s="290">
        <f t="shared" ca="1" si="114"/>
        <v>1.0236917641166019</v>
      </c>
      <c r="Z565" s="290">
        <f t="shared" ca="1" si="114"/>
        <v>1.0272995928994075</v>
      </c>
      <c r="AA565" s="290">
        <f t="shared" ca="1" si="114"/>
        <v>1.0305531058727759</v>
      </c>
      <c r="AB565" s="290">
        <f t="shared" ca="1" si="114"/>
        <v>1.0334629019766584</v>
      </c>
      <c r="AC565" s="290">
        <f t="shared" ca="1" si="114"/>
        <v>1.0360399750125695</v>
      </c>
      <c r="AD565" s="290">
        <f t="shared" ca="1" si="114"/>
        <v>1.0382956720742083</v>
      </c>
    </row>
    <row r="566" spans="1:30">
      <c r="A566" s="90">
        <v>480</v>
      </c>
      <c r="B566" s="90">
        <f t="shared" si="107"/>
        <v>1.92</v>
      </c>
      <c r="C566" s="291">
        <f t="shared" ca="1" si="108"/>
        <v>-1.1440901148078672E-2</v>
      </c>
      <c r="D566" s="292">
        <f t="shared" ca="1" si="109"/>
        <v>-0.48135149462664051</v>
      </c>
      <c r="E566" s="291">
        <f t="shared" ca="1" si="110"/>
        <v>-1.1752012066586543E-2</v>
      </c>
      <c r="F566" s="293">
        <f t="shared" ca="1" si="111"/>
        <v>0.97286258079480981</v>
      </c>
      <c r="G566" s="90">
        <f t="shared" ca="1" si="106"/>
        <v>0.98335678031798457</v>
      </c>
      <c r="T566" s="289">
        <f t="shared" ref="T566:AD575" ca="1" si="115">EXP(T$82-$E566*T$83)</f>
        <v>1</v>
      </c>
      <c r="U566" s="290">
        <f t="shared" ca="1" si="115"/>
        <v>1.005674206983165</v>
      </c>
      <c r="V566" s="290">
        <f t="shared" ca="1" si="115"/>
        <v>1.0109496782453948</v>
      </c>
      <c r="W566" s="290">
        <f t="shared" ca="1" si="115"/>
        <v>1.0158342003599823</v>
      </c>
      <c r="X566" s="290">
        <f t="shared" ca="1" si="115"/>
        <v>1.0203361813259826</v>
      </c>
      <c r="Y566" s="290">
        <f t="shared" ca="1" si="115"/>
        <v>1.0244646057894704</v>
      </c>
      <c r="Z566" s="290">
        <f t="shared" ca="1" si="115"/>
        <v>1.028228990580331</v>
      </c>
      <c r="AA566" s="290">
        <f t="shared" ca="1" si="115"/>
        <v>1.0316393407610009</v>
      </c>
      <c r="AB566" s="290">
        <f t="shared" ca="1" si="115"/>
        <v>1.0347061063690923</v>
      </c>
      <c r="AC566" s="290">
        <f t="shared" ca="1" si="115"/>
        <v>1.0374401400201338</v>
      </c>
      <c r="AD566" s="290">
        <f t="shared" ca="1" si="115"/>
        <v>1.0398526555209764</v>
      </c>
    </row>
    <row r="567" spans="1:30">
      <c r="A567" s="90">
        <v>481</v>
      </c>
      <c r="B567" s="90">
        <f t="shared" si="107"/>
        <v>1.9239999999999999</v>
      </c>
      <c r="C567" s="291">
        <f t="shared" ca="1" si="108"/>
        <v>-1.1744965065579724E-2</v>
      </c>
      <c r="D567" s="292">
        <f t="shared" ca="1" si="109"/>
        <v>-0.31763668388163524</v>
      </c>
      <c r="E567" s="291">
        <f t="shared" ca="1" si="110"/>
        <v>-1.195026252819768E-2</v>
      </c>
      <c r="F567" s="293">
        <f t="shared" ca="1" si="111"/>
        <v>0.97281646377583064</v>
      </c>
      <c r="G567" s="90">
        <f t="shared" ca="1" si="106"/>
        <v>0.98331016583799902</v>
      </c>
      <c r="T567" s="289">
        <f t="shared" ca="1" si="115"/>
        <v>1</v>
      </c>
      <c r="U567" s="290">
        <f t="shared" ca="1" si="115"/>
        <v>1.00577375460479</v>
      </c>
      <c r="V567" s="290">
        <f t="shared" ca="1" si="115"/>
        <v>1.0111495367900321</v>
      </c>
      <c r="W567" s="290">
        <f t="shared" ca="1" si="115"/>
        <v>1.0161350137238496</v>
      </c>
      <c r="X567" s="290">
        <f t="shared" ca="1" si="115"/>
        <v>1.0207384779790585</v>
      </c>
      <c r="Y567" s="290">
        <f t="shared" ca="1" si="115"/>
        <v>1.0249688030119963</v>
      </c>
      <c r="Z567" s="290">
        <f t="shared" ca="1" si="115"/>
        <v>1.0288353989284102</v>
      </c>
      <c r="AA567" s="290">
        <f t="shared" ca="1" si="115"/>
        <v>1.032348168733447</v>
      </c>
      <c r="AB567" s="290">
        <f t="shared" ca="1" si="115"/>
        <v>1.0355174652484345</v>
      </c>
      <c r="AC567" s="290">
        <f t="shared" ca="1" si="115"/>
        <v>1.0383540488615737</v>
      </c>
      <c r="AD567" s="290">
        <f t="shared" ca="1" si="115"/>
        <v>1.0408690462640733</v>
      </c>
    </row>
    <row r="568" spans="1:30">
      <c r="A568" s="90">
        <v>482</v>
      </c>
      <c r="B568" s="90">
        <f t="shared" si="107"/>
        <v>1.9279999999999999</v>
      </c>
      <c r="C568" s="291">
        <f t="shared" ca="1" si="108"/>
        <v>-1.1943210909173241E-2</v>
      </c>
      <c r="D568" s="292">
        <f t="shared" ca="1" si="109"/>
        <v>-0.82535770539910258</v>
      </c>
      <c r="E568" s="291">
        <f t="shared" ca="1" si="110"/>
        <v>-1.2476662652214848E-2</v>
      </c>
      <c r="F568" s="293">
        <f t="shared" ca="1" si="111"/>
        <v>0.97276893910677176</v>
      </c>
      <c r="G568" s="90">
        <f t="shared" ca="1" si="106"/>
        <v>0.98326212852371231</v>
      </c>
      <c r="T568" s="289">
        <f t="shared" ca="1" si="115"/>
        <v>1</v>
      </c>
      <c r="U568" s="290">
        <f t="shared" ca="1" si="115"/>
        <v>1.0060381240311491</v>
      </c>
      <c r="V568" s="290">
        <f t="shared" ca="1" si="115"/>
        <v>1.0116803984969343</v>
      </c>
      <c r="W568" s="290">
        <f t="shared" ca="1" si="115"/>
        <v>1.0169341740536175</v>
      </c>
      <c r="X568" s="290">
        <f t="shared" ca="1" si="115"/>
        <v>1.0218074371025172</v>
      </c>
      <c r="Y568" s="290">
        <f t="shared" ca="1" si="115"/>
        <v>1.026308765964375</v>
      </c>
      <c r="Z568" s="290">
        <f t="shared" ca="1" si="115"/>
        <v>1.0304472872657462</v>
      </c>
      <c r="AA568" s="290">
        <f t="shared" ca="1" si="115"/>
        <v>1.0342326327360103</v>
      </c>
      <c r="AB568" s="290">
        <f t="shared" ca="1" si="115"/>
        <v>1.037674896599619</v>
      </c>
      <c r="AC568" s="290">
        <f t="shared" ca="1" si="115"/>
        <v>1.0407845937329496</v>
      </c>
      <c r="AD568" s="290">
        <f t="shared" ca="1" si="115"/>
        <v>1.043572618739832</v>
      </c>
    </row>
    <row r="569" spans="1:30">
      <c r="A569" s="90">
        <v>483</v>
      </c>
      <c r="B569" s="90">
        <f t="shared" si="107"/>
        <v>1.9319999999999999</v>
      </c>
      <c r="C569" s="291">
        <f t="shared" ca="1" si="108"/>
        <v>-1.2469598771301953E-2</v>
      </c>
      <c r="D569" s="292">
        <f t="shared" ca="1" si="109"/>
        <v>0.6089984293248939</v>
      </c>
      <c r="E569" s="291">
        <f t="shared" ca="1" si="110"/>
        <v>-1.2075986072822483E-2</v>
      </c>
      <c r="F569" s="293">
        <f t="shared" ca="1" si="111"/>
        <v>0.97272117217148113</v>
      </c>
      <c r="G569" s="90">
        <f t="shared" ca="1" si="106"/>
        <v>0.98321384632988518</v>
      </c>
      <c r="T569" s="289">
        <f t="shared" ca="1" si="115"/>
        <v>1</v>
      </c>
      <c r="U569" s="290">
        <f t="shared" ca="1" si="115"/>
        <v>1.0058368893485075</v>
      </c>
      <c r="V569" s="290">
        <f t="shared" ca="1" si="115"/>
        <v>1.0112763005975969</v>
      </c>
      <c r="W569" s="290">
        <f t="shared" ca="1" si="115"/>
        <v>1.0163258252479765</v>
      </c>
      <c r="X569" s="290">
        <f t="shared" ca="1" si="115"/>
        <v>1.020993682704368</v>
      </c>
      <c r="Y569" s="290">
        <f t="shared" ca="1" si="115"/>
        <v>1.0252886759189255</v>
      </c>
      <c r="Z569" s="290">
        <f t="shared" ca="1" si="115"/>
        <v>1.0292201473037197</v>
      </c>
      <c r="AA569" s="290">
        <f t="shared" ca="1" si="115"/>
        <v>1.0327979351097103</v>
      </c>
      <c r="AB569" s="290">
        <f t="shared" ca="1" si="115"/>
        <v>1.0360323304553698</v>
      </c>
      <c r="AC569" s="290">
        <f t="shared" ca="1" si="115"/>
        <v>1.0389340351726291</v>
      </c>
      <c r="AD569" s="290">
        <f t="shared" ca="1" si="115"/>
        <v>1.0415141206222902</v>
      </c>
    </row>
    <row r="570" spans="1:30">
      <c r="A570" s="90">
        <v>484</v>
      </c>
      <c r="B570" s="90">
        <f t="shared" si="107"/>
        <v>1.9359999999999999</v>
      </c>
      <c r="C570" s="291">
        <f t="shared" ca="1" si="108"/>
        <v>-1.2068931525211955E-2</v>
      </c>
      <c r="D570" s="292">
        <f t="shared" ca="1" si="109"/>
        <v>-2.5106410569846638</v>
      </c>
      <c r="E570" s="291">
        <f t="shared" ca="1" si="110"/>
        <v>-1.3691628980193205E-2</v>
      </c>
      <c r="F570" s="293">
        <f t="shared" ca="1" si="111"/>
        <v>0.97267104405373739</v>
      </c>
      <c r="G570" s="90">
        <f t="shared" ca="1" si="106"/>
        <v>0.98316317748369764</v>
      </c>
      <c r="T570" s="289">
        <f t="shared" ca="1" si="115"/>
        <v>1</v>
      </c>
      <c r="U570" s="290">
        <f t="shared" ca="1" si="115"/>
        <v>1.0066485714820346</v>
      </c>
      <c r="V570" s="290">
        <f t="shared" ca="1" si="115"/>
        <v>1.0129067266927725</v>
      </c>
      <c r="W570" s="290">
        <f t="shared" ca="1" si="115"/>
        <v>1.0187810892473277</v>
      </c>
      <c r="X570" s="290">
        <f t="shared" ca="1" si="115"/>
        <v>1.0242789411260147</v>
      </c>
      <c r="Y570" s="290">
        <f t="shared" ca="1" si="115"/>
        <v>1.0294081805166577</v>
      </c>
      <c r="Z570" s="290">
        <f t="shared" ca="1" si="115"/>
        <v>1.034177279699015</v>
      </c>
      <c r="AA570" s="290">
        <f t="shared" ca="1" si="115"/>
        <v>1.0385952431729757</v>
      </c>
      <c r="AB570" s="290">
        <f t="shared" ca="1" si="115"/>
        <v>1.0426715662190613</v>
      </c>
      <c r="AC570" s="290">
        <f t="shared" ca="1" si="115"/>
        <v>1.0464161940652943</v>
      </c>
      <c r="AD570" s="290">
        <f t="shared" ca="1" si="115"/>
        <v>1.0498394818198851</v>
      </c>
    </row>
    <row r="571" spans="1:30">
      <c r="A571" s="90">
        <v>485</v>
      </c>
      <c r="B571" s="90">
        <f t="shared" si="107"/>
        <v>1.94</v>
      </c>
      <c r="C571" s="291">
        <f t="shared" ca="1" si="108"/>
        <v>-1.3684536798030153E-2</v>
      </c>
      <c r="D571" s="292">
        <f t="shared" ca="1" si="109"/>
        <v>0.84783110805956896</v>
      </c>
      <c r="E571" s="291">
        <f t="shared" ca="1" si="110"/>
        <v>-1.3136559867008986E-2</v>
      </c>
      <c r="F571" s="293">
        <f t="shared" ca="1" si="111"/>
        <v>0.97261885544896343</v>
      </c>
      <c r="G571" s="90">
        <f t="shared" ca="1" si="106"/>
        <v>0.98311042592415276</v>
      </c>
      <c r="T571" s="289">
        <f t="shared" ca="1" si="115"/>
        <v>1</v>
      </c>
      <c r="U571" s="290">
        <f t="shared" ca="1" si="115"/>
        <v>1.0063696367193455</v>
      </c>
      <c r="V571" s="290">
        <f t="shared" ca="1" si="115"/>
        <v>1.0123462824774507</v>
      </c>
      <c r="W571" s="290">
        <f t="shared" ca="1" si="115"/>
        <v>1.0179368923864358</v>
      </c>
      <c r="X571" s="290">
        <f t="shared" ca="1" si="115"/>
        <v>1.0231490698051271</v>
      </c>
      <c r="Y571" s="290">
        <f t="shared" ca="1" si="115"/>
        <v>1.0279910234087153</v>
      </c>
      <c r="Z571" s="290">
        <f t="shared" ca="1" si="115"/>
        <v>1.0324715243775695</v>
      </c>
      <c r="AA571" s="290">
        <f t="shared" ca="1" si="115"/>
        <v>1.0365998639055616</v>
      </c>
      <c r="AB571" s="290">
        <f t="shared" ca="1" si="115"/>
        <v>1.0403858112147268</v>
      </c>
      <c r="AC571" s="290">
        <f t="shared" ca="1" si="115"/>
        <v>1.0438395722482738</v>
      </c>
      <c r="AD571" s="290">
        <f t="shared" ca="1" si="115"/>
        <v>1.0469717491990125</v>
      </c>
    </row>
    <row r="572" spans="1:30">
      <c r="A572" s="90">
        <v>486</v>
      </c>
      <c r="B572" s="90">
        <f t="shared" si="107"/>
        <v>1.944</v>
      </c>
      <c r="C572" s="291">
        <f t="shared" ca="1" si="108"/>
        <v>-1.3129480614545682E-2</v>
      </c>
      <c r="D572" s="292">
        <f t="shared" ca="1" si="109"/>
        <v>-1.6964934099268321</v>
      </c>
      <c r="E572" s="291">
        <f t="shared" ca="1" si="110"/>
        <v>-1.4225971700367015E-2</v>
      </c>
      <c r="F572" s="293">
        <f t="shared" ca="1" si="111"/>
        <v>0.97256563027708165</v>
      </c>
      <c r="G572" s="90">
        <f t="shared" ca="1" si="106"/>
        <v>0.98305662661612436</v>
      </c>
      <c r="T572" s="289">
        <f t="shared" ca="1" si="115"/>
        <v>1</v>
      </c>
      <c r="U572" s="290">
        <f t="shared" ca="1" si="115"/>
        <v>1.0069171637997596</v>
      </c>
      <c r="V572" s="290">
        <f t="shared" ca="1" si="115"/>
        <v>1.0134465369108849</v>
      </c>
      <c r="W572" s="290">
        <f t="shared" ca="1" si="115"/>
        <v>1.019594425004984</v>
      </c>
      <c r="X572" s="290">
        <f t="shared" ca="1" si="115"/>
        <v>1.0253678015168199</v>
      </c>
      <c r="Y572" s="290">
        <f t="shared" ca="1" si="115"/>
        <v>1.0307742662468427</v>
      </c>
      <c r="Z572" s="290">
        <f t="shared" ca="1" si="115"/>
        <v>1.0358220039326389</v>
      </c>
      <c r="AA572" s="290">
        <f t="shared" ca="1" si="115"/>
        <v>1.040519742992063</v>
      </c>
      <c r="AB572" s="290">
        <f t="shared" ca="1" si="115"/>
        <v>1.0448767146280713</v>
      </c>
      <c r="AC572" s="290">
        <f t="shared" ca="1" si="115"/>
        <v>1.0489026124711749</v>
      </c>
      <c r="AD572" s="290">
        <f t="shared" ca="1" si="115"/>
        <v>1.0526075529211163</v>
      </c>
    </row>
    <row r="573" spans="1:30">
      <c r="A573" s="90">
        <v>487</v>
      </c>
      <c r="B573" s="90">
        <f t="shared" si="107"/>
        <v>1.948</v>
      </c>
      <c r="C573" s="291">
        <f t="shared" ca="1" si="108"/>
        <v>-1.4218867071301816E-2</v>
      </c>
      <c r="D573" s="292">
        <f t="shared" ca="1" si="109"/>
        <v>-1.2199372704361231</v>
      </c>
      <c r="E573" s="291">
        <f t="shared" ca="1" si="110"/>
        <v>-1.5007346610607607E-2</v>
      </c>
      <c r="F573" s="293">
        <f t="shared" ca="1" si="111"/>
        <v>0.97250876929803665</v>
      </c>
      <c r="G573" s="90">
        <f t="shared" ca="1" si="106"/>
        <v>0.98299915228173917</v>
      </c>
      <c r="T573" s="289">
        <f t="shared" ca="1" si="115"/>
        <v>1</v>
      </c>
      <c r="U573" s="290">
        <f t="shared" ca="1" si="115"/>
        <v>1.0073100581626724</v>
      </c>
      <c r="V573" s="290">
        <f t="shared" ca="1" si="115"/>
        <v>1.0142364249655871</v>
      </c>
      <c r="W573" s="290">
        <f t="shared" ca="1" si="115"/>
        <v>1.0207849434669531</v>
      </c>
      <c r="X573" s="290">
        <f t="shared" ca="1" si="115"/>
        <v>1.0269621376261679</v>
      </c>
      <c r="Y573" s="290">
        <f t="shared" ca="1" si="115"/>
        <v>1.0327751720461404</v>
      </c>
      <c r="Z573" s="290">
        <f t="shared" ca="1" si="115"/>
        <v>1.0382318115792619</v>
      </c>
      <c r="AA573" s="290">
        <f t="shared" ca="1" si="115"/>
        <v>1.0433403810011401</v>
      </c>
      <c r="AB573" s="290">
        <f t="shared" ca="1" si="115"/>
        <v>1.0481097249440612</v>
      </c>
      <c r="AC573" s="290">
        <f t="shared" ca="1" si="115"/>
        <v>1.0525491682685515</v>
      </c>
      <c r="AD573" s="290">
        <f t="shared" ca="1" si="115"/>
        <v>1.0566684770375738</v>
      </c>
    </row>
    <row r="574" spans="1:30">
      <c r="A574" s="90">
        <v>488</v>
      </c>
      <c r="B574" s="90">
        <f t="shared" si="107"/>
        <v>1.952</v>
      </c>
      <c r="C574" s="291">
        <f t="shared" ca="1" si="108"/>
        <v>-1.500022378030811E-2</v>
      </c>
      <c r="D574" s="292">
        <f t="shared" ca="1" si="109"/>
        <v>-0.26475968367772351</v>
      </c>
      <c r="E574" s="291">
        <f t="shared" ca="1" si="110"/>
        <v>-1.5171345360467988E-2</v>
      </c>
      <c r="F574" s="293">
        <f t="shared" ca="1" si="111"/>
        <v>0.9724500729842569</v>
      </c>
      <c r="G574" s="90">
        <f t="shared" ca="1" si="106"/>
        <v>0.98293982281499381</v>
      </c>
      <c r="T574" s="289">
        <f t="shared" ca="1" si="115"/>
        <v>1</v>
      </c>
      <c r="U574" s="290">
        <f t="shared" ca="1" si="115"/>
        <v>1.0073925401970323</v>
      </c>
      <c r="V574" s="290">
        <f t="shared" ca="1" si="115"/>
        <v>1.0144022886467363</v>
      </c>
      <c r="W574" s="290">
        <f t="shared" ca="1" si="115"/>
        <v>1.0210349916904808</v>
      </c>
      <c r="X574" s="290">
        <f t="shared" ca="1" si="115"/>
        <v>1.0272970792372007</v>
      </c>
      <c r="Y574" s="290">
        <f t="shared" ca="1" si="115"/>
        <v>1.0331956247490797</v>
      </c>
      <c r="Z574" s="290">
        <f t="shared" ca="1" si="115"/>
        <v>1.038738305069054</v>
      </c>
      <c r="AA574" s="290">
        <f t="shared" ca="1" si="115"/>
        <v>1.0439333602945076</v>
      </c>
      <c r="AB574" s="290">
        <f t="shared" ca="1" si="115"/>
        <v>1.0487895538894887</v>
      </c>
      <c r="AC574" s="290">
        <f t="shared" ca="1" si="115"/>
        <v>1.0533161332142997</v>
      </c>
      <c r="AD574" s="290">
        <f t="shared" ca="1" si="115"/>
        <v>1.0575227906375793</v>
      </c>
    </row>
    <row r="575" spans="1:30">
      <c r="A575" s="90">
        <v>489</v>
      </c>
      <c r="B575" s="90">
        <f t="shared" si="107"/>
        <v>1.956</v>
      </c>
      <c r="C575" s="291">
        <f t="shared" ca="1" si="108"/>
        <v>-1.5164218710005299E-2</v>
      </c>
      <c r="D575" s="292">
        <f t="shared" ca="1" si="109"/>
        <v>-0.79341093229164927</v>
      </c>
      <c r="E575" s="291">
        <f t="shared" ca="1" si="110"/>
        <v>-1.5677022361089629E-2</v>
      </c>
      <c r="F575" s="293">
        <f t="shared" ca="1" si="111"/>
        <v>0.97239007784014364</v>
      </c>
      <c r="G575" s="90">
        <f t="shared" ca="1" si="106"/>
        <v>0.98287918050752443</v>
      </c>
      <c r="T575" s="289">
        <f t="shared" ca="1" si="115"/>
        <v>1</v>
      </c>
      <c r="U575" s="290">
        <f t="shared" ca="1" si="115"/>
        <v>1.0076469094603502</v>
      </c>
      <c r="V575" s="290">
        <f t="shared" ca="1" si="115"/>
        <v>1.0149138867944609</v>
      </c>
      <c r="W575" s="290">
        <f t="shared" ca="1" si="115"/>
        <v>1.0218063810144897</v>
      </c>
      <c r="X575" s="290">
        <f t="shared" ca="1" si="115"/>
        <v>1.0283305327230261</v>
      </c>
      <c r="Y575" s="290">
        <f t="shared" ca="1" si="115"/>
        <v>1.034493134857938</v>
      </c>
      <c r="Z575" s="290">
        <f t="shared" ca="1" si="115"/>
        <v>1.0403015932123696</v>
      </c>
      <c r="AA575" s="290">
        <f t="shared" ca="1" si="115"/>
        <v>1.0457638869349328</v>
      </c>
      <c r="AB575" s="290">
        <f t="shared" ca="1" si="115"/>
        <v>1.0508885292034842</v>
      </c>
      <c r="AC575" s="290">
        <f t="shared" ca="1" si="115"/>
        <v>1.0556845282527436</v>
      </c>
      <c r="AD575" s="290">
        <f t="shared" ca="1" si="115"/>
        <v>1.0601613489225816</v>
      </c>
    </row>
    <row r="576" spans="1:30">
      <c r="A576" s="90">
        <v>490</v>
      </c>
      <c r="B576" s="90">
        <f t="shared" si="107"/>
        <v>1.96</v>
      </c>
      <c r="C576" s="291">
        <f t="shared" ca="1" si="108"/>
        <v>-1.5669883931459929E-2</v>
      </c>
      <c r="D576" s="292">
        <f t="shared" ca="1" si="109"/>
        <v>-0.60497289690498002</v>
      </c>
      <c r="E576" s="291">
        <f t="shared" ca="1" si="110"/>
        <v>-1.6060894815874995E-2</v>
      </c>
      <c r="F576" s="293">
        <f t="shared" ca="1" si="111"/>
        <v>0.97232835652756189</v>
      </c>
      <c r="G576" s="90">
        <f t="shared" ca="1" si="106"/>
        <v>0.98281679341153005</v>
      </c>
      <c r="T576" s="289">
        <f t="shared" ref="T576:AD586" ca="1" si="116">EXP(T$82-$E576*T$83)</f>
        <v>1</v>
      </c>
      <c r="U576" s="290">
        <f t="shared" ca="1" si="116"/>
        <v>1.007840050614127</v>
      </c>
      <c r="V576" s="290">
        <f t="shared" ca="1" si="116"/>
        <v>1.0153024264151882</v>
      </c>
      <c r="W576" s="290">
        <f t="shared" ca="1" si="116"/>
        <v>1.0223923516475701</v>
      </c>
      <c r="X576" s="290">
        <f t="shared" ca="1" si="116"/>
        <v>1.0291157480363307</v>
      </c>
      <c r="Y576" s="290">
        <f t="shared" ca="1" si="116"/>
        <v>1.0354791961170446</v>
      </c>
      <c r="Z576" s="290">
        <f t="shared" ca="1" si="116"/>
        <v>1.0414898962908177</v>
      </c>
      <c r="AA576" s="290">
        <f t="shared" ca="1" si="116"/>
        <v>1.0471556298099418</v>
      </c>
      <c r="AB576" s="290">
        <f t="shared" ca="1" si="116"/>
        <v>1.0524847198883076</v>
      </c>
      <c r="AC576" s="290">
        <f t="shared" ca="1" si="116"/>
        <v>1.0574859931178118</v>
      </c>
      <c r="AD576" s="290">
        <f t="shared" ca="1" si="116"/>
        <v>1.0621687413588203</v>
      </c>
    </row>
    <row r="577" spans="1:30">
      <c r="A577" s="90">
        <v>491</v>
      </c>
      <c r="B577" s="90">
        <f t="shared" si="107"/>
        <v>1.964</v>
      </c>
      <c r="C577" s="291">
        <f t="shared" ca="1" si="108"/>
        <v>-1.6053747444375776E-2</v>
      </c>
      <c r="D577" s="292">
        <f t="shared" ca="1" si="109"/>
        <v>-0.12005384571295963</v>
      </c>
      <c r="E577" s="291">
        <f t="shared" ca="1" si="110"/>
        <v>-1.6131341598807834E-2</v>
      </c>
      <c r="F577" s="293">
        <f t="shared" ca="1" si="111"/>
        <v>0.97226575569419227</v>
      </c>
      <c r="G577" s="90">
        <f t="shared" ca="1" si="106"/>
        <v>0.98275351730741956</v>
      </c>
      <c r="T577" s="289">
        <f t="shared" ca="1" si="116"/>
        <v>1</v>
      </c>
      <c r="U577" s="290">
        <f t="shared" ca="1" si="116"/>
        <v>1.0078754991491079</v>
      </c>
      <c r="V577" s="290">
        <f t="shared" ca="1" si="116"/>
        <v>1.0153737458498635</v>
      </c>
      <c r="W577" s="290">
        <f t="shared" ca="1" si="116"/>
        <v>1.0224999231903833</v>
      </c>
      <c r="X577" s="290">
        <f t="shared" ca="1" si="116"/>
        <v>1.0292599128016753</v>
      </c>
      <c r="Y577" s="290">
        <f t="shared" ca="1" si="116"/>
        <v>1.0356602562956412</v>
      </c>
      <c r="Z577" s="290">
        <f t="shared" ca="1" si="116"/>
        <v>1.0417081164191342</v>
      </c>
      <c r="AA577" s="290">
        <f t="shared" ca="1" si="116"/>
        <v>1.0474112381296203</v>
      </c>
      <c r="AB577" s="290">
        <f t="shared" ca="1" si="116"/>
        <v>1.0527779097866745</v>
      </c>
      <c r="AC577" s="290">
        <f t="shared" ca="1" si="116"/>
        <v>1.0578169246407358</v>
      </c>
      <c r="AD577" s="290">
        <f t="shared" ca="1" si="116"/>
        <v>1.0625375427873869</v>
      </c>
    </row>
    <row r="578" spans="1:30">
      <c r="A578" s="90">
        <v>492</v>
      </c>
      <c r="B578" s="90">
        <f t="shared" si="107"/>
        <v>1.968</v>
      </c>
      <c r="C578" s="291">
        <f t="shared" ca="1" si="108"/>
        <v>-1.612419258633143E-2</v>
      </c>
      <c r="D578" s="292">
        <f t="shared" ca="1" si="109"/>
        <v>0.28872248435853998</v>
      </c>
      <c r="E578" s="291">
        <f t="shared" ca="1" si="110"/>
        <v>-1.5937583178642082E-2</v>
      </c>
      <c r="F578" s="293">
        <f t="shared" ca="1" si="111"/>
        <v>0.9722033986591706</v>
      </c>
      <c r="G578" s="90">
        <f t="shared" ca="1" si="106"/>
        <v>0.98269048763149247</v>
      </c>
      <c r="T578" s="289">
        <f t="shared" ca="1" si="116"/>
        <v>1</v>
      </c>
      <c r="U578" s="290">
        <f t="shared" ca="1" si="116"/>
        <v>1.0077780037004487</v>
      </c>
      <c r="V578" s="290">
        <f t="shared" ca="1" si="116"/>
        <v>1.0151775993272045</v>
      </c>
      <c r="W578" s="290">
        <f t="shared" ca="1" si="116"/>
        <v>1.0222040832351653</v>
      </c>
      <c r="X578" s="290">
        <f t="shared" ca="1" si="116"/>
        <v>1.0288634473865872</v>
      </c>
      <c r="Y578" s="290">
        <f t="shared" ca="1" si="116"/>
        <v>1.0351623404922037</v>
      </c>
      <c r="Z578" s="290">
        <f t="shared" ca="1" si="116"/>
        <v>1.041108028893508</v>
      </c>
      <c r="AA578" s="290">
        <f t="shared" ca="1" si="116"/>
        <v>1.0467083573915446</v>
      </c>
      <c r="AB578" s="290">
        <f t="shared" ca="1" si="116"/>
        <v>1.0519717102160964</v>
      </c>
      <c r="AC578" s="290">
        <f t="shared" ca="1" si="116"/>
        <v>1.0569069723162017</v>
      </c>
      <c r="AD578" s="290">
        <f t="shared" ca="1" si="116"/>
        <v>1.0615234911396669</v>
      </c>
    </row>
    <row r="579" spans="1:30">
      <c r="A579" s="90">
        <v>493</v>
      </c>
      <c r="B579" s="90">
        <f t="shared" si="107"/>
        <v>1.972</v>
      </c>
      <c r="C579" s="291">
        <f t="shared" ca="1" si="108"/>
        <v>-1.5930438679546331E-2</v>
      </c>
      <c r="D579" s="292">
        <f t="shared" ca="1" si="109"/>
        <v>1.2638623803665618</v>
      </c>
      <c r="E579" s="291">
        <f t="shared" ca="1" si="110"/>
        <v>-1.5113569114555426E-2</v>
      </c>
      <c r="F579" s="293">
        <f t="shared" ca="1" si="111"/>
        <v>0.97214302446229495</v>
      </c>
      <c r="G579" s="90">
        <f t="shared" ca="1" si="106"/>
        <v>0.98262946218244551</v>
      </c>
      <c r="T579" s="289">
        <f t="shared" ca="1" si="116"/>
        <v>1</v>
      </c>
      <c r="U579" s="290">
        <f t="shared" ca="1" si="116"/>
        <v>1.0073634812641321</v>
      </c>
      <c r="V579" s="290">
        <f t="shared" ca="1" si="116"/>
        <v>1.0143438522969026</v>
      </c>
      <c r="W579" s="290">
        <f t="shared" ca="1" si="116"/>
        <v>1.0209468934970396</v>
      </c>
      <c r="X579" s="290">
        <f t="shared" ca="1" si="116"/>
        <v>1.0271790678950841</v>
      </c>
      <c r="Y579" s="290">
        <f t="shared" ca="1" si="116"/>
        <v>1.0330474810531765</v>
      </c>
      <c r="Z579" s="290">
        <f t="shared" ca="1" si="116"/>
        <v>1.0385598408143435</v>
      </c>
      <c r="AA579" s="290">
        <f t="shared" ca="1" si="116"/>
        <v>1.043724417105566</v>
      </c>
      <c r="AB579" s="290">
        <f t="shared" ca="1" si="116"/>
        <v>1.0485500019868306</v>
      </c>
      <c r="AC579" s="290">
        <f t="shared" ca="1" si="116"/>
        <v>1.0530458701248522</v>
      </c>
      <c r="AD579" s="290">
        <f t="shared" ca="1" si="116"/>
        <v>1.0572217398563761</v>
      </c>
    </row>
    <row r="580" spans="1:30">
      <c r="A580" s="90">
        <v>494</v>
      </c>
      <c r="B580" s="90">
        <f t="shared" si="107"/>
        <v>1.976</v>
      </c>
      <c r="C580" s="291">
        <f t="shared" ca="1" si="108"/>
        <v>-1.5106443809924264E-2</v>
      </c>
      <c r="D580" s="292">
        <f t="shared" ca="1" si="109"/>
        <v>-0.3065521385951569</v>
      </c>
      <c r="E580" s="291">
        <f t="shared" ca="1" si="110"/>
        <v>-1.5304577021254305E-2</v>
      </c>
      <c r="F580" s="293">
        <f t="shared" ca="1" si="111"/>
        <v>0.97208388468406959</v>
      </c>
      <c r="G580" s="90">
        <f t="shared" ca="1" si="106"/>
        <v>0.98256968446763515</v>
      </c>
      <c r="T580" s="289">
        <f t="shared" ca="1" si="116"/>
        <v>1</v>
      </c>
      <c r="U580" s="290">
        <f t="shared" ca="1" si="116"/>
        <v>1.0074595531093631</v>
      </c>
      <c r="V580" s="290">
        <f t="shared" ca="1" si="116"/>
        <v>1.0145370553358426</v>
      </c>
      <c r="W580" s="290">
        <f t="shared" ca="1" si="116"/>
        <v>1.021238174550728</v>
      </c>
      <c r="X580" s="290">
        <f t="shared" ca="1" si="116"/>
        <v>1.0275692643357817</v>
      </c>
      <c r="Y580" s="290">
        <f t="shared" ca="1" si="116"/>
        <v>1.0335373241676582</v>
      </c>
      <c r="Z580" s="290">
        <f t="shared" ca="1" si="116"/>
        <v>1.0391499594264879</v>
      </c>
      <c r="AA580" s="290">
        <f t="shared" ca="1" si="116"/>
        <v>1.0444153414331869</v>
      </c>
      <c r="AB580" s="290">
        <f t="shared" ca="1" si="116"/>
        <v>1.0493421677081127</v>
      </c>
      <c r="AC580" s="290">
        <f t="shared" ca="1" si="116"/>
        <v>1.0539396226302991</v>
      </c>
      <c r="AD580" s="290">
        <f t="shared" ca="1" si="116"/>
        <v>1.0582173386628502</v>
      </c>
    </row>
    <row r="581" spans="1:30">
      <c r="A581" s="90">
        <v>495</v>
      </c>
      <c r="B581" s="90">
        <f t="shared" si="107"/>
        <v>1.98</v>
      </c>
      <c r="C581" s="291">
        <f t="shared" ca="1" si="108"/>
        <v>-1.5297447267312553E-2</v>
      </c>
      <c r="D581" s="292">
        <f t="shared" ca="1" si="109"/>
        <v>-1.9512408389614631</v>
      </c>
      <c r="E581" s="291">
        <f t="shared" ca="1" si="110"/>
        <v>-1.6558588733405287E-2</v>
      </c>
      <c r="F581" s="293">
        <f t="shared" ca="1" si="111"/>
        <v>0.97202193931797587</v>
      </c>
      <c r="G581" s="90">
        <f t="shared" ca="1" si="106"/>
        <v>0.98250707090127942</v>
      </c>
      <c r="T581" s="289">
        <f t="shared" ca="1" si="116"/>
        <v>1</v>
      </c>
      <c r="U581" s="290">
        <f t="shared" ca="1" si="116"/>
        <v>1.0080905148843731</v>
      </c>
      <c r="V581" s="290">
        <f t="shared" ca="1" si="116"/>
        <v>1.0158063928010106</v>
      </c>
      <c r="W581" s="290">
        <f t="shared" ca="1" si="116"/>
        <v>1.0231525678692708</v>
      </c>
      <c r="X581" s="290">
        <f t="shared" ca="1" si="116"/>
        <v>1.0301346790692563</v>
      </c>
      <c r="Y581" s="290">
        <f t="shared" ca="1" si="116"/>
        <v>1.0367590323410052</v>
      </c>
      <c r="Z581" s="290">
        <f t="shared" ca="1" si="116"/>
        <v>1.0430325623448744</v>
      </c>
      <c r="AA581" s="290">
        <f t="shared" ca="1" si="116"/>
        <v>1.0489627940890431</v>
      </c>
      <c r="AB581" s="290">
        <f t="shared" ca="1" si="116"/>
        <v>1.05455780461908</v>
      </c>
      <c r="AC581" s="290">
        <f t="shared" ca="1" si="116"/>
        <v>1.0598261849519977</v>
      </c>
      <c r="AD581" s="290">
        <f t="shared" ca="1" si="116"/>
        <v>1.064777002424341</v>
      </c>
    </row>
    <row r="582" spans="1:30">
      <c r="A582" s="90">
        <v>496</v>
      </c>
      <c r="B582" s="90">
        <f t="shared" si="107"/>
        <v>1.984</v>
      </c>
      <c r="C582" s="291">
        <f t="shared" ca="1" si="108"/>
        <v>-1.6551429768695839E-2</v>
      </c>
      <c r="D582" s="292">
        <f t="shared" ca="1" si="109"/>
        <v>0.49718840293738981</v>
      </c>
      <c r="E582" s="291">
        <f t="shared" ca="1" si="110"/>
        <v>-1.6230083013910563E-2</v>
      </c>
      <c r="F582" s="293">
        <f t="shared" ca="1" si="111"/>
        <v>0.97195819879136702</v>
      </c>
      <c r="G582" s="90">
        <f t="shared" ca="1" si="106"/>
        <v>0.98244264281013971</v>
      </c>
      <c r="T582" s="289">
        <f t="shared" ca="1" si="116"/>
        <v>1</v>
      </c>
      <c r="U582" s="290">
        <f t="shared" ca="1" si="116"/>
        <v>1.0079251875266226</v>
      </c>
      <c r="V582" s="290">
        <f t="shared" ca="1" si="116"/>
        <v>1.0154737188455516</v>
      </c>
      <c r="W582" s="290">
        <f t="shared" ca="1" si="116"/>
        <v>1.0226507194077248</v>
      </c>
      <c r="X582" s="290">
        <f t="shared" ca="1" si="116"/>
        <v>1.0294620146860547</v>
      </c>
      <c r="Y582" s="290">
        <f t="shared" ca="1" si="116"/>
        <v>1.035914091765443</v>
      </c>
      <c r="Z582" s="290">
        <f t="shared" ca="1" si="116"/>
        <v>1.0420140606361099</v>
      </c>
      <c r="AA582" s="290">
        <f t="shared" ca="1" si="116"/>
        <v>1.0477696153958791</v>
      </c>
      <c r="AB582" s="290">
        <f t="shared" ca="1" si="116"/>
        <v>1.053188995555828</v>
      </c>
      <c r="AC582" s="290">
        <f t="shared" ca="1" si="116"/>
        <v>1.0582809476309578</v>
      </c>
      <c r="AD582" s="290">
        <f t="shared" ca="1" si="116"/>
        <v>1.0630546871844595</v>
      </c>
    </row>
    <row r="583" spans="1:30">
      <c r="A583" s="90">
        <v>497</v>
      </c>
      <c r="B583" s="90">
        <f t="shared" si="107"/>
        <v>1.988</v>
      </c>
      <c r="C583" s="291">
        <f t="shared" ca="1" si="108"/>
        <v>-1.6222931701365899E-2</v>
      </c>
      <c r="D583" s="292">
        <f t="shared" ca="1" si="109"/>
        <v>0.7303533368454016</v>
      </c>
      <c r="E583" s="291">
        <f t="shared" ca="1" si="110"/>
        <v>-1.5750883935860351E-2</v>
      </c>
      <c r="F583" s="293">
        <f t="shared" ca="1" si="111"/>
        <v>0.97189603245346357</v>
      </c>
      <c r="G583" s="90">
        <f t="shared" ca="1" si="106"/>
        <v>0.98237980588836704</v>
      </c>
      <c r="T583" s="289">
        <f t="shared" ca="1" si="116"/>
        <v>1</v>
      </c>
      <c r="U583" s="290">
        <f t="shared" ca="1" si="116"/>
        <v>1.007684069213783</v>
      </c>
      <c r="V583" s="290">
        <f t="shared" ca="1" si="116"/>
        <v>1.014988634832833</v>
      </c>
      <c r="W583" s="290">
        <f t="shared" ca="1" si="116"/>
        <v>1.0219191025564593</v>
      </c>
      <c r="X583" s="290">
        <f t="shared" ca="1" si="116"/>
        <v>1.0284815708211659</v>
      </c>
      <c r="Y583" s="290">
        <f t="shared" ca="1" si="116"/>
        <v>1.0346827916574797</v>
      </c>
      <c r="Z583" s="290">
        <f t="shared" ca="1" si="116"/>
        <v>1.0405301313122728</v>
      </c>
      <c r="AA583" s="290">
        <f t="shared" ca="1" si="116"/>
        <v>1.0460315308417067</v>
      </c>
      <c r="AB583" s="290">
        <f t="shared" ca="1" si="116"/>
        <v>1.0511954668683343</v>
      </c>
      <c r="AC583" s="290">
        <f t="shared" ca="1" si="116"/>
        <v>1.0560309126828107</v>
      </c>
      <c r="AD583" s="290">
        <f t="shared" ca="1" si="116"/>
        <v>1.0605472998572847</v>
      </c>
    </row>
    <row r="584" spans="1:30">
      <c r="A584" s="90">
        <v>498</v>
      </c>
      <c r="B584" s="90">
        <f t="shared" si="107"/>
        <v>1.992</v>
      </c>
      <c r="C584" s="291">
        <f t="shared" ca="1" si="108"/>
        <v>-1.5743743785709797E-2</v>
      </c>
      <c r="D584" s="292">
        <f t="shared" ca="1" si="109"/>
        <v>1.0818121399236311</v>
      </c>
      <c r="E584" s="291">
        <f t="shared" ca="1" si="110"/>
        <v>-1.504453837706001E-2</v>
      </c>
      <c r="F584" s="293">
        <f t="shared" ca="1" si="111"/>
        <v>0.97183617439930925</v>
      </c>
      <c r="G584" s="90">
        <f t="shared" ca="1" si="106"/>
        <v>0.98231930214963625</v>
      </c>
      <c r="T584" s="289">
        <f t="shared" ca="1" si="116"/>
        <v>1</v>
      </c>
      <c r="U584" s="290">
        <f t="shared" ca="1" si="116"/>
        <v>1.0073287629116614</v>
      </c>
      <c r="V584" s="290">
        <f t="shared" ca="1" si="116"/>
        <v>1.0142740372846981</v>
      </c>
      <c r="W584" s="290">
        <f t="shared" ca="1" si="116"/>
        <v>1.0208416442317887</v>
      </c>
      <c r="X584" s="290">
        <f t="shared" ca="1" si="116"/>
        <v>1.0270380863742528</v>
      </c>
      <c r="Y584" s="290">
        <f t="shared" ca="1" si="116"/>
        <v>1.0328705076394389</v>
      </c>
      <c r="Z584" s="290">
        <f t="shared" ca="1" si="116"/>
        <v>1.0383466529168031</v>
      </c>
      <c r="AA584" s="290">
        <f t="shared" ca="1" si="116"/>
        <v>1.0434748277768502</v>
      </c>
      <c r="AB584" s="290">
        <f t="shared" ca="1" si="116"/>
        <v>1.0482638584449884</v>
      </c>
      <c r="AC584" s="290">
        <f t="shared" ca="1" si="116"/>
        <v>1.0527230522087778</v>
      </c>
      <c r="AD584" s="290">
        <f t="shared" ca="1" si="116"/>
        <v>1.056862158423242</v>
      </c>
    </row>
    <row r="585" spans="1:30">
      <c r="A585" s="90">
        <v>499</v>
      </c>
      <c r="B585" s="90">
        <f t="shared" si="107"/>
        <v>1.996</v>
      </c>
      <c r="C585" s="291">
        <f t="shared" ca="1" si="108"/>
        <v>-1.5037414680420877E-2</v>
      </c>
      <c r="D585" s="292">
        <f t="shared" ca="1" si="109"/>
        <v>-0.51782745173919809</v>
      </c>
      <c r="E585" s="291">
        <f t="shared" ca="1" si="110"/>
        <v>-1.5372101029040465E-2</v>
      </c>
      <c r="F585" s="293">
        <f t="shared" ca="1" si="111"/>
        <v>0.97177705621654697</v>
      </c>
      <c r="G585" s="90">
        <f t="shared" ca="1" si="106"/>
        <v>0.98225954626323775</v>
      </c>
      <c r="T585" s="289">
        <f t="shared" ca="1" si="116"/>
        <v>1</v>
      </c>
      <c r="U585" s="290">
        <f t="shared" ca="1" si="116"/>
        <v>1.0074935180630828</v>
      </c>
      <c r="V585" s="290">
        <f t="shared" ca="1" si="116"/>
        <v>1.0146053641577384</v>
      </c>
      <c r="W585" s="290">
        <f t="shared" ca="1" si="116"/>
        <v>1.0213411664209135</v>
      </c>
      <c r="X585" s="290">
        <f t="shared" ca="1" si="116"/>
        <v>1.0277072397781342</v>
      </c>
      <c r="Y585" s="290">
        <f t="shared" ca="1" si="116"/>
        <v>1.033710546228999</v>
      </c>
      <c r="Z585" s="290">
        <f t="shared" ca="1" si="116"/>
        <v>1.0393586549479159</v>
      </c>
      <c r="AA585" s="290">
        <f t="shared" ca="1" si="116"/>
        <v>1.0446597024047308</v>
      </c>
      <c r="AB585" s="290">
        <f t="shared" ca="1" si="116"/>
        <v>1.0496223526980173</v>
      </c>
      <c r="AC585" s="290">
        <f t="shared" ca="1" si="116"/>
        <v>1.0542557582804486</v>
      </c>
      <c r="AD585" s="290">
        <f t="shared" ca="1" si="116"/>
        <v>1.0585695212420629</v>
      </c>
    </row>
    <row r="586" spans="1:30">
      <c r="A586" s="90">
        <v>500</v>
      </c>
      <c r="B586" s="90">
        <f t="shared" si="107"/>
        <v>2</v>
      </c>
      <c r="C586" s="291">
        <f t="shared" ca="1" si="108"/>
        <v>-1.536496970220423E-2</v>
      </c>
      <c r="D586" s="292">
        <f t="shared" ca="1" si="109"/>
        <v>0.92307879106576851</v>
      </c>
      <c r="E586" s="291">
        <f t="shared" ca="1" si="110"/>
        <v>-1.4768358091459452E-2</v>
      </c>
      <c r="F586" s="293">
        <f t="shared" ca="1" si="111"/>
        <v>0.97171847836885372</v>
      </c>
      <c r="G586" s="90">
        <f t="shared" ca="1" si="106"/>
        <v>0.98220033654046413</v>
      </c>
      <c r="T586" s="289">
        <f t="shared" ca="1" si="116"/>
        <v>1</v>
      </c>
      <c r="U586" s="290">
        <f t="shared" ca="1" si="116"/>
        <v>1.0071898726349668</v>
      </c>
      <c r="V586" s="290">
        <f t="shared" ca="1" si="116"/>
        <v>1.0139947673156167</v>
      </c>
      <c r="W586" s="290">
        <f t="shared" ca="1" si="116"/>
        <v>1.020420668283424</v>
      </c>
      <c r="X586" s="290">
        <f t="shared" ca="1" si="116"/>
        <v>1.026474236738887</v>
      </c>
      <c r="Y586" s="290">
        <f t="shared" ca="1" si="116"/>
        <v>1.0321627702317602</v>
      </c>
      <c r="Z586" s="290">
        <f t="shared" ca="1" si="116"/>
        <v>1.0374941619469029</v>
      </c>
      <c r="AA586" s="290">
        <f t="shared" ca="1" si="116"/>
        <v>1.0424768600894838</v>
      </c>
      <c r="AB586" s="290">
        <f t="shared" ca="1" si="116"/>
        <v>1.0471198275609359</v>
      </c>
      <c r="AC586" s="290">
        <f t="shared" ca="1" si="116"/>
        <v>1.0514325021033186</v>
      </c>
      <c r="AD586" s="290">
        <f t="shared" ca="1" si="116"/>
        <v>1.0554247570757509</v>
      </c>
    </row>
  </sheetData>
  <mergeCells count="3">
    <mergeCell ref="T85:AD85"/>
    <mergeCell ref="A1:I2"/>
    <mergeCell ref="A84:F84"/>
  </mergeCells>
  <pageMargins left="0.7" right="0.7" top="0.75" bottom="0.75" header="0.3" footer="0.3"/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4711-EFBE-452F-ADFA-1A9D9EA3D26E}">
  <sheetPr codeName="Sheet17"/>
  <dimension ref="A1:AX5016"/>
  <sheetViews>
    <sheetView topLeftCell="A2" zoomScale="66" workbookViewId="0">
      <selection activeCell="R12" sqref="R12"/>
    </sheetView>
  </sheetViews>
  <sheetFormatPr defaultRowHeight="14.5"/>
  <cols>
    <col min="1" max="1" width="9.6328125" style="90" bestFit="1" customWidth="1"/>
    <col min="2" max="2" width="10.54296875" style="110" customWidth="1"/>
    <col min="3" max="3" width="10.36328125" style="110" bestFit="1" customWidth="1"/>
    <col min="4" max="7" width="8.7265625" style="90"/>
    <col min="8" max="8" width="8.7265625" style="100"/>
    <col min="9" max="9" width="17.08984375" style="100" bestFit="1" customWidth="1"/>
    <col min="10" max="10" width="14.36328125" style="90" customWidth="1"/>
    <col min="11" max="17" width="8.7265625" style="90"/>
    <col min="18" max="18" width="17.08984375" style="90" bestFit="1" customWidth="1"/>
    <col min="19" max="50" width="8.7265625" style="90"/>
  </cols>
  <sheetData>
    <row r="1" spans="1:18">
      <c r="A1" s="327" t="s">
        <v>522</v>
      </c>
      <c r="B1" s="327"/>
      <c r="C1" s="327"/>
      <c r="D1" s="327"/>
      <c r="E1" s="327"/>
      <c r="F1" s="327"/>
      <c r="G1" s="327"/>
      <c r="H1" s="327"/>
      <c r="I1" s="327"/>
    </row>
    <row r="2" spans="1:18" ht="15" thickBot="1">
      <c r="A2" s="305"/>
      <c r="B2" s="305"/>
      <c r="C2" s="305"/>
      <c r="D2" s="305"/>
      <c r="E2" s="305"/>
      <c r="F2" s="305"/>
      <c r="G2" s="305"/>
      <c r="H2" s="305"/>
      <c r="I2" s="305"/>
    </row>
    <row r="3" spans="1:18" ht="15" thickBot="1">
      <c r="B3" s="90"/>
      <c r="C3" s="90"/>
      <c r="H3" s="90"/>
      <c r="I3" s="90"/>
    </row>
    <row r="4" spans="1:18" ht="15" thickBot="1">
      <c r="A4" s="117" t="s">
        <v>514</v>
      </c>
      <c r="B4" s="117" t="s">
        <v>370</v>
      </c>
      <c r="C4" s="117" t="s">
        <v>523</v>
      </c>
      <c r="D4" s="117" t="s">
        <v>524</v>
      </c>
      <c r="E4" s="117" t="s">
        <v>302</v>
      </c>
      <c r="F4" s="117" t="s">
        <v>525</v>
      </c>
      <c r="G4" s="117" t="s">
        <v>25</v>
      </c>
      <c r="H4" s="117" t="s">
        <v>526</v>
      </c>
      <c r="I4" s="117" t="s">
        <v>527</v>
      </c>
      <c r="K4" s="117" t="s">
        <v>514</v>
      </c>
      <c r="L4" s="117" t="s">
        <v>523</v>
      </c>
      <c r="M4" s="117" t="s">
        <v>524</v>
      </c>
      <c r="N4" s="117" t="s">
        <v>302</v>
      </c>
      <c r="O4" s="117" t="s">
        <v>525</v>
      </c>
      <c r="P4" s="117" t="s">
        <v>25</v>
      </c>
      <c r="Q4" s="117" t="s">
        <v>526</v>
      </c>
      <c r="R4" s="117" t="s">
        <v>532</v>
      </c>
    </row>
    <row r="5" spans="1:18">
      <c r="A5" s="90">
        <v>0</v>
      </c>
      <c r="B5" s="100">
        <f>VLOOKUP(A5,'Vasicek (Q9)'!$B$86:$F$586,4)</f>
        <v>-6.6741474013936276E-3</v>
      </c>
      <c r="C5" s="100">
        <f>VLOOKUP(A5,'Vasicek (Q9)'!$B$86:$F$586,5)</f>
        <v>1</v>
      </c>
      <c r="D5" s="231"/>
      <c r="H5" s="90"/>
      <c r="I5" s="90"/>
      <c r="K5" s="90">
        <v>1</v>
      </c>
      <c r="L5" s="259">
        <v>1</v>
      </c>
      <c r="M5" s="294"/>
      <c r="N5" s="192"/>
      <c r="O5" s="110"/>
      <c r="Q5" s="137"/>
      <c r="R5" s="110"/>
    </row>
    <row r="6" spans="1:18">
      <c r="A6" s="90">
        <v>0.5</v>
      </c>
      <c r="B6" s="100">
        <f ca="1">VLOOKUP(A6,'Vasicek (Q9)'!$B$86:$F$586,4)</f>
        <v>-1.0827585348963924E-2</v>
      </c>
      <c r="C6" s="100">
        <f ca="1">VLOOKUP(A6,'Vasicek (Q9)'!$B$86:$F$586,5)</f>
        <v>0.99548817528389733</v>
      </c>
      <c r="D6" s="294">
        <v>0.05</v>
      </c>
      <c r="E6" s="192">
        <v>0.5</v>
      </c>
      <c r="F6" s="110">
        <f>D6*E6</f>
        <v>2.5000000000000001E-2</v>
      </c>
      <c r="G6" s="90">
        <v>0</v>
      </c>
      <c r="H6" s="137">
        <f>F6+G6</f>
        <v>2.5000000000000001E-2</v>
      </c>
      <c r="I6" s="110">
        <f ca="1">H6/C6</f>
        <v>2.5113306838497003E-2</v>
      </c>
      <c r="K6" s="90">
        <v>1.5</v>
      </c>
      <c r="L6" s="299">
        <f ca="1">VLOOKUP(K6,'Vasicek (Q9)'!$B$86:$G$586,6)</f>
        <v>0.99074255608381712</v>
      </c>
      <c r="M6" s="294">
        <v>0.05</v>
      </c>
      <c r="N6" s="192">
        <v>0.5</v>
      </c>
      <c r="O6" s="110">
        <f>M6*N6</f>
        <v>2.5000000000000001E-2</v>
      </c>
      <c r="P6" s="90">
        <v>0</v>
      </c>
      <c r="Q6" s="137">
        <f>O6+P6</f>
        <v>2.5000000000000001E-2</v>
      </c>
      <c r="R6" s="110">
        <f ca="1">Q6/L6</f>
        <v>2.523359862406576E-2</v>
      </c>
    </row>
    <row r="7" spans="1:18">
      <c r="A7" s="90">
        <v>1</v>
      </c>
      <c r="B7" s="100">
        <f ca="1">VLOOKUP(A7,'Vasicek (Q9)'!$B$86:$F$586,4)</f>
        <v>-1.6688851161891005E-2</v>
      </c>
      <c r="C7" s="100">
        <f ca="1">VLOOKUP(A7,'Vasicek (Q9)'!$B$86:$F$586,5)</f>
        <v>0.98932818715117665</v>
      </c>
      <c r="D7" s="294">
        <v>0.05</v>
      </c>
      <c r="E7" s="192">
        <v>0.5</v>
      </c>
      <c r="F7" s="110">
        <f>D7*E7</f>
        <v>2.5000000000000001E-2</v>
      </c>
      <c r="G7" s="90">
        <v>0</v>
      </c>
      <c r="H7" s="137">
        <f>F7+G7</f>
        <v>2.5000000000000001E-2</v>
      </c>
      <c r="I7" s="110">
        <f ca="1">H7/C7</f>
        <v>2.5269673223390951E-2</v>
      </c>
      <c r="K7" s="90">
        <v>2</v>
      </c>
      <c r="L7" s="299">
        <f ca="1">VLOOKUP(K7,'Vasicek (Q9)'!$B$86:$G$586,6)</f>
        <v>0.98220033654046413</v>
      </c>
      <c r="M7" s="294">
        <v>0.05</v>
      </c>
      <c r="N7" s="192">
        <v>0.5</v>
      </c>
      <c r="O7" s="110">
        <f>M7*N7</f>
        <v>2.5000000000000001E-2</v>
      </c>
      <c r="P7" s="90">
        <v>1</v>
      </c>
      <c r="Q7" s="137">
        <f>O7+P7</f>
        <v>1.0249999999999999</v>
      </c>
      <c r="R7" s="110">
        <f ca="1">Q7/L7</f>
        <v>1.0435752889377803</v>
      </c>
    </row>
    <row r="8" spans="1:18">
      <c r="A8" s="90">
        <v>1.5</v>
      </c>
      <c r="B8" s="100">
        <f ca="1">VLOOKUP(A8,'Vasicek (Q9)'!$B$86:$F$586,4)</f>
        <v>-2.3669390554257069E-2</v>
      </c>
      <c r="C8" s="100">
        <f ca="1">VLOOKUP(A8,'Vasicek (Q9)'!$B$86:$F$586,5)</f>
        <v>0.98016953694392606</v>
      </c>
      <c r="D8" s="294">
        <v>0.05</v>
      </c>
      <c r="E8" s="192">
        <v>0.5</v>
      </c>
      <c r="F8" s="110">
        <f>D8*E8</f>
        <v>2.5000000000000001E-2</v>
      </c>
      <c r="G8" s="90">
        <v>0</v>
      </c>
      <c r="H8" s="137">
        <f>F8+G8</f>
        <v>2.5000000000000001E-2</v>
      </c>
      <c r="I8" s="110">
        <f ca="1">H8/C8</f>
        <v>2.5505791659213961E-2</v>
      </c>
    </row>
    <row r="9" spans="1:18">
      <c r="A9" s="90">
        <v>2</v>
      </c>
      <c r="B9" s="100">
        <f ca="1">VLOOKUP(A9,'Vasicek (Q9)'!$B$86:$F$586,4)</f>
        <v>-1.4768358091459452E-2</v>
      </c>
      <c r="C9" s="100">
        <f ca="1">VLOOKUP(A9,'Vasicek (Q9)'!$B$86:$F$586,5)</f>
        <v>0.97171847836885372</v>
      </c>
      <c r="D9" s="294">
        <v>0.05</v>
      </c>
      <c r="E9" s="192">
        <v>0.5</v>
      </c>
      <c r="F9" s="110">
        <f>D9*E9</f>
        <v>2.5000000000000001E-2</v>
      </c>
      <c r="G9" s="90">
        <v>1</v>
      </c>
      <c r="H9" s="137">
        <f>F9+G9</f>
        <v>1.0249999999999999</v>
      </c>
      <c r="I9" s="110">
        <f ca="1">H9/C9</f>
        <v>1.0548322614185393</v>
      </c>
    </row>
    <row r="10" spans="1:18">
      <c r="B10" s="90"/>
      <c r="C10" s="90"/>
      <c r="H10" s="90"/>
      <c r="I10" s="90"/>
    </row>
    <row r="11" spans="1:18" ht="15" thickBot="1">
      <c r="B11" s="90"/>
      <c r="C11" s="90"/>
      <c r="D11" s="90" t="s">
        <v>533</v>
      </c>
      <c r="E11" s="90" t="s">
        <v>534</v>
      </c>
      <c r="H11" s="90"/>
      <c r="I11" s="90"/>
    </row>
    <row r="12" spans="1:18" ht="15" thickBot="1">
      <c r="A12" s="329" t="s">
        <v>528</v>
      </c>
      <c r="B12" s="330"/>
      <c r="C12" s="330"/>
      <c r="D12" s="295">
        <f ca="1">SUM(I6:I9)</f>
        <v>1.1307210331396411</v>
      </c>
      <c r="E12" s="295">
        <f ca="1">SUM(R6:R7)</f>
        <v>1.068808887561846</v>
      </c>
      <c r="H12" s="90" t="s">
        <v>539</v>
      </c>
      <c r="I12" s="100">
        <f ca="1">_xlfn.PERCENTILE.INC(H17:OFFSET(H17,D15,0),0.05)</f>
        <v>-8.4630818925135229E-2</v>
      </c>
      <c r="J12" s="335" t="s">
        <v>540</v>
      </c>
      <c r="K12" s="336"/>
      <c r="L12" s="336"/>
      <c r="M12" s="336"/>
      <c r="N12" s="336"/>
      <c r="O12" s="337"/>
    </row>
    <row r="13" spans="1:18" ht="15" thickBot="1">
      <c r="A13" s="333" t="s">
        <v>530</v>
      </c>
      <c r="B13" s="334"/>
      <c r="C13" s="334"/>
      <c r="D13" s="296">
        <f ca="1">AVERAGE(B17:OFFSET(B17,D15,0))</f>
        <v>1.1106650292486526</v>
      </c>
      <c r="E13" s="296">
        <f ca="1">AVERAGE(C17:OFFSET(C17,D15,0))</f>
        <v>1.0542124824955832</v>
      </c>
      <c r="H13" s="90" t="s">
        <v>541</v>
      </c>
      <c r="I13" s="100">
        <f ca="1">AVERAGE(I17:OFFSET(I17,J17,0))</f>
        <v>-9.2478583064130634E-2</v>
      </c>
    </row>
    <row r="14" spans="1:18">
      <c r="A14" s="247"/>
      <c r="B14" s="228"/>
      <c r="C14" s="228"/>
      <c r="H14" s="90"/>
      <c r="I14" s="90"/>
    </row>
    <row r="15" spans="1:18" ht="15" thickBot="1">
      <c r="A15" s="331" t="s">
        <v>529</v>
      </c>
      <c r="B15" s="332"/>
      <c r="C15" s="332"/>
      <c r="D15" s="297">
        <v>5000</v>
      </c>
      <c r="G15" s="90" t="s">
        <v>561</v>
      </c>
      <c r="H15" s="90"/>
      <c r="I15" s="90"/>
    </row>
    <row r="16" spans="1:18" ht="15" thickBot="1">
      <c r="A16" s="138" t="s">
        <v>531</v>
      </c>
      <c r="B16" s="138" t="s">
        <v>535</v>
      </c>
      <c r="C16" s="138" t="s">
        <v>536</v>
      </c>
      <c r="H16" s="138" t="s">
        <v>537</v>
      </c>
      <c r="I16" s="138" t="s">
        <v>538</v>
      </c>
      <c r="J16" s="90" t="s">
        <v>562</v>
      </c>
    </row>
    <row r="17" spans="1:10">
      <c r="A17" s="90">
        <v>1</v>
      </c>
      <c r="B17" s="110">
        <v>1.0979824138574807</v>
      </c>
      <c r="C17" s="110">
        <v>1.0541342518125705</v>
      </c>
      <c r="G17" s="90">
        <v>1</v>
      </c>
      <c r="H17" s="100">
        <v>-4.0754510791778747E-2</v>
      </c>
      <c r="I17" s="100">
        <v>-0.12864143115050916</v>
      </c>
      <c r="J17" s="90">
        <f ca="1">MATCH(I12,I17:I1048576,1)</f>
        <v>250</v>
      </c>
    </row>
    <row r="18" spans="1:10">
      <c r="A18" s="90">
        <v>2</v>
      </c>
      <c r="B18" s="110">
        <v>1.1020623782208991</v>
      </c>
      <c r="C18" s="110">
        <v>1.0423548361753638</v>
      </c>
      <c r="G18" s="90">
        <v>2</v>
      </c>
      <c r="H18" s="100">
        <v>-5.5700894564653346E-2</v>
      </c>
      <c r="I18" s="100">
        <v>-0.12321039911420348</v>
      </c>
      <c r="J18" s="113"/>
    </row>
    <row r="19" spans="1:10">
      <c r="A19" s="90">
        <v>3</v>
      </c>
      <c r="B19" s="110">
        <v>1.1384895719630175</v>
      </c>
      <c r="C19" s="110">
        <v>1.0462162370067565</v>
      </c>
      <c r="G19" s="90">
        <v>3</v>
      </c>
      <c r="H19" s="100">
        <v>-8.4522375209477876E-2</v>
      </c>
      <c r="I19" s="100">
        <v>-0.11938053866428731</v>
      </c>
    </row>
    <row r="20" spans="1:10">
      <c r="A20" s="90">
        <v>4</v>
      </c>
      <c r="B20" s="110">
        <v>1.1006966687539681</v>
      </c>
      <c r="C20" s="110">
        <v>1.0630290576050081</v>
      </c>
      <c r="G20" s="90">
        <v>4</v>
      </c>
      <c r="H20" s="100">
        <v>-3.4820880106508988E-2</v>
      </c>
      <c r="I20" s="100">
        <v>-0.11449186184951554</v>
      </c>
    </row>
    <row r="21" spans="1:10">
      <c r="A21" s="90">
        <v>5</v>
      </c>
      <c r="B21" s="110">
        <v>1.0903059074522119</v>
      </c>
      <c r="C21" s="110">
        <v>1.0419457354583781</v>
      </c>
      <c r="G21" s="90">
        <v>5</v>
      </c>
      <c r="H21" s="100">
        <v>-4.5368441225320959E-2</v>
      </c>
      <c r="I21" s="100">
        <v>-0.11416193122398141</v>
      </c>
    </row>
    <row r="22" spans="1:10">
      <c r="A22" s="90">
        <v>6</v>
      </c>
      <c r="B22" s="110">
        <v>1.1197584425254625</v>
      </c>
      <c r="C22" s="110">
        <v>1.0706787705460918</v>
      </c>
      <c r="G22" s="90">
        <v>6</v>
      </c>
      <c r="H22" s="100">
        <v>-4.4820173383229377E-2</v>
      </c>
      <c r="I22" s="100">
        <v>-0.1131333600674666</v>
      </c>
    </row>
    <row r="23" spans="1:10">
      <c r="A23" s="90">
        <v>7</v>
      </c>
      <c r="B23" s="110">
        <v>1.1240041568128052</v>
      </c>
      <c r="C23" s="110">
        <v>1.0600513823219917</v>
      </c>
      <c r="G23" s="90">
        <v>7</v>
      </c>
      <c r="H23" s="100">
        <v>-5.8580068858867802E-2</v>
      </c>
      <c r="I23" s="100">
        <v>-0.11208511971090955</v>
      </c>
    </row>
    <row r="24" spans="1:10">
      <c r="A24" s="90">
        <v>8</v>
      </c>
      <c r="B24" s="110">
        <v>1.1025640401703547</v>
      </c>
      <c r="C24" s="110">
        <v>1.0660221801161764</v>
      </c>
      <c r="G24" s="90">
        <v>8</v>
      </c>
      <c r="H24" s="100">
        <v>-3.3704280583838134E-2</v>
      </c>
      <c r="I24" s="100">
        <v>-0.10995200547374345</v>
      </c>
    </row>
    <row r="25" spans="1:10">
      <c r="A25" s="90">
        <v>9</v>
      </c>
      <c r="B25" s="110">
        <v>1.1034681268091644</v>
      </c>
      <c r="C25" s="110">
        <v>1.0521195478701124</v>
      </c>
      <c r="G25" s="90">
        <v>9</v>
      </c>
      <c r="H25" s="100">
        <v>-4.7651316053303618E-2</v>
      </c>
      <c r="I25" s="100">
        <v>-0.1088280232814231</v>
      </c>
    </row>
    <row r="26" spans="1:10">
      <c r="A26" s="90">
        <v>10</v>
      </c>
      <c r="B26" s="110">
        <v>1.0892860521433836</v>
      </c>
      <c r="C26" s="110">
        <v>1.0710834324937542</v>
      </c>
      <c r="G26" s="90">
        <v>10</v>
      </c>
      <c r="H26" s="100">
        <v>-1.6851793682984159E-2</v>
      </c>
      <c r="I26" s="100">
        <v>-0.10718246473191569</v>
      </c>
    </row>
    <row r="27" spans="1:10">
      <c r="A27" s="90">
        <v>11</v>
      </c>
      <c r="B27" s="110">
        <v>1.1180394675185563</v>
      </c>
      <c r="C27" s="110">
        <v>1.0423635213672116</v>
      </c>
      <c r="G27" s="90">
        <v>11</v>
      </c>
      <c r="H27" s="100">
        <v>-7.0085924639699676E-2</v>
      </c>
      <c r="I27" s="100">
        <v>-0.10681756456784786</v>
      </c>
    </row>
    <row r="28" spans="1:10">
      <c r="A28" s="90">
        <v>12</v>
      </c>
      <c r="B28" s="110">
        <v>1.1045854650438744</v>
      </c>
      <c r="C28" s="110">
        <v>1.0277372667468674</v>
      </c>
      <c r="G28" s="90">
        <v>12</v>
      </c>
      <c r="H28" s="100">
        <v>-7.2110562555548832E-2</v>
      </c>
      <c r="I28" s="100">
        <v>-0.10653668916741768</v>
      </c>
    </row>
    <row r="29" spans="1:10">
      <c r="A29" s="90">
        <v>13</v>
      </c>
      <c r="B29" s="110">
        <v>1.112824710938096</v>
      </c>
      <c r="C29" s="110">
        <v>1.0581883185745671</v>
      </c>
      <c r="G29" s="90">
        <v>13</v>
      </c>
      <c r="H29" s="100">
        <v>-5.0343255002681025E-2</v>
      </c>
      <c r="I29" s="100">
        <v>-0.10565229917910207</v>
      </c>
    </row>
    <row r="30" spans="1:10">
      <c r="A30" s="90">
        <v>14</v>
      </c>
      <c r="B30" s="110">
        <v>1.1199589107055112</v>
      </c>
      <c r="C30" s="110">
        <v>1.0413746459347479</v>
      </c>
      <c r="G30" s="90">
        <v>14</v>
      </c>
      <c r="H30" s="100">
        <v>-7.2750382448907136E-2</v>
      </c>
      <c r="I30" s="100">
        <v>-0.10562087803236986</v>
      </c>
    </row>
    <row r="31" spans="1:10">
      <c r="A31" s="90">
        <v>15</v>
      </c>
      <c r="B31" s="110">
        <v>1.1065426768461397</v>
      </c>
      <c r="C31" s="110">
        <v>1.0559069245421613</v>
      </c>
      <c r="G31" s="90">
        <v>15</v>
      </c>
      <c r="H31" s="100">
        <v>-4.6840407227559742E-2</v>
      </c>
      <c r="I31" s="100">
        <v>-0.1054952241701044</v>
      </c>
    </row>
    <row r="32" spans="1:10">
      <c r="A32" s="90">
        <v>16</v>
      </c>
      <c r="B32" s="110">
        <v>1.1022804917104541</v>
      </c>
      <c r="C32" s="110">
        <v>1.0459597769516213</v>
      </c>
      <c r="G32" s="90">
        <v>16</v>
      </c>
      <c r="H32" s="100">
        <v>-5.2446297280144952E-2</v>
      </c>
      <c r="I32" s="100">
        <v>-0.1054889385957254</v>
      </c>
    </row>
    <row r="33" spans="1:9">
      <c r="A33" s="90">
        <v>17</v>
      </c>
      <c r="B33" s="110">
        <v>1.1379892099570985</v>
      </c>
      <c r="C33" s="110">
        <v>1.0422362199615323</v>
      </c>
      <c r="G33" s="90">
        <v>17</v>
      </c>
      <c r="H33" s="100">
        <v>-8.7894237816477955E-2</v>
      </c>
      <c r="I33" s="100">
        <v>-0.10439755793803175</v>
      </c>
    </row>
    <row r="34" spans="1:9">
      <c r="A34" s="90">
        <v>18</v>
      </c>
      <c r="B34" s="110">
        <v>1.1133295280886752</v>
      </c>
      <c r="C34" s="110">
        <v>1.0472917197224079</v>
      </c>
      <c r="G34" s="90">
        <v>18</v>
      </c>
      <c r="H34" s="100">
        <v>-6.1147582973695498E-2</v>
      </c>
      <c r="I34" s="100">
        <v>-0.10410472185661565</v>
      </c>
    </row>
    <row r="35" spans="1:9">
      <c r="A35" s="90">
        <v>19</v>
      </c>
      <c r="B35" s="110">
        <v>1.0853515405047758</v>
      </c>
      <c r="C35" s="110">
        <v>1.0584646994815992</v>
      </c>
      <c r="G35" s="90">
        <v>19</v>
      </c>
      <c r="H35" s="100">
        <v>-2.5084473512800035E-2</v>
      </c>
      <c r="I35" s="100">
        <v>-0.10379025218923679</v>
      </c>
    </row>
    <row r="36" spans="1:9">
      <c r="A36" s="90">
        <v>20</v>
      </c>
      <c r="B36" s="110">
        <v>1.100405683674722</v>
      </c>
      <c r="C36" s="110">
        <v>1.0900215658446761</v>
      </c>
      <c r="G36" s="90">
        <v>20</v>
      </c>
      <c r="H36" s="100">
        <v>-9.4814339298153732E-3</v>
      </c>
      <c r="I36" s="100">
        <v>-0.10347180081955024</v>
      </c>
    </row>
    <row r="37" spans="1:9">
      <c r="A37" s="90">
        <v>21</v>
      </c>
      <c r="B37" s="110">
        <v>1.1270366162093723</v>
      </c>
      <c r="C37" s="110">
        <v>1.0396743590484996</v>
      </c>
      <c r="G37" s="90">
        <v>21</v>
      </c>
      <c r="H37" s="100">
        <v>-8.0684176688930201E-2</v>
      </c>
      <c r="I37" s="100">
        <v>-0.10344410774787108</v>
      </c>
    </row>
    <row r="38" spans="1:9">
      <c r="A38" s="90">
        <v>22</v>
      </c>
      <c r="B38" s="110">
        <v>1.1010194986860034</v>
      </c>
      <c r="C38" s="110">
        <v>1.0847035583632372</v>
      </c>
      <c r="G38" s="90">
        <v>22</v>
      </c>
      <c r="H38" s="100">
        <v>-1.492983599876827E-2</v>
      </c>
      <c r="I38" s="100">
        <v>-0.10329540636733607</v>
      </c>
    </row>
    <row r="39" spans="1:9">
      <c r="A39" s="90">
        <v>23</v>
      </c>
      <c r="B39" s="110">
        <v>1.1018408988792916</v>
      </c>
      <c r="C39" s="110">
        <v>1.0576926589225832</v>
      </c>
      <c r="G39" s="90">
        <v>23</v>
      </c>
      <c r="H39" s="100">
        <v>-4.089252670174174E-2</v>
      </c>
      <c r="I39" s="100">
        <v>-0.1029712226903411</v>
      </c>
    </row>
    <row r="40" spans="1:9">
      <c r="A40" s="90">
        <v>24</v>
      </c>
      <c r="B40" s="110">
        <v>1.099658077030728</v>
      </c>
      <c r="C40" s="110">
        <v>1.0862264409449802</v>
      </c>
      <c r="G40" s="90">
        <v>24</v>
      </c>
      <c r="H40" s="100">
        <v>-1.2289583486704416E-2</v>
      </c>
      <c r="I40" s="100">
        <v>-0.10275766750017662</v>
      </c>
    </row>
    <row r="41" spans="1:9">
      <c r="A41" s="90">
        <v>25</v>
      </c>
      <c r="B41" s="110">
        <v>1.0996915319026486</v>
      </c>
      <c r="C41" s="110">
        <v>1.0555985092140474</v>
      </c>
      <c r="G41" s="90">
        <v>25</v>
      </c>
      <c r="H41" s="100">
        <v>-4.0921801552718795E-2</v>
      </c>
      <c r="I41" s="100">
        <v>-0.10260665173127655</v>
      </c>
    </row>
    <row r="42" spans="1:9">
      <c r="A42" s="90">
        <v>26</v>
      </c>
      <c r="B42" s="110">
        <v>1.0953188391101527</v>
      </c>
      <c r="C42" s="110">
        <v>1.0440153047870298</v>
      </c>
      <c r="G42" s="90">
        <v>26</v>
      </c>
      <c r="H42" s="100">
        <v>-4.7971349043451052E-2</v>
      </c>
      <c r="I42" s="100">
        <v>-0.10245400901251411</v>
      </c>
    </row>
    <row r="43" spans="1:9">
      <c r="A43" s="90">
        <v>27</v>
      </c>
      <c r="B43" s="110">
        <v>1.1051054430290133</v>
      </c>
      <c r="C43" s="110">
        <v>1.0645757400344273</v>
      </c>
      <c r="G43" s="90">
        <v>27</v>
      </c>
      <c r="H43" s="100">
        <v>-3.7364400345194844E-2</v>
      </c>
      <c r="I43" s="100">
        <v>-0.10207295213114274</v>
      </c>
    </row>
    <row r="44" spans="1:9">
      <c r="A44" s="90">
        <v>28</v>
      </c>
      <c r="B44" s="110">
        <v>1.117826515165794</v>
      </c>
      <c r="C44" s="110">
        <v>1.0649658184097577</v>
      </c>
      <c r="G44" s="90">
        <v>28</v>
      </c>
      <c r="H44" s="100">
        <v>-4.8443485165403762E-2</v>
      </c>
      <c r="I44" s="100">
        <v>-0.10145004408511804</v>
      </c>
    </row>
    <row r="45" spans="1:9">
      <c r="A45" s="90">
        <v>29</v>
      </c>
      <c r="B45" s="110">
        <v>1.1348879252644355</v>
      </c>
      <c r="C45" s="110">
        <v>1.0379316137171146</v>
      </c>
      <c r="G45" s="90">
        <v>29</v>
      </c>
      <c r="H45" s="100">
        <v>-8.9304001962897964E-2</v>
      </c>
      <c r="I45" s="100">
        <v>-0.10118948587377954</v>
      </c>
    </row>
    <row r="46" spans="1:9">
      <c r="A46" s="90">
        <v>30</v>
      </c>
      <c r="B46" s="110">
        <v>1.1169166349057877</v>
      </c>
      <c r="C46" s="110">
        <v>1.0548909706865899</v>
      </c>
      <c r="G46" s="90">
        <v>30</v>
      </c>
      <c r="H46" s="100">
        <v>-5.713446800538078E-2</v>
      </c>
      <c r="I46" s="100">
        <v>-0.10115320462148604</v>
      </c>
    </row>
    <row r="47" spans="1:9">
      <c r="A47" s="90">
        <v>31</v>
      </c>
      <c r="B47" s="110">
        <v>1.1192367693404213</v>
      </c>
      <c r="C47" s="110">
        <v>1.043656932611845</v>
      </c>
      <c r="G47" s="90">
        <v>31</v>
      </c>
      <c r="H47" s="100">
        <v>-6.9916170216845291E-2</v>
      </c>
      <c r="I47" s="100">
        <v>-0.10114942130700821</v>
      </c>
    </row>
    <row r="48" spans="1:9">
      <c r="A48" s="90">
        <v>32</v>
      </c>
      <c r="B48" s="110">
        <v>1.1108787421603172</v>
      </c>
      <c r="C48" s="110">
        <v>1.0581509782958622</v>
      </c>
      <c r="G48" s="90">
        <v>32</v>
      </c>
      <c r="H48" s="100">
        <v>-4.862833687285726E-2</v>
      </c>
      <c r="I48" s="100">
        <v>-0.10091642916594333</v>
      </c>
    </row>
    <row r="49" spans="1:9">
      <c r="A49" s="90">
        <v>33</v>
      </c>
      <c r="B49" s="110">
        <v>1.1172790233455492</v>
      </c>
      <c r="C49" s="110">
        <v>1.0692312030236821</v>
      </c>
      <c r="G49" s="90">
        <v>33</v>
      </c>
      <c r="H49" s="100">
        <v>-4.3956397598773261E-2</v>
      </c>
      <c r="I49" s="100">
        <v>-0.10082259377049341</v>
      </c>
    </row>
    <row r="50" spans="1:9">
      <c r="A50" s="90">
        <v>34</v>
      </c>
      <c r="B50" s="110">
        <v>1.0867505163077267</v>
      </c>
      <c r="C50" s="110">
        <v>1.0582670788760415</v>
      </c>
      <c r="G50" s="90">
        <v>34</v>
      </c>
      <c r="H50" s="100">
        <v>-2.6559326899920528E-2</v>
      </c>
      <c r="I50" s="100">
        <v>-0.10069872207326581</v>
      </c>
    </row>
    <row r="51" spans="1:9">
      <c r="A51" s="90">
        <v>35</v>
      </c>
      <c r="B51" s="110">
        <v>1.0966124063178695</v>
      </c>
      <c r="C51" s="110">
        <v>1.0684158609990457</v>
      </c>
      <c r="G51" s="90">
        <v>35</v>
      </c>
      <c r="H51" s="100">
        <v>-2.6048749657377603E-2</v>
      </c>
      <c r="I51" s="100">
        <v>-0.1006640328517639</v>
      </c>
    </row>
    <row r="52" spans="1:9">
      <c r="A52" s="90">
        <v>36</v>
      </c>
      <c r="B52" s="110">
        <v>1.1066207558807946</v>
      </c>
      <c r="C52" s="110">
        <v>1.0576730310417317</v>
      </c>
      <c r="G52" s="90">
        <v>36</v>
      </c>
      <c r="H52" s="100">
        <v>-4.5239766461795242E-2</v>
      </c>
      <c r="I52" s="100">
        <v>-0.10062205727779779</v>
      </c>
    </row>
    <row r="53" spans="1:9">
      <c r="A53" s="90">
        <v>37</v>
      </c>
      <c r="B53" s="110">
        <v>1.1376024275259915</v>
      </c>
      <c r="C53" s="110">
        <v>1.050822088481397</v>
      </c>
      <c r="G53" s="90">
        <v>37</v>
      </c>
      <c r="H53" s="100">
        <v>-7.9350114724204349E-2</v>
      </c>
      <c r="I53" s="100">
        <v>-0.10039034803262423</v>
      </c>
    </row>
    <row r="54" spans="1:9">
      <c r="A54" s="90">
        <v>38</v>
      </c>
      <c r="B54" s="110">
        <v>1.1058457548732625</v>
      </c>
      <c r="C54" s="110">
        <v>1.0626247543749991</v>
      </c>
      <c r="G54" s="90">
        <v>38</v>
      </c>
      <c r="H54" s="100">
        <v>-3.9868400428405504E-2</v>
      </c>
      <c r="I54" s="100">
        <v>-0.10022747509995497</v>
      </c>
    </row>
    <row r="55" spans="1:9">
      <c r="A55" s="90">
        <v>39</v>
      </c>
      <c r="B55" s="110">
        <v>1.1454395461889892</v>
      </c>
      <c r="C55" s="110">
        <v>1.0429365037169598</v>
      </c>
      <c r="G55" s="90">
        <v>39</v>
      </c>
      <c r="H55" s="100">
        <v>-9.3748150818178139E-2</v>
      </c>
      <c r="I55" s="100">
        <v>-9.9864270391612414E-2</v>
      </c>
    </row>
    <row r="56" spans="1:9">
      <c r="A56" s="90">
        <v>40</v>
      </c>
      <c r="B56" s="110">
        <v>1.0985043322613699</v>
      </c>
      <c r="C56" s="110">
        <v>1.065955785923292</v>
      </c>
      <c r="G56" s="90">
        <v>40</v>
      </c>
      <c r="H56" s="100">
        <v>-3.00777083684108E-2</v>
      </c>
      <c r="I56" s="100">
        <v>-9.9819105621943474E-2</v>
      </c>
    </row>
    <row r="57" spans="1:9">
      <c r="A57" s="90">
        <v>41</v>
      </c>
      <c r="B57" s="110">
        <v>1.1090609622888132</v>
      </c>
      <c r="C57" s="110">
        <v>1.0496836217237933</v>
      </c>
      <c r="G57" s="90">
        <v>41</v>
      </c>
      <c r="H57" s="100">
        <v>-5.5024871239646299E-2</v>
      </c>
      <c r="I57" s="100">
        <v>-9.9694107548847929E-2</v>
      </c>
    </row>
    <row r="58" spans="1:9">
      <c r="A58" s="90">
        <v>42</v>
      </c>
      <c r="B58" s="110">
        <v>1.1411431476312286</v>
      </c>
      <c r="C58" s="110">
        <v>1.0490495633604044</v>
      </c>
      <c r="G58" s="90">
        <v>42</v>
      </c>
      <c r="H58" s="100">
        <v>-8.4145944560718028E-2</v>
      </c>
      <c r="I58" s="100">
        <v>-9.8830673871082492E-2</v>
      </c>
    </row>
    <row r="59" spans="1:9">
      <c r="A59" s="90">
        <v>43</v>
      </c>
      <c r="B59" s="110">
        <v>1.1143973756134939</v>
      </c>
      <c r="C59" s="110">
        <v>1.041200527478382</v>
      </c>
      <c r="G59" s="90">
        <v>43</v>
      </c>
      <c r="H59" s="100">
        <v>-6.7939387759211503E-2</v>
      </c>
      <c r="I59" s="100">
        <v>-9.8621241703739995E-2</v>
      </c>
    </row>
    <row r="60" spans="1:9">
      <c r="A60" s="90">
        <v>44</v>
      </c>
      <c r="B60" s="110">
        <v>1.1048839765957619</v>
      </c>
      <c r="C60" s="110">
        <v>1.0289500092449331</v>
      </c>
      <c r="G60" s="90">
        <v>44</v>
      </c>
      <c r="H60" s="100">
        <v>-7.1201457109866959E-2</v>
      </c>
      <c r="I60" s="100">
        <v>-9.8386525021272347E-2</v>
      </c>
    </row>
    <row r="61" spans="1:9">
      <c r="A61" s="90">
        <v>45</v>
      </c>
      <c r="B61" s="110">
        <v>1.1098702939013958</v>
      </c>
      <c r="C61" s="110">
        <v>1.0838413211106031</v>
      </c>
      <c r="G61" s="90">
        <v>45</v>
      </c>
      <c r="H61" s="100">
        <v>-2.3731646592231675E-2</v>
      </c>
      <c r="I61" s="100">
        <v>-9.8364173522831375E-2</v>
      </c>
    </row>
    <row r="62" spans="1:9">
      <c r="A62" s="90">
        <v>46</v>
      </c>
      <c r="B62" s="110">
        <v>1.1252975080127612</v>
      </c>
      <c r="C62" s="110">
        <v>1.0610162731045567</v>
      </c>
      <c r="G62" s="90">
        <v>46</v>
      </c>
      <c r="H62" s="100">
        <v>-5.8820255231826511E-2</v>
      </c>
      <c r="I62" s="100">
        <v>-9.8155881817549542E-2</v>
      </c>
    </row>
    <row r="63" spans="1:9">
      <c r="A63" s="90">
        <v>47</v>
      </c>
      <c r="B63" s="110">
        <v>1.0970966506565429</v>
      </c>
      <c r="C63" s="110">
        <v>1.0648941690734235</v>
      </c>
      <c r="G63" s="90">
        <v>47</v>
      </c>
      <c r="H63" s="100">
        <v>-2.9791859468744599E-2</v>
      </c>
      <c r="I63" s="100">
        <v>-9.7985760446444303E-2</v>
      </c>
    </row>
    <row r="64" spans="1:9">
      <c r="A64" s="90">
        <v>48</v>
      </c>
      <c r="B64" s="110">
        <v>1.1238250780958103</v>
      </c>
      <c r="C64" s="110">
        <v>1.0660209690114264</v>
      </c>
      <c r="G64" s="90">
        <v>48</v>
      </c>
      <c r="H64" s="100">
        <v>-5.2805118598222886E-2</v>
      </c>
      <c r="I64" s="100">
        <v>-9.7761495812029961E-2</v>
      </c>
    </row>
    <row r="65" spans="1:9">
      <c r="A65" s="90">
        <v>49</v>
      </c>
      <c r="B65" s="110">
        <v>1.1127032048181784</v>
      </c>
      <c r="C65" s="110">
        <v>1.053476437762946</v>
      </c>
      <c r="G65" s="90">
        <v>49</v>
      </c>
      <c r="H65" s="100">
        <v>-5.46967860565487E-2</v>
      </c>
      <c r="I65" s="100">
        <v>-9.7674609935306064E-2</v>
      </c>
    </row>
    <row r="66" spans="1:9">
      <c r="A66" s="90">
        <v>50</v>
      </c>
      <c r="B66" s="110">
        <v>1.1131831775608938</v>
      </c>
      <c r="C66" s="110">
        <v>1.0511809044129083</v>
      </c>
      <c r="G66" s="90">
        <v>50</v>
      </c>
      <c r="H66" s="100">
        <v>-5.7309435699995241E-2</v>
      </c>
      <c r="I66" s="100">
        <v>-9.7430673269259235E-2</v>
      </c>
    </row>
    <row r="67" spans="1:9">
      <c r="A67" s="90">
        <v>51</v>
      </c>
      <c r="B67" s="110">
        <v>1.1207603288379202</v>
      </c>
      <c r="C67" s="110">
        <v>1.0509192263607927</v>
      </c>
      <c r="G67" s="90">
        <v>51</v>
      </c>
      <c r="H67" s="100">
        <v>-6.4342085155911805E-2</v>
      </c>
      <c r="I67" s="100">
        <v>-9.7421321555921273E-2</v>
      </c>
    </row>
    <row r="68" spans="1:9">
      <c r="A68" s="90">
        <v>52</v>
      </c>
      <c r="B68" s="110">
        <v>1.1376883516554899</v>
      </c>
      <c r="C68" s="110">
        <v>1.0708922765056987</v>
      </c>
      <c r="G68" s="90">
        <v>52</v>
      </c>
      <c r="H68" s="100">
        <v>-6.0506237762422102E-2</v>
      </c>
      <c r="I68" s="100">
        <v>-9.7022141996599351E-2</v>
      </c>
    </row>
    <row r="69" spans="1:9">
      <c r="A69" s="90">
        <v>53</v>
      </c>
      <c r="B69" s="110">
        <v>1.1015414573051376</v>
      </c>
      <c r="C69" s="110">
        <v>1.0406691102399579</v>
      </c>
      <c r="G69" s="90">
        <v>53</v>
      </c>
      <c r="H69" s="100">
        <v>-5.6846642180955885E-2</v>
      </c>
      <c r="I69" s="100">
        <v>-9.6786652390532482E-2</v>
      </c>
    </row>
    <row r="70" spans="1:9">
      <c r="A70" s="90">
        <v>54</v>
      </c>
      <c r="B70" s="110">
        <v>1.1065853160627799</v>
      </c>
      <c r="C70" s="110">
        <v>1.0411431082308205</v>
      </c>
      <c r="G70" s="90">
        <v>54</v>
      </c>
      <c r="H70" s="100">
        <v>-6.0959729908468901E-2</v>
      </c>
      <c r="I70" s="100">
        <v>-9.672454838240227E-2</v>
      </c>
    </row>
    <row r="71" spans="1:9">
      <c r="A71" s="90">
        <v>55</v>
      </c>
      <c r="B71" s="110">
        <v>1.1030146519716149</v>
      </c>
      <c r="C71" s="110">
        <v>1.0773781300977883</v>
      </c>
      <c r="G71" s="90">
        <v>55</v>
      </c>
      <c r="H71" s="100">
        <v>-2.3516591647542655E-2</v>
      </c>
      <c r="I71" s="100">
        <v>-9.671686542773629E-2</v>
      </c>
    </row>
    <row r="72" spans="1:9">
      <c r="A72" s="90">
        <v>56</v>
      </c>
      <c r="B72" s="110">
        <v>1.1370553222742292</v>
      </c>
      <c r="C72" s="110">
        <v>1.048828106852717</v>
      </c>
      <c r="G72" s="90">
        <v>56</v>
      </c>
      <c r="H72" s="100">
        <v>-8.076841777156131E-2</v>
      </c>
      <c r="I72" s="100">
        <v>-9.6567008160376874E-2</v>
      </c>
    </row>
    <row r="73" spans="1:9">
      <c r="A73" s="90">
        <v>57</v>
      </c>
      <c r="B73" s="110">
        <v>1.1155213468134944</v>
      </c>
      <c r="C73" s="110">
        <v>1.0540139715633861</v>
      </c>
      <c r="G73" s="90">
        <v>57</v>
      </c>
      <c r="H73" s="100">
        <v>-5.6716165466097659E-2</v>
      </c>
      <c r="I73" s="100">
        <v>-9.628268854872668E-2</v>
      </c>
    </row>
    <row r="74" spans="1:9">
      <c r="A74" s="90">
        <v>58</v>
      </c>
      <c r="B74" s="110">
        <v>1.1251702341675416</v>
      </c>
      <c r="C74" s="110">
        <v>1.0556661214384591</v>
      </c>
      <c r="G74" s="90">
        <v>58</v>
      </c>
      <c r="H74" s="100">
        <v>-6.3762381058176471E-2</v>
      </c>
      <c r="I74" s="100">
        <v>-9.6208443445109426E-2</v>
      </c>
    </row>
    <row r="75" spans="1:9">
      <c r="A75" s="90">
        <v>59</v>
      </c>
      <c r="B75" s="110">
        <v>1.1101411689920211</v>
      </c>
      <c r="C75" s="110">
        <v>1.0463267476130038</v>
      </c>
      <c r="G75" s="90">
        <v>59</v>
      </c>
      <c r="H75" s="100">
        <v>-5.9201491431812282E-2</v>
      </c>
      <c r="I75" s="100">
        <v>-9.6205131317427015E-2</v>
      </c>
    </row>
    <row r="76" spans="1:9">
      <c r="A76" s="90">
        <v>60</v>
      </c>
      <c r="B76" s="110">
        <v>1.1128024081311905</v>
      </c>
      <c r="C76" s="110">
        <v>1.0502145404108933</v>
      </c>
      <c r="G76" s="90">
        <v>60</v>
      </c>
      <c r="H76" s="100">
        <v>-5.7887058154566032E-2</v>
      </c>
      <c r="I76" s="100">
        <v>-9.6057899547701664E-2</v>
      </c>
    </row>
    <row r="77" spans="1:9">
      <c r="A77" s="90">
        <v>61</v>
      </c>
      <c r="B77" s="110">
        <v>1.0669032139555357</v>
      </c>
      <c r="C77" s="110">
        <v>1.0453609968986632</v>
      </c>
      <c r="G77" s="90">
        <v>61</v>
      </c>
      <c r="H77" s="100">
        <v>-2.03979822953037E-2</v>
      </c>
      <c r="I77" s="100">
        <v>-9.6047528710390837E-2</v>
      </c>
    </row>
    <row r="78" spans="1:9">
      <c r="A78" s="90">
        <v>62</v>
      </c>
      <c r="B78" s="110">
        <v>1.1440336482780171</v>
      </c>
      <c r="C78" s="110">
        <v>1.063657176112786</v>
      </c>
      <c r="G78" s="90">
        <v>62</v>
      </c>
      <c r="H78" s="100">
        <v>-7.2847169256063563E-2</v>
      </c>
      <c r="I78" s="100">
        <v>-9.5801178796447867E-2</v>
      </c>
    </row>
    <row r="79" spans="1:9">
      <c r="A79" s="90">
        <v>63</v>
      </c>
      <c r="B79" s="110">
        <v>1.134800443295725</v>
      </c>
      <c r="C79" s="110">
        <v>1.0830416562026528</v>
      </c>
      <c r="G79" s="90">
        <v>63</v>
      </c>
      <c r="H79" s="100">
        <v>-4.6683383596733775E-2</v>
      </c>
      <c r="I79" s="100">
        <v>-9.5596423870186534E-2</v>
      </c>
    </row>
    <row r="80" spans="1:9">
      <c r="A80" s="90">
        <v>64</v>
      </c>
      <c r="B80" s="110">
        <v>1.1154167055065969</v>
      </c>
      <c r="C80" s="110">
        <v>1.0581010929637547</v>
      </c>
      <c r="G80" s="90">
        <v>64</v>
      </c>
      <c r="H80" s="100">
        <v>-5.2752182128480422E-2</v>
      </c>
      <c r="I80" s="100">
        <v>-9.5538744395516587E-2</v>
      </c>
    </row>
    <row r="81" spans="1:9">
      <c r="A81" s="90">
        <v>65</v>
      </c>
      <c r="B81" s="110">
        <v>1.1220413729275132</v>
      </c>
      <c r="C81" s="110">
        <v>1.0485936448915365</v>
      </c>
      <c r="G81" s="90">
        <v>65</v>
      </c>
      <c r="H81" s="100">
        <v>-6.7699800114685557E-2</v>
      </c>
      <c r="I81" s="100">
        <v>-9.5253926311978029E-2</v>
      </c>
    </row>
    <row r="82" spans="1:9">
      <c r="A82" s="90">
        <v>66</v>
      </c>
      <c r="B82" s="110">
        <v>1.0857596879601159</v>
      </c>
      <c r="C82" s="110">
        <v>1.060699125349968</v>
      </c>
      <c r="G82" s="90">
        <v>66</v>
      </c>
      <c r="H82" s="100">
        <v>-2.335167228867821E-2</v>
      </c>
      <c r="I82" s="100">
        <v>-9.5227934007653822E-2</v>
      </c>
    </row>
    <row r="83" spans="1:9">
      <c r="A83" s="90">
        <v>67</v>
      </c>
      <c r="B83" s="110">
        <v>1.1076212239323828</v>
      </c>
      <c r="C83" s="110">
        <v>1.0698223344518778</v>
      </c>
      <c r="G83" s="90">
        <v>67</v>
      </c>
      <c r="H83" s="100">
        <v>-3.4722082103549476E-2</v>
      </c>
      <c r="I83" s="100">
        <v>-9.5166993040269585E-2</v>
      </c>
    </row>
    <row r="84" spans="1:9">
      <c r="A84" s="90">
        <v>68</v>
      </c>
      <c r="B84" s="110">
        <v>1.1257454461938958</v>
      </c>
      <c r="C84" s="110">
        <v>1.0423947798944959</v>
      </c>
      <c r="G84" s="90">
        <v>68</v>
      </c>
      <c r="H84" s="100">
        <v>-7.6924696020318539E-2</v>
      </c>
      <c r="I84" s="100">
        <v>-9.5046068466267342E-2</v>
      </c>
    </row>
    <row r="85" spans="1:9">
      <c r="A85" s="90">
        <v>69</v>
      </c>
      <c r="B85" s="110">
        <v>1.1080193271242011</v>
      </c>
      <c r="C85" s="110">
        <v>1.056166904210909</v>
      </c>
      <c r="G85" s="90">
        <v>69</v>
      </c>
      <c r="H85" s="100">
        <v>-4.7927805400848025E-2</v>
      </c>
      <c r="I85" s="100">
        <v>-9.4646017115615613E-2</v>
      </c>
    </row>
    <row r="86" spans="1:9">
      <c r="A86" s="90">
        <v>70</v>
      </c>
      <c r="B86" s="110">
        <v>1.0991609412793646</v>
      </c>
      <c r="C86" s="110">
        <v>1.0547335184075224</v>
      </c>
      <c r="G86" s="90">
        <v>70</v>
      </c>
      <c r="H86" s="100">
        <v>-4.1258962249190193E-2</v>
      </c>
      <c r="I86" s="100">
        <v>-9.430676634622083E-2</v>
      </c>
    </row>
    <row r="87" spans="1:9">
      <c r="A87" s="90">
        <v>71</v>
      </c>
      <c r="B87" s="110">
        <v>1.1257212256794904</v>
      </c>
      <c r="C87" s="110">
        <v>1.0314033374758931</v>
      </c>
      <c r="G87" s="90">
        <v>71</v>
      </c>
      <c r="H87" s="100">
        <v>-8.7503581240106834E-2</v>
      </c>
      <c r="I87" s="100">
        <v>-9.419403308262754E-2</v>
      </c>
    </row>
    <row r="88" spans="1:9">
      <c r="A88" s="90">
        <v>72</v>
      </c>
      <c r="B88" s="110">
        <v>1.1014189736449427</v>
      </c>
      <c r="C88" s="110">
        <v>1.052040616380207</v>
      </c>
      <c r="G88" s="90">
        <v>72</v>
      </c>
      <c r="H88" s="100">
        <v>-4.5867602244267502E-2</v>
      </c>
      <c r="I88" s="100">
        <v>-9.4062369869022916E-2</v>
      </c>
    </row>
    <row r="89" spans="1:9">
      <c r="A89" s="90">
        <v>73</v>
      </c>
      <c r="B89" s="110">
        <v>1.103204112758583</v>
      </c>
      <c r="C89" s="110">
        <v>1.0313782073892226</v>
      </c>
      <c r="G89" s="90">
        <v>73</v>
      </c>
      <c r="H89" s="100">
        <v>-6.7322802260080847E-2</v>
      </c>
      <c r="I89" s="100">
        <v>-9.4034241943067115E-2</v>
      </c>
    </row>
    <row r="90" spans="1:9">
      <c r="A90" s="90">
        <v>74</v>
      </c>
      <c r="B90" s="110">
        <v>1.0809976075909578</v>
      </c>
      <c r="C90" s="110">
        <v>1.0629591258832443</v>
      </c>
      <c r="G90" s="90">
        <v>74</v>
      </c>
      <c r="H90" s="100">
        <v>-1.6827678551792312E-2</v>
      </c>
      <c r="I90" s="100">
        <v>-9.3840630294628094E-2</v>
      </c>
    </row>
    <row r="91" spans="1:9">
      <c r="A91" s="90">
        <v>75</v>
      </c>
      <c r="B91" s="110">
        <v>1.1011840498377674</v>
      </c>
      <c r="C91" s="110">
        <v>1.0475582624739428</v>
      </c>
      <c r="G91" s="90">
        <v>75</v>
      </c>
      <c r="H91" s="100">
        <v>-4.9924018067459892E-2</v>
      </c>
      <c r="I91" s="100">
        <v>-9.3840392099606373E-2</v>
      </c>
    </row>
    <row r="92" spans="1:9">
      <c r="A92" s="90">
        <v>76</v>
      </c>
      <c r="B92" s="110">
        <v>1.1198786682319228</v>
      </c>
      <c r="C92" s="110">
        <v>1.0721354631352982</v>
      </c>
      <c r="G92" s="90">
        <v>76</v>
      </c>
      <c r="H92" s="100">
        <v>-4.3567927972631884E-2</v>
      </c>
      <c r="I92" s="100">
        <v>-9.3776155249920334E-2</v>
      </c>
    </row>
    <row r="93" spans="1:9">
      <c r="A93" s="90">
        <v>77</v>
      </c>
      <c r="B93" s="110">
        <v>1.1038375119921555</v>
      </c>
      <c r="C93" s="110">
        <v>1.0668932803085378</v>
      </c>
      <c r="G93" s="90">
        <v>77</v>
      </c>
      <c r="H93" s="100">
        <v>-3.4041806993708471E-2</v>
      </c>
      <c r="I93" s="100">
        <v>-9.3748150818178139E-2</v>
      </c>
    </row>
    <row r="94" spans="1:9">
      <c r="A94" s="90">
        <v>78</v>
      </c>
      <c r="B94" s="110">
        <v>1.1128517210237492</v>
      </c>
      <c r="C94" s="110">
        <v>1.0508278219075025</v>
      </c>
      <c r="G94" s="90">
        <v>78</v>
      </c>
      <c r="H94" s="100">
        <v>-5.7347583460768674E-2</v>
      </c>
      <c r="I94" s="100">
        <v>-9.3648904866828739E-2</v>
      </c>
    </row>
    <row r="95" spans="1:9">
      <c r="A95" s="90">
        <v>79</v>
      </c>
      <c r="B95" s="110">
        <v>1.0862610635400529</v>
      </c>
      <c r="C95" s="110">
        <v>1.0571890892644571</v>
      </c>
      <c r="G95" s="90">
        <v>79</v>
      </c>
      <c r="H95" s="100">
        <v>-2.7127999336198954E-2</v>
      </c>
      <c r="I95" s="100">
        <v>-9.360857681390182E-2</v>
      </c>
    </row>
    <row r="96" spans="1:9">
      <c r="A96" s="90">
        <v>80</v>
      </c>
      <c r="B96" s="110">
        <v>1.1439489896159514</v>
      </c>
      <c r="C96" s="110">
        <v>1.0602886085537293</v>
      </c>
      <c r="G96" s="90">
        <v>80</v>
      </c>
      <c r="H96" s="100">
        <v>-7.5945159181798255E-2</v>
      </c>
      <c r="I96" s="100">
        <v>-9.3431040864204118E-2</v>
      </c>
    </row>
    <row r="97" spans="1:9">
      <c r="A97" s="90">
        <v>81</v>
      </c>
      <c r="B97" s="110">
        <v>1.106146417321805</v>
      </c>
      <c r="C97" s="110">
        <v>1.0649775997342175</v>
      </c>
      <c r="G97" s="90">
        <v>81</v>
      </c>
      <c r="H97" s="100">
        <v>-3.7928513069896135E-2</v>
      </c>
      <c r="I97" s="100">
        <v>-9.3165292883273992E-2</v>
      </c>
    </row>
    <row r="98" spans="1:9">
      <c r="A98" s="90">
        <v>82</v>
      </c>
      <c r="B98" s="110">
        <v>1.1283207615275892</v>
      </c>
      <c r="C98" s="110">
        <v>1.0440027514851742</v>
      </c>
      <c r="G98" s="90">
        <v>82</v>
      </c>
      <c r="H98" s="100">
        <v>-7.7668350729558258E-2</v>
      </c>
      <c r="I98" s="100">
        <v>-9.3153264392498061E-2</v>
      </c>
    </row>
    <row r="99" spans="1:9">
      <c r="A99" s="90">
        <v>83</v>
      </c>
      <c r="B99" s="110">
        <v>1.1085091614372702</v>
      </c>
      <c r="C99" s="110">
        <v>1.0756700777198849</v>
      </c>
      <c r="G99" s="90">
        <v>83</v>
      </c>
      <c r="H99" s="100">
        <v>-3.0072219252830688E-2</v>
      </c>
      <c r="I99" s="100">
        <v>-9.305056787818218E-2</v>
      </c>
    </row>
    <row r="100" spans="1:9">
      <c r="A100" s="90">
        <v>84</v>
      </c>
      <c r="B100" s="110">
        <v>1.1165154671693902</v>
      </c>
      <c r="C100" s="110">
        <v>1.0580768856279352</v>
      </c>
      <c r="G100" s="90">
        <v>84</v>
      </c>
      <c r="H100" s="100">
        <v>-5.3759643944685125E-2</v>
      </c>
      <c r="I100" s="100">
        <v>-9.3038969857176315E-2</v>
      </c>
    </row>
    <row r="101" spans="1:9">
      <c r="A101" s="90">
        <v>85</v>
      </c>
      <c r="B101" s="110">
        <v>1.1213141684479602</v>
      </c>
      <c r="C101" s="110">
        <v>1.0370413452622214</v>
      </c>
      <c r="G101" s="90">
        <v>85</v>
      </c>
      <c r="H101" s="100">
        <v>-7.8129563616111189E-2</v>
      </c>
      <c r="I101" s="100">
        <v>-9.2974032596581574E-2</v>
      </c>
    </row>
    <row r="102" spans="1:9">
      <c r="A102" s="90">
        <v>86</v>
      </c>
      <c r="B102" s="110">
        <v>1.103294123072792</v>
      </c>
      <c r="C102" s="110">
        <v>1.0686411098758555</v>
      </c>
      <c r="G102" s="90">
        <v>86</v>
      </c>
      <c r="H102" s="100">
        <v>-3.1912511507003818E-2</v>
      </c>
      <c r="I102" s="100">
        <v>-9.2925599581131821E-2</v>
      </c>
    </row>
    <row r="103" spans="1:9">
      <c r="A103" s="90">
        <v>87</v>
      </c>
      <c r="B103" s="110">
        <v>1.0899026608788369</v>
      </c>
      <c r="C103" s="110">
        <v>1.0597580201446732</v>
      </c>
      <c r="G103" s="90">
        <v>87</v>
      </c>
      <c r="H103" s="100">
        <v>-2.8047791126286362E-2</v>
      </c>
      <c r="I103" s="100">
        <v>-9.2724013784201392E-2</v>
      </c>
    </row>
    <row r="104" spans="1:9">
      <c r="A104" s="90">
        <v>88</v>
      </c>
      <c r="B104" s="110">
        <v>1.1099508942074774</v>
      </c>
      <c r="C104" s="110">
        <v>1.0572487627078841</v>
      </c>
      <c r="G104" s="90">
        <v>88</v>
      </c>
      <c r="H104" s="100">
        <v>-4.8645747816000354E-2</v>
      </c>
      <c r="I104" s="100">
        <v>-9.2521712328611103E-2</v>
      </c>
    </row>
    <row r="105" spans="1:9">
      <c r="A105" s="90">
        <v>89</v>
      </c>
      <c r="B105" s="110">
        <v>1.0963272712935954</v>
      </c>
      <c r="C105" s="110">
        <v>1.069150369705004</v>
      </c>
      <c r="G105" s="90">
        <v>89</v>
      </c>
      <c r="H105" s="100">
        <v>-2.5101463100213675E-2</v>
      </c>
      <c r="I105" s="100">
        <v>-9.2482342353472163E-2</v>
      </c>
    </row>
    <row r="106" spans="1:9">
      <c r="A106" s="90">
        <v>90</v>
      </c>
      <c r="B106" s="110">
        <v>1.1183036789456466</v>
      </c>
      <c r="C106" s="110">
        <v>1.0769781362332527</v>
      </c>
      <c r="G106" s="90">
        <v>90</v>
      </c>
      <c r="H106" s="100">
        <v>-3.7653867463775539E-2</v>
      </c>
      <c r="I106" s="100">
        <v>-9.2450165362829712E-2</v>
      </c>
    </row>
    <row r="107" spans="1:9">
      <c r="A107" s="90">
        <v>91</v>
      </c>
      <c r="B107" s="110">
        <v>1.101233180035817</v>
      </c>
      <c r="C107" s="110">
        <v>1.0561124611679233</v>
      </c>
      <c r="G107" s="90">
        <v>91</v>
      </c>
      <c r="H107" s="100">
        <v>-4.1835947699611659E-2</v>
      </c>
      <c r="I107" s="100">
        <v>-9.2440636134583393E-2</v>
      </c>
    </row>
    <row r="108" spans="1:9">
      <c r="A108" s="90">
        <v>92</v>
      </c>
      <c r="B108" s="110">
        <v>1.1170704022893851</v>
      </c>
      <c r="C108" s="110">
        <v>1.0442283777210122</v>
      </c>
      <c r="G108" s="90">
        <v>92</v>
      </c>
      <c r="H108" s="100">
        <v>-6.7431327968947199E-2</v>
      </c>
      <c r="I108" s="100">
        <v>-9.2432601580960824E-2</v>
      </c>
    </row>
    <row r="109" spans="1:9">
      <c r="A109" s="90">
        <v>93</v>
      </c>
      <c r="B109" s="110">
        <v>1.098435358852103</v>
      </c>
      <c r="C109" s="110">
        <v>1.0489217187437601</v>
      </c>
      <c r="G109" s="90">
        <v>93</v>
      </c>
      <c r="H109" s="100">
        <v>-4.6124064206976879E-2</v>
      </c>
      <c r="I109" s="100">
        <v>-9.2243089935033884E-2</v>
      </c>
    </row>
    <row r="110" spans="1:9">
      <c r="A110" s="90">
        <v>94</v>
      </c>
      <c r="B110" s="110">
        <v>1.1035942672605752</v>
      </c>
      <c r="C110" s="110">
        <v>1.0504302879070857</v>
      </c>
      <c r="G110" s="90">
        <v>94</v>
      </c>
      <c r="H110" s="100">
        <v>-4.9372490534743428E-2</v>
      </c>
      <c r="I110" s="100">
        <v>-9.2200920445313736E-2</v>
      </c>
    </row>
    <row r="111" spans="1:9">
      <c r="A111" s="90">
        <v>95</v>
      </c>
      <c r="B111" s="110">
        <v>1.1374682228281738</v>
      </c>
      <c r="C111" s="110">
        <v>1.0568486845342082</v>
      </c>
      <c r="G111" s="90">
        <v>95</v>
      </c>
      <c r="H111" s="100">
        <v>-7.3513394433935439E-2</v>
      </c>
      <c r="I111" s="100">
        <v>-9.2119009370932814E-2</v>
      </c>
    </row>
    <row r="112" spans="1:9">
      <c r="A112" s="90">
        <v>96</v>
      </c>
      <c r="B112" s="110">
        <v>1.1060356191695726</v>
      </c>
      <c r="C112" s="110">
        <v>1.0558135474439361</v>
      </c>
      <c r="G112" s="90">
        <v>96</v>
      </c>
      <c r="H112" s="100">
        <v>-4.6470503204869895E-2</v>
      </c>
      <c r="I112" s="100">
        <v>-9.1988152633251677E-2</v>
      </c>
    </row>
    <row r="113" spans="1:9">
      <c r="A113" s="90">
        <v>97</v>
      </c>
      <c r="B113" s="110">
        <v>1.1211426637315745</v>
      </c>
      <c r="C113" s="110">
        <v>1.0460246164589946</v>
      </c>
      <c r="G113" s="90">
        <v>97</v>
      </c>
      <c r="H113" s="100">
        <v>-6.9351501429696094E-2</v>
      </c>
      <c r="I113" s="100">
        <v>-9.1987269324266943E-2</v>
      </c>
    </row>
    <row r="114" spans="1:9">
      <c r="A114" s="90">
        <v>98</v>
      </c>
      <c r="B114" s="110">
        <v>1.1076769725143918</v>
      </c>
      <c r="C114" s="110">
        <v>1.0573048756700372</v>
      </c>
      <c r="G114" s="90">
        <v>98</v>
      </c>
      <c r="H114" s="100">
        <v>-4.6541904586211803E-2</v>
      </c>
      <c r="I114" s="100">
        <v>-9.1980997749743929E-2</v>
      </c>
    </row>
    <row r="115" spans="1:9">
      <c r="A115" s="90">
        <v>99</v>
      </c>
      <c r="B115" s="110">
        <v>1.1172099539556113</v>
      </c>
      <c r="C115" s="110">
        <v>1.0663134921073865</v>
      </c>
      <c r="G115" s="90">
        <v>99</v>
      </c>
      <c r="H115" s="100">
        <v>-4.6627099621739082E-2</v>
      </c>
      <c r="I115" s="100">
        <v>-9.1918502046099859E-2</v>
      </c>
    </row>
    <row r="116" spans="1:9">
      <c r="A116" s="90">
        <v>100</v>
      </c>
      <c r="B116" s="110">
        <v>1.1066222661918284</v>
      </c>
      <c r="C116" s="110">
        <v>1.0456285525428335</v>
      </c>
      <c r="G116" s="90">
        <v>100</v>
      </c>
      <c r="H116" s="100">
        <v>-5.6694182260739745E-2</v>
      </c>
      <c r="I116" s="100">
        <v>-9.191473417136288E-2</v>
      </c>
    </row>
    <row r="117" spans="1:9">
      <c r="A117" s="90">
        <v>101</v>
      </c>
      <c r="B117" s="110">
        <v>1.1023465423742287</v>
      </c>
      <c r="C117" s="110">
        <v>1.043296358836332</v>
      </c>
      <c r="G117" s="90">
        <v>101</v>
      </c>
      <c r="H117" s="100">
        <v>-5.5055851619720819E-2</v>
      </c>
      <c r="I117" s="100">
        <v>-9.1862780515238954E-2</v>
      </c>
    </row>
    <row r="118" spans="1:9">
      <c r="A118" s="90">
        <v>102</v>
      </c>
      <c r="B118" s="110">
        <v>1.1166455042847789</v>
      </c>
      <c r="C118" s="110">
        <v>1.0471315373393131</v>
      </c>
      <c r="G118" s="90">
        <v>102</v>
      </c>
      <c r="H118" s="100">
        <v>-6.4274548998441927E-2</v>
      </c>
      <c r="I118" s="100">
        <v>-9.184988553705789E-2</v>
      </c>
    </row>
    <row r="119" spans="1:9">
      <c r="A119" s="90">
        <v>103</v>
      </c>
      <c r="B119" s="110">
        <v>1.1022431582633792</v>
      </c>
      <c r="C119" s="110">
        <v>1.0626007294898865</v>
      </c>
      <c r="G119" s="90">
        <v>103</v>
      </c>
      <c r="H119" s="100">
        <v>-3.6627916623775764E-2</v>
      </c>
      <c r="I119" s="100">
        <v>-9.1797530289410317E-2</v>
      </c>
    </row>
    <row r="120" spans="1:9">
      <c r="A120" s="90">
        <v>104</v>
      </c>
      <c r="B120" s="110">
        <v>1.110277805519728</v>
      </c>
      <c r="C120" s="110">
        <v>1.0480835901385326</v>
      </c>
      <c r="G120" s="90">
        <v>104</v>
      </c>
      <c r="H120" s="100">
        <v>-5.7646914952983068E-2</v>
      </c>
      <c r="I120" s="100">
        <v>-9.1788461540120908E-2</v>
      </c>
    </row>
    <row r="121" spans="1:9">
      <c r="A121" s="90">
        <v>105</v>
      </c>
      <c r="B121" s="110">
        <v>1.1199141014415008</v>
      </c>
      <c r="C121" s="110">
        <v>1.0559595920765059</v>
      </c>
      <c r="G121" s="90">
        <v>105</v>
      </c>
      <c r="H121" s="100">
        <v>-5.8802067751386813E-2</v>
      </c>
      <c r="I121" s="100">
        <v>-9.1763662080450226E-2</v>
      </c>
    </row>
    <row r="122" spans="1:9">
      <c r="A122" s="90">
        <v>106</v>
      </c>
      <c r="B122" s="110">
        <v>1.1069631411468297</v>
      </c>
      <c r="C122" s="110">
        <v>1.0592613649877864</v>
      </c>
      <c r="G122" s="90">
        <v>106</v>
      </c>
      <c r="H122" s="100">
        <v>-4.404851726347693E-2</v>
      </c>
      <c r="I122" s="100">
        <v>-9.169583999010962E-2</v>
      </c>
    </row>
    <row r="123" spans="1:9">
      <c r="A123" s="90">
        <v>107</v>
      </c>
      <c r="B123" s="110">
        <v>1.0868300148169896</v>
      </c>
      <c r="C123" s="110">
        <v>1.0618460303559381</v>
      </c>
      <c r="G123" s="90">
        <v>107</v>
      </c>
      <c r="H123" s="100">
        <v>-2.3256284320702349E-2</v>
      </c>
      <c r="I123" s="100">
        <v>-9.1650104886241715E-2</v>
      </c>
    </row>
    <row r="124" spans="1:9">
      <c r="A124" s="90">
        <v>108</v>
      </c>
      <c r="B124" s="110">
        <v>1.113779862897873</v>
      </c>
      <c r="C124" s="110">
        <v>1.056012686335682</v>
      </c>
      <c r="G124" s="90">
        <v>108</v>
      </c>
      <c r="H124" s="100">
        <v>-5.3259313583441326E-2</v>
      </c>
      <c r="I124" s="100">
        <v>-9.1620837347144032E-2</v>
      </c>
    </row>
    <row r="125" spans="1:9">
      <c r="A125" s="90">
        <v>109</v>
      </c>
      <c r="B125" s="110">
        <v>1.1170620775007944</v>
      </c>
      <c r="C125" s="110">
        <v>1.0686937830576979</v>
      </c>
      <c r="G125" s="90">
        <v>109</v>
      </c>
      <c r="H125" s="100">
        <v>-4.4264954507360683E-2</v>
      </c>
      <c r="I125" s="100">
        <v>-9.1506225509156713E-2</v>
      </c>
    </row>
    <row r="126" spans="1:9">
      <c r="A126" s="90">
        <v>110</v>
      </c>
      <c r="B126" s="110">
        <v>1.1564051411077561</v>
      </c>
      <c r="C126" s="110">
        <v>1.0337893761532431</v>
      </c>
      <c r="G126" s="90">
        <v>110</v>
      </c>
      <c r="H126" s="100">
        <v>-0.11208511971090955</v>
      </c>
      <c r="I126" s="100">
        <v>-9.1313672389595035E-2</v>
      </c>
    </row>
    <row r="127" spans="1:9">
      <c r="A127" s="90">
        <v>111</v>
      </c>
      <c r="B127" s="110">
        <v>1.0919581874693238</v>
      </c>
      <c r="C127" s="110">
        <v>1.0587644778095247</v>
      </c>
      <c r="G127" s="90">
        <v>111</v>
      </c>
      <c r="H127" s="100">
        <v>-3.0869945399361387E-2</v>
      </c>
      <c r="I127" s="100">
        <v>-9.128436049808486E-2</v>
      </c>
    </row>
    <row r="128" spans="1:9">
      <c r="A128" s="90">
        <v>112</v>
      </c>
      <c r="B128" s="110">
        <v>1.1121055713416466</v>
      </c>
      <c r="C128" s="110">
        <v>1.0277271932716223</v>
      </c>
      <c r="G128" s="90">
        <v>112</v>
      </c>
      <c r="H128" s="100">
        <v>-7.8905373959355832E-2</v>
      </c>
      <c r="I128" s="100">
        <v>-9.1270982588371657E-2</v>
      </c>
    </row>
    <row r="129" spans="1:9">
      <c r="A129" s="90">
        <v>113</v>
      </c>
      <c r="B129" s="110">
        <v>1.1119238480160056</v>
      </c>
      <c r="C129" s="110">
        <v>1.0639526024737254</v>
      </c>
      <c r="G129" s="90">
        <v>113</v>
      </c>
      <c r="H129" s="100">
        <v>-4.4100868103421322E-2</v>
      </c>
      <c r="I129" s="100">
        <v>-9.1212141157340082E-2</v>
      </c>
    </row>
    <row r="130" spans="1:9">
      <c r="A130" s="90">
        <v>114</v>
      </c>
      <c r="B130" s="110">
        <v>1.1028340567385226</v>
      </c>
      <c r="C130" s="110">
        <v>1.0520433059392966</v>
      </c>
      <c r="G130" s="90">
        <v>114</v>
      </c>
      <c r="H130" s="100">
        <v>-4.7149002943375963E-2</v>
      </c>
      <c r="I130" s="100">
        <v>-9.1126829939974285E-2</v>
      </c>
    </row>
    <row r="131" spans="1:9">
      <c r="A131" s="90">
        <v>115</v>
      </c>
      <c r="B131" s="110">
        <v>1.1257535123310476</v>
      </c>
      <c r="C131" s="110">
        <v>1.0378702324885583</v>
      </c>
      <c r="G131" s="90">
        <v>115</v>
      </c>
      <c r="H131" s="100">
        <v>-8.1281840128655539E-2</v>
      </c>
      <c r="I131" s="100">
        <v>-9.1106407999655969E-2</v>
      </c>
    </row>
    <row r="132" spans="1:9">
      <c r="A132" s="90">
        <v>116</v>
      </c>
      <c r="B132" s="110">
        <v>1.0820263605250828</v>
      </c>
      <c r="C132" s="110">
        <v>1.0366605606513475</v>
      </c>
      <c r="G132" s="90">
        <v>116</v>
      </c>
      <c r="H132" s="100">
        <v>-4.283099544610805E-2</v>
      </c>
      <c r="I132" s="100">
        <v>-9.1043250217069757E-2</v>
      </c>
    </row>
    <row r="133" spans="1:9">
      <c r="A133" s="90">
        <v>117</v>
      </c>
      <c r="B133" s="110">
        <v>1.0832185596660682</v>
      </c>
      <c r="C133" s="110">
        <v>1.045090266998421</v>
      </c>
      <c r="G133" s="90">
        <v>117</v>
      </c>
      <c r="H133" s="100">
        <v>-3.5833495548306664E-2</v>
      </c>
      <c r="I133" s="100">
        <v>-9.1015376985947707E-2</v>
      </c>
    </row>
    <row r="134" spans="1:9">
      <c r="A134" s="90">
        <v>118</v>
      </c>
      <c r="B134" s="110">
        <v>1.1057809120393427</v>
      </c>
      <c r="C134" s="110">
        <v>1.0616095158713721</v>
      </c>
      <c r="G134" s="90">
        <v>118</v>
      </c>
      <c r="H134" s="100">
        <v>-4.0765625394604592E-2</v>
      </c>
      <c r="I134" s="100">
        <v>-9.094758297688961E-2</v>
      </c>
    </row>
    <row r="135" spans="1:9">
      <c r="A135" s="90">
        <v>119</v>
      </c>
      <c r="B135" s="110">
        <v>1.1277820510546595</v>
      </c>
      <c r="C135" s="110">
        <v>1.0570505716897307</v>
      </c>
      <c r="G135" s="90">
        <v>119</v>
      </c>
      <c r="H135" s="100">
        <v>-6.4770366962957487E-2</v>
      </c>
      <c r="I135" s="100">
        <v>-9.0916317148723447E-2</v>
      </c>
    </row>
    <row r="136" spans="1:9">
      <c r="A136" s="90">
        <v>120</v>
      </c>
      <c r="B136" s="110">
        <v>1.1090240049927622</v>
      </c>
      <c r="C136" s="110">
        <v>1.0600735374475931</v>
      </c>
      <c r="G136" s="90">
        <v>120</v>
      </c>
      <c r="H136" s="100">
        <v>-4.51420730859265E-2</v>
      </c>
      <c r="I136" s="100">
        <v>-9.089815703727723E-2</v>
      </c>
    </row>
    <row r="137" spans="1:9">
      <c r="A137" s="90">
        <v>121</v>
      </c>
      <c r="B137" s="110">
        <v>1.0880045986606646</v>
      </c>
      <c r="C137" s="110">
        <v>1.0337408943583357</v>
      </c>
      <c r="G137" s="90">
        <v>121</v>
      </c>
      <c r="H137" s="100">
        <v>-5.1161216177548013E-2</v>
      </c>
      <c r="I137" s="100">
        <v>-9.0896535945527698E-2</v>
      </c>
    </row>
    <row r="138" spans="1:9">
      <c r="A138" s="90">
        <v>122</v>
      </c>
      <c r="B138" s="110">
        <v>1.1369552455014273</v>
      </c>
      <c r="C138" s="110">
        <v>1.0506669745803692</v>
      </c>
      <c r="G138" s="90">
        <v>122</v>
      </c>
      <c r="H138" s="100">
        <v>-7.8928675685075264E-2</v>
      </c>
      <c r="I138" s="100">
        <v>-9.0830518995565018E-2</v>
      </c>
    </row>
    <row r="139" spans="1:9">
      <c r="A139" s="90">
        <v>123</v>
      </c>
      <c r="B139" s="110">
        <v>1.1028935696198514</v>
      </c>
      <c r="C139" s="110">
        <v>1.0646520678705076</v>
      </c>
      <c r="G139" s="90">
        <v>123</v>
      </c>
      <c r="H139" s="100">
        <v>-3.528919493481554E-2</v>
      </c>
      <c r="I139" s="100">
        <v>-9.0819909371225888E-2</v>
      </c>
    </row>
    <row r="140" spans="1:9">
      <c r="A140" s="90">
        <v>124</v>
      </c>
      <c r="B140" s="110">
        <v>1.1225550508650037</v>
      </c>
      <c r="C140" s="110">
        <v>1.0510209355429367</v>
      </c>
      <c r="G140" s="90">
        <v>124</v>
      </c>
      <c r="H140" s="100">
        <v>-6.5845371180907941E-2</v>
      </c>
      <c r="I140" s="100">
        <v>-9.0761191571026661E-2</v>
      </c>
    </row>
    <row r="141" spans="1:9">
      <c r="A141" s="90">
        <v>125</v>
      </c>
      <c r="B141" s="110">
        <v>1.1046772067107167</v>
      </c>
      <c r="C141" s="110">
        <v>1.0551756952981053</v>
      </c>
      <c r="G141" s="90">
        <v>125</v>
      </c>
      <c r="H141" s="100">
        <v>-4.5845882780323574E-2</v>
      </c>
      <c r="I141" s="100">
        <v>-9.0678459842442022E-2</v>
      </c>
    </row>
    <row r="142" spans="1:9">
      <c r="A142" s="90">
        <v>126</v>
      </c>
      <c r="B142" s="110">
        <v>1.1264689689713989</v>
      </c>
      <c r="C142" s="110">
        <v>1.0399832346937876</v>
      </c>
      <c r="G142" s="90">
        <v>126</v>
      </c>
      <c r="H142" s="100">
        <v>-7.9883341566160282E-2</v>
      </c>
      <c r="I142" s="100">
        <v>-9.0670778612812503E-2</v>
      </c>
    </row>
    <row r="143" spans="1:9">
      <c r="A143" s="90">
        <v>127</v>
      </c>
      <c r="B143" s="110">
        <v>1.1118211086369705</v>
      </c>
      <c r="C143" s="110">
        <v>1.0374701410868246</v>
      </c>
      <c r="G143" s="90">
        <v>127</v>
      </c>
      <c r="H143" s="100">
        <v>-6.9214116325728686E-2</v>
      </c>
      <c r="I143" s="100">
        <v>-9.063646559865883E-2</v>
      </c>
    </row>
    <row r="144" spans="1:9">
      <c r="A144" s="90">
        <v>128</v>
      </c>
      <c r="B144" s="110">
        <v>1.0958011499141889</v>
      </c>
      <c r="C144" s="110">
        <v>1.0624532036378773</v>
      </c>
      <c r="G144" s="90">
        <v>128</v>
      </c>
      <c r="H144" s="100">
        <v>-3.0905162293352714E-2</v>
      </c>
      <c r="I144" s="100">
        <v>-9.0516805342405984E-2</v>
      </c>
    </row>
    <row r="145" spans="1:9">
      <c r="A145" s="90">
        <v>129</v>
      </c>
      <c r="B145" s="110">
        <v>1.1025574300168111</v>
      </c>
      <c r="C145" s="110">
        <v>1.0707743060962405</v>
      </c>
      <c r="G145" s="90">
        <v>129</v>
      </c>
      <c r="H145" s="100">
        <v>-2.9250380378151693E-2</v>
      </c>
      <c r="I145" s="100">
        <v>-9.0507569839371776E-2</v>
      </c>
    </row>
    <row r="146" spans="1:9">
      <c r="A146" s="90">
        <v>130</v>
      </c>
      <c r="B146" s="110">
        <v>1.1272853574445247</v>
      </c>
      <c r="C146" s="110">
        <v>1.0565035964135634</v>
      </c>
      <c r="G146" s="90">
        <v>130</v>
      </c>
      <c r="H146" s="100">
        <v>-6.4847441783452225E-2</v>
      </c>
      <c r="I146" s="100">
        <v>-9.0463413809150503E-2</v>
      </c>
    </row>
    <row r="147" spans="1:9">
      <c r="A147" s="90">
        <v>131</v>
      </c>
      <c r="B147" s="110">
        <v>1.1167443550154807</v>
      </c>
      <c r="C147" s="110">
        <v>1.0402136373136361</v>
      </c>
      <c r="G147" s="90">
        <v>131</v>
      </c>
      <c r="H147" s="100">
        <v>-7.0991513853262841E-2</v>
      </c>
      <c r="I147" s="100">
        <v>-9.027977480762768E-2</v>
      </c>
    </row>
    <row r="148" spans="1:9">
      <c r="A148" s="90">
        <v>132</v>
      </c>
      <c r="B148" s="110">
        <v>1.1067580706973486</v>
      </c>
      <c r="C148" s="110">
        <v>1.053819012061326</v>
      </c>
      <c r="G148" s="90">
        <v>132</v>
      </c>
      <c r="H148" s="100">
        <v>-4.9014364790645262E-2</v>
      </c>
      <c r="I148" s="100">
        <v>-9.0248664765228748E-2</v>
      </c>
    </row>
    <row r="149" spans="1:9">
      <c r="A149" s="90">
        <v>133</v>
      </c>
      <c r="B149" s="110">
        <v>1.1080280588099152</v>
      </c>
      <c r="C149" s="110">
        <v>1.0500986716239522</v>
      </c>
      <c r="G149" s="90">
        <v>133</v>
      </c>
      <c r="H149" s="100">
        <v>-5.369777911067148E-2</v>
      </c>
      <c r="I149" s="100">
        <v>-9.0225059595103338E-2</v>
      </c>
    </row>
    <row r="150" spans="1:9">
      <c r="A150" s="90">
        <v>134</v>
      </c>
      <c r="B150" s="110">
        <v>1.1147220842396308</v>
      </c>
      <c r="C150" s="110">
        <v>1.0475367054629698</v>
      </c>
      <c r="G150" s="90">
        <v>134</v>
      </c>
      <c r="H150" s="100">
        <v>-6.2163708825664979E-2</v>
      </c>
      <c r="I150" s="100">
        <v>-9.0157236969139021E-2</v>
      </c>
    </row>
    <row r="151" spans="1:9">
      <c r="A151" s="90">
        <v>135</v>
      </c>
      <c r="B151" s="110">
        <v>1.1094253462841315</v>
      </c>
      <c r="C151" s="110">
        <v>1.0530363791317523</v>
      </c>
      <c r="G151" s="90">
        <v>135</v>
      </c>
      <c r="H151" s="100">
        <v>-5.2164394579461107E-2</v>
      </c>
      <c r="I151" s="100">
        <v>-9.0151038863455185E-2</v>
      </c>
    </row>
    <row r="152" spans="1:9">
      <c r="A152" s="90">
        <v>136</v>
      </c>
      <c r="B152" s="110">
        <v>1.0907069055706813</v>
      </c>
      <c r="C152" s="110">
        <v>1.0363304698914804</v>
      </c>
      <c r="G152" s="90">
        <v>136</v>
      </c>
      <c r="H152" s="100">
        <v>-5.1139943898788419E-2</v>
      </c>
      <c r="I152" s="100">
        <v>-9.0148652848776961E-2</v>
      </c>
    </row>
    <row r="153" spans="1:9">
      <c r="A153" s="90">
        <v>137</v>
      </c>
      <c r="B153" s="110">
        <v>1.127529609669538</v>
      </c>
      <c r="C153" s="110">
        <v>1.0706914610429725</v>
      </c>
      <c r="G153" s="90">
        <v>137</v>
      </c>
      <c r="H153" s="100">
        <v>-5.1724388363597523E-2</v>
      </c>
      <c r="I153" s="100">
        <v>-9.0058735499353365E-2</v>
      </c>
    </row>
    <row r="154" spans="1:9">
      <c r="A154" s="90">
        <v>138</v>
      </c>
      <c r="B154" s="110">
        <v>1.1090834141168209</v>
      </c>
      <c r="C154" s="110">
        <v>1.0576388370165581</v>
      </c>
      <c r="G154" s="90">
        <v>138</v>
      </c>
      <c r="H154" s="100">
        <v>-4.7495009874777998E-2</v>
      </c>
      <c r="I154" s="100">
        <v>-8.9957395049266101E-2</v>
      </c>
    </row>
    <row r="155" spans="1:9">
      <c r="A155" s="90">
        <v>139</v>
      </c>
      <c r="B155" s="110">
        <v>1.0716756093476389</v>
      </c>
      <c r="C155" s="110">
        <v>1.0707476555439324</v>
      </c>
      <c r="G155" s="90">
        <v>139</v>
      </c>
      <c r="H155" s="100">
        <v>-8.6626566929375612E-4</v>
      </c>
      <c r="I155" s="100">
        <v>-8.9934596434667474E-2</v>
      </c>
    </row>
    <row r="156" spans="1:9">
      <c r="A156" s="90">
        <v>140</v>
      </c>
      <c r="B156" s="110">
        <v>1.0921122852750298</v>
      </c>
      <c r="C156" s="110">
        <v>1.0742775760277965</v>
      </c>
      <c r="G156" s="90">
        <v>140</v>
      </c>
      <c r="H156" s="100">
        <v>-1.6465284008283496E-2</v>
      </c>
      <c r="I156" s="100">
        <v>-8.9796305397000842E-2</v>
      </c>
    </row>
    <row r="157" spans="1:9">
      <c r="A157" s="90">
        <v>141</v>
      </c>
      <c r="B157" s="110">
        <v>1.1217390864767876</v>
      </c>
      <c r="C157" s="110">
        <v>1.051260988611836</v>
      </c>
      <c r="G157" s="90">
        <v>141</v>
      </c>
      <c r="H157" s="100">
        <v>-6.4889851659995459E-2</v>
      </c>
      <c r="I157" s="100">
        <v>-8.9707634013609636E-2</v>
      </c>
    </row>
    <row r="158" spans="1:9">
      <c r="A158" s="90">
        <v>142</v>
      </c>
      <c r="B158" s="110">
        <v>1.1101684683914554</v>
      </c>
      <c r="C158" s="110">
        <v>1.0578042687475184</v>
      </c>
      <c r="G158" s="90">
        <v>142</v>
      </c>
      <c r="H158" s="100">
        <v>-4.8316461996014644E-2</v>
      </c>
      <c r="I158" s="100">
        <v>-8.9705994834424443E-2</v>
      </c>
    </row>
    <row r="159" spans="1:9">
      <c r="A159" s="90">
        <v>143</v>
      </c>
      <c r="B159" s="110">
        <v>1.0815999242049963</v>
      </c>
      <c r="C159" s="110">
        <v>1.0407415514024463</v>
      </c>
      <c r="G159" s="90">
        <v>143</v>
      </c>
      <c r="H159" s="100">
        <v>-3.8507866967133521E-2</v>
      </c>
      <c r="I159" s="100">
        <v>-8.970214095886439E-2</v>
      </c>
    </row>
    <row r="160" spans="1:9">
      <c r="A160" s="90">
        <v>144</v>
      </c>
      <c r="B160" s="110">
        <v>1.1099675471067947</v>
      </c>
      <c r="C160" s="110">
        <v>1.0638525903484135</v>
      </c>
      <c r="G160" s="90">
        <v>144</v>
      </c>
      <c r="H160" s="100">
        <v>-4.2433939640241093E-2</v>
      </c>
      <c r="I160" s="100">
        <v>-8.9688877815798582E-2</v>
      </c>
    </row>
    <row r="161" spans="1:9">
      <c r="A161" s="90">
        <v>145</v>
      </c>
      <c r="B161" s="110">
        <v>1.0898027864861428</v>
      </c>
      <c r="C161" s="110">
        <v>1.0715513060626285</v>
      </c>
      <c r="G161" s="90">
        <v>145</v>
      </c>
      <c r="H161" s="100">
        <v>-1.6889332790594597E-2</v>
      </c>
      <c r="I161" s="100">
        <v>-8.9631460292033394E-2</v>
      </c>
    </row>
    <row r="162" spans="1:9">
      <c r="A162" s="90">
        <v>146</v>
      </c>
      <c r="B162" s="110">
        <v>1.1128167113753109</v>
      </c>
      <c r="C162" s="110">
        <v>1.0725246596397915</v>
      </c>
      <c r="G162" s="90">
        <v>146</v>
      </c>
      <c r="H162" s="100">
        <v>-3.6879014698808714E-2</v>
      </c>
      <c r="I162" s="100">
        <v>-8.9475986092964407E-2</v>
      </c>
    </row>
    <row r="163" spans="1:9">
      <c r="A163" s="90">
        <v>147</v>
      </c>
      <c r="B163" s="110">
        <v>1.0897630400150722</v>
      </c>
      <c r="C163" s="110">
        <v>1.027639049546315</v>
      </c>
      <c r="G163" s="90">
        <v>147</v>
      </c>
      <c r="H163" s="100">
        <v>-5.8696291868009509E-2</v>
      </c>
      <c r="I163" s="100">
        <v>-8.9341094532691928E-2</v>
      </c>
    </row>
    <row r="164" spans="1:9">
      <c r="A164" s="90">
        <v>148</v>
      </c>
      <c r="B164" s="110">
        <v>1.1200512669642162</v>
      </c>
      <c r="C164" s="110">
        <v>1.0554768924111018</v>
      </c>
      <c r="G164" s="90">
        <v>148</v>
      </c>
      <c r="H164" s="100">
        <v>-5.9381762820250816E-2</v>
      </c>
      <c r="I164" s="100">
        <v>-8.9336689560246457E-2</v>
      </c>
    </row>
    <row r="165" spans="1:9">
      <c r="A165" s="90">
        <v>149</v>
      </c>
      <c r="B165" s="110">
        <v>1.1021596684594848</v>
      </c>
      <c r="C165" s="110">
        <v>1.0579060083535321</v>
      </c>
      <c r="G165" s="90">
        <v>149</v>
      </c>
      <c r="H165" s="100">
        <v>-4.0980099440002048E-2</v>
      </c>
      <c r="I165" s="100">
        <v>-8.9334890732913605E-2</v>
      </c>
    </row>
    <row r="166" spans="1:9">
      <c r="A166" s="90">
        <v>150</v>
      </c>
      <c r="B166" s="110">
        <v>1.12330924768108</v>
      </c>
      <c r="C166" s="110">
        <v>1.0347533691685133</v>
      </c>
      <c r="G166" s="90">
        <v>150</v>
      </c>
      <c r="H166" s="100">
        <v>-8.211590656967295E-2</v>
      </c>
      <c r="I166" s="100">
        <v>-8.9304001962897964E-2</v>
      </c>
    </row>
    <row r="167" spans="1:9">
      <c r="A167" s="90">
        <v>151</v>
      </c>
      <c r="B167" s="110">
        <v>1.1199911968630836</v>
      </c>
      <c r="C167" s="110">
        <v>1.061345100578545</v>
      </c>
      <c r="G167" s="90">
        <v>151</v>
      </c>
      <c r="H167" s="100">
        <v>-5.3783758851345669E-2</v>
      </c>
      <c r="I167" s="100">
        <v>-8.9161986057713527E-2</v>
      </c>
    </row>
    <row r="168" spans="1:9">
      <c r="A168" s="90">
        <v>152</v>
      </c>
      <c r="B168" s="110">
        <v>1.0752664580884961</v>
      </c>
      <c r="C168" s="110">
        <v>1.0683309818052711</v>
      </c>
      <c r="G168" s="90">
        <v>152</v>
      </c>
      <c r="H168" s="100">
        <v>-6.470898270939834E-3</v>
      </c>
      <c r="I168" s="100">
        <v>-8.9105724815671139E-2</v>
      </c>
    </row>
    <row r="169" spans="1:9">
      <c r="A169" s="90">
        <v>153</v>
      </c>
      <c r="B169" s="110">
        <v>1.1038570364371951</v>
      </c>
      <c r="C169" s="110">
        <v>1.0462068244052849</v>
      </c>
      <c r="G169" s="90">
        <v>153</v>
      </c>
      <c r="H169" s="100">
        <v>-5.3639368514874983E-2</v>
      </c>
      <c r="I169" s="100">
        <v>-8.9056600078876599E-2</v>
      </c>
    </row>
    <row r="170" spans="1:9">
      <c r="A170" s="90">
        <v>154</v>
      </c>
      <c r="B170" s="110">
        <v>1.1487732986375745</v>
      </c>
      <c r="C170" s="110">
        <v>1.056505009079864</v>
      </c>
      <c r="G170" s="90">
        <v>154</v>
      </c>
      <c r="H170" s="100">
        <v>-8.372837694760607E-2</v>
      </c>
      <c r="I170" s="100">
        <v>-8.903274717267777E-2</v>
      </c>
    </row>
    <row r="171" spans="1:9">
      <c r="A171" s="90">
        <v>155</v>
      </c>
      <c r="B171" s="110">
        <v>1.101523750379481</v>
      </c>
      <c r="C171" s="110">
        <v>1.0245054817016612</v>
      </c>
      <c r="G171" s="90">
        <v>155</v>
      </c>
      <c r="H171" s="100">
        <v>-7.24844095851781E-2</v>
      </c>
      <c r="I171" s="100">
        <v>-8.8907441245601765E-2</v>
      </c>
    </row>
    <row r="172" spans="1:9">
      <c r="A172" s="90">
        <v>156</v>
      </c>
      <c r="B172" s="110">
        <v>1.1412129943109852</v>
      </c>
      <c r="C172" s="110">
        <v>1.0443149662899411</v>
      </c>
      <c r="G172" s="90">
        <v>156</v>
      </c>
      <c r="H172" s="100">
        <v>-8.8730591015751162E-2</v>
      </c>
      <c r="I172" s="100">
        <v>-8.8832264241968495E-2</v>
      </c>
    </row>
    <row r="173" spans="1:9">
      <c r="A173" s="90">
        <v>157</v>
      </c>
      <c r="B173" s="110">
        <v>1.1193112714387259</v>
      </c>
      <c r="C173" s="110">
        <v>1.046487323253467</v>
      </c>
      <c r="G173" s="90">
        <v>157</v>
      </c>
      <c r="H173" s="100">
        <v>-6.7274410580378918E-2</v>
      </c>
      <c r="I173" s="100">
        <v>-8.8807924283325207E-2</v>
      </c>
    </row>
    <row r="174" spans="1:9">
      <c r="A174" s="90">
        <v>158</v>
      </c>
      <c r="B174" s="110">
        <v>1.115078729162343</v>
      </c>
      <c r="C174" s="110">
        <v>1.0678873768864166</v>
      </c>
      <c r="G174" s="90">
        <v>158</v>
      </c>
      <c r="H174" s="100">
        <v>-4.3242728909614676E-2</v>
      </c>
      <c r="I174" s="100">
        <v>-8.8730591015751162E-2</v>
      </c>
    </row>
    <row r="175" spans="1:9">
      <c r="A175" s="90">
        <v>159</v>
      </c>
      <c r="B175" s="110">
        <v>1.0982178993138598</v>
      </c>
      <c r="C175" s="110">
        <v>1.0627286898526835</v>
      </c>
      <c r="G175" s="90">
        <v>159</v>
      </c>
      <c r="H175" s="100">
        <v>-3.2848938339468357E-2</v>
      </c>
      <c r="I175" s="100">
        <v>-8.8679724944024346E-2</v>
      </c>
    </row>
    <row r="176" spans="1:9">
      <c r="A176" s="90">
        <v>160</v>
      </c>
      <c r="B176" s="110">
        <v>1.1243785614930775</v>
      </c>
      <c r="C176" s="110">
        <v>1.0557003901677711</v>
      </c>
      <c r="G176" s="90">
        <v>160</v>
      </c>
      <c r="H176" s="100">
        <v>-6.3026069653513261E-2</v>
      </c>
      <c r="I176" s="100">
        <v>-8.8653773311887396E-2</v>
      </c>
    </row>
    <row r="177" spans="1:9">
      <c r="A177" s="90">
        <v>161</v>
      </c>
      <c r="B177" s="110">
        <v>1.0766784078794815</v>
      </c>
      <c r="C177" s="110">
        <v>1.0737157523513667</v>
      </c>
      <c r="G177" s="90">
        <v>161</v>
      </c>
      <c r="H177" s="100">
        <v>-2.7554552159884866E-3</v>
      </c>
      <c r="I177" s="100">
        <v>-8.8598744609623817E-2</v>
      </c>
    </row>
    <row r="178" spans="1:9">
      <c r="A178" s="90">
        <v>162</v>
      </c>
      <c r="B178" s="110">
        <v>1.0785753551692494</v>
      </c>
      <c r="C178" s="110">
        <v>1.056430242508039</v>
      </c>
      <c r="G178" s="90">
        <v>162</v>
      </c>
      <c r="H178" s="100">
        <v>-2.0745525827420768E-2</v>
      </c>
      <c r="I178" s="100">
        <v>-8.8466181150192003E-2</v>
      </c>
    </row>
    <row r="179" spans="1:9">
      <c r="A179" s="90">
        <v>163</v>
      </c>
      <c r="B179" s="110">
        <v>1.1447834590842556</v>
      </c>
      <c r="C179" s="110">
        <v>1.0324350043091313</v>
      </c>
      <c r="G179" s="90">
        <v>163</v>
      </c>
      <c r="H179" s="100">
        <v>-0.10329540636733607</v>
      </c>
      <c r="I179" s="100">
        <v>-8.8389858991869658E-2</v>
      </c>
    </row>
    <row r="180" spans="1:9">
      <c r="A180" s="90">
        <v>164</v>
      </c>
      <c r="B180" s="110">
        <v>1.1071823552449715</v>
      </c>
      <c r="C180" s="110">
        <v>1.0563123416214144</v>
      </c>
      <c r="G180" s="90">
        <v>164</v>
      </c>
      <c r="H180" s="100">
        <v>-4.703444977776771E-2</v>
      </c>
      <c r="I180" s="100">
        <v>-8.8307261346921531E-2</v>
      </c>
    </row>
    <row r="181" spans="1:9">
      <c r="A181" s="90">
        <v>165</v>
      </c>
      <c r="B181" s="110">
        <v>1.0989155153999837</v>
      </c>
      <c r="C181" s="110">
        <v>1.0721408979090852</v>
      </c>
      <c r="G181" s="90">
        <v>165</v>
      </c>
      <c r="H181" s="100">
        <v>-2.4666309770651245E-2</v>
      </c>
      <c r="I181" s="100">
        <v>-8.8269379560396599E-2</v>
      </c>
    </row>
    <row r="182" spans="1:9">
      <c r="A182" s="90">
        <v>166</v>
      </c>
      <c r="B182" s="110">
        <v>1.0939184045668615</v>
      </c>
      <c r="C182" s="110">
        <v>1.0531176654871242</v>
      </c>
      <c r="G182" s="90">
        <v>166</v>
      </c>
      <c r="H182" s="100">
        <v>-3.8011146715517183E-2</v>
      </c>
      <c r="I182" s="100">
        <v>-8.8265633342024072E-2</v>
      </c>
    </row>
    <row r="183" spans="1:9">
      <c r="A183" s="90">
        <v>167</v>
      </c>
      <c r="B183" s="110">
        <v>1.1015642261854963</v>
      </c>
      <c r="C183" s="110">
        <v>1.0580100432098873</v>
      </c>
      <c r="G183" s="90">
        <v>167</v>
      </c>
      <c r="H183" s="100">
        <v>-4.0341367462967979E-2</v>
      </c>
      <c r="I183" s="100">
        <v>-8.824738221873446E-2</v>
      </c>
    </row>
    <row r="184" spans="1:9">
      <c r="A184" s="90">
        <v>168</v>
      </c>
      <c r="B184" s="110">
        <v>1.1361185782954806</v>
      </c>
      <c r="C184" s="110">
        <v>1.0496034819077502</v>
      </c>
      <c r="G184" s="90">
        <v>168</v>
      </c>
      <c r="H184" s="100">
        <v>-7.9205240585302872E-2</v>
      </c>
      <c r="I184" s="100">
        <v>-8.8233200800707096E-2</v>
      </c>
    </row>
    <row r="185" spans="1:9">
      <c r="A185" s="90">
        <v>169</v>
      </c>
      <c r="B185" s="110">
        <v>1.0989409025842836</v>
      </c>
      <c r="C185" s="110">
        <v>1.0394467629388064</v>
      </c>
      <c r="G185" s="90">
        <v>169</v>
      </c>
      <c r="H185" s="100">
        <v>-5.5658287266600763E-2</v>
      </c>
      <c r="I185" s="100">
        <v>-8.8133338211677043E-2</v>
      </c>
    </row>
    <row r="186" spans="1:9">
      <c r="A186" s="90">
        <v>170</v>
      </c>
      <c r="B186" s="110">
        <v>1.0812133676811273</v>
      </c>
      <c r="C186" s="110">
        <v>1.05840334893779</v>
      </c>
      <c r="G186" s="90">
        <v>170</v>
      </c>
      <c r="H186" s="100">
        <v>-2.1322401123801828E-2</v>
      </c>
      <c r="I186" s="100">
        <v>-8.8116467204101351E-2</v>
      </c>
    </row>
    <row r="187" spans="1:9">
      <c r="A187" s="90">
        <v>171</v>
      </c>
      <c r="B187" s="110">
        <v>1.1304476334352862</v>
      </c>
      <c r="C187" s="110">
        <v>1.0658601467048663</v>
      </c>
      <c r="G187" s="90">
        <v>171</v>
      </c>
      <c r="H187" s="100">
        <v>-5.8831567390442756E-2</v>
      </c>
      <c r="I187" s="100">
        <v>-8.793890336923825E-2</v>
      </c>
    </row>
    <row r="188" spans="1:9">
      <c r="A188" s="90">
        <v>172</v>
      </c>
      <c r="B188" s="110">
        <v>1.0885695793534922</v>
      </c>
      <c r="C188" s="110">
        <v>1.063702905109545</v>
      </c>
      <c r="G188" s="90">
        <v>172</v>
      </c>
      <c r="H188" s="100">
        <v>-2.3108394477240717E-2</v>
      </c>
      <c r="I188" s="100">
        <v>-8.7932292659026037E-2</v>
      </c>
    </row>
    <row r="189" spans="1:9">
      <c r="A189" s="90">
        <v>173</v>
      </c>
      <c r="B189" s="110">
        <v>1.0938131048529276</v>
      </c>
      <c r="C189" s="110">
        <v>1.0443702590254449</v>
      </c>
      <c r="G189" s="90">
        <v>173</v>
      </c>
      <c r="H189" s="100">
        <v>-4.6255772066448798E-2</v>
      </c>
      <c r="I189" s="100">
        <v>-8.7922457472452323E-2</v>
      </c>
    </row>
    <row r="190" spans="1:9">
      <c r="A190" s="90">
        <v>174</v>
      </c>
      <c r="B190" s="110">
        <v>1.0750511285495756</v>
      </c>
      <c r="C190" s="110">
        <v>1.0516421026826346</v>
      </c>
      <c r="G190" s="90">
        <v>174</v>
      </c>
      <c r="H190" s="100">
        <v>-2.2015372033392235E-2</v>
      </c>
      <c r="I190" s="100">
        <v>-8.7894237816477955E-2</v>
      </c>
    </row>
    <row r="191" spans="1:9">
      <c r="A191" s="90">
        <v>175</v>
      </c>
      <c r="B191" s="110">
        <v>1.1141055754235558</v>
      </c>
      <c r="C191" s="110">
        <v>1.0649699249519564</v>
      </c>
      <c r="G191" s="90">
        <v>175</v>
      </c>
      <c r="H191" s="100">
        <v>-4.5105349209008321E-2</v>
      </c>
      <c r="I191" s="100">
        <v>-8.7892671220595631E-2</v>
      </c>
    </row>
    <row r="192" spans="1:9">
      <c r="A192" s="90">
        <v>176</v>
      </c>
      <c r="B192" s="110">
        <v>1.1206181897134073</v>
      </c>
      <c r="C192" s="110">
        <v>1.0491989405689457</v>
      </c>
      <c r="G192" s="90">
        <v>176</v>
      </c>
      <c r="H192" s="100">
        <v>-6.5853528878290463E-2</v>
      </c>
      <c r="I192" s="100">
        <v>-8.7804610747006975E-2</v>
      </c>
    </row>
    <row r="193" spans="1:9">
      <c r="A193" s="90">
        <v>177</v>
      </c>
      <c r="B193" s="110">
        <v>1.1052157090019308</v>
      </c>
      <c r="C193" s="110">
        <v>1.0526646985781398</v>
      </c>
      <c r="G193" s="90">
        <v>177</v>
      </c>
      <c r="H193" s="100">
        <v>-4.871577014301863E-2</v>
      </c>
      <c r="I193" s="100">
        <v>-8.7803499074121411E-2</v>
      </c>
    </row>
    <row r="194" spans="1:9">
      <c r="A194" s="90">
        <v>178</v>
      </c>
      <c r="B194" s="110">
        <v>1.1182673760128945</v>
      </c>
      <c r="C194" s="110">
        <v>1.0615245375108902</v>
      </c>
      <c r="G194" s="90">
        <v>178</v>
      </c>
      <c r="H194" s="100">
        <v>-5.207438400832206E-2</v>
      </c>
      <c r="I194" s="100">
        <v>-8.7764253629987257E-2</v>
      </c>
    </row>
    <row r="195" spans="1:9">
      <c r="A195" s="90">
        <v>179</v>
      </c>
      <c r="B195" s="110">
        <v>1.1440670616434174</v>
      </c>
      <c r="C195" s="110">
        <v>1.0700495063021596</v>
      </c>
      <c r="G195" s="90">
        <v>179</v>
      </c>
      <c r="H195" s="100">
        <v>-6.6884596581559611E-2</v>
      </c>
      <c r="I195" s="100">
        <v>-8.7623223529685573E-2</v>
      </c>
    </row>
    <row r="196" spans="1:9">
      <c r="A196" s="90">
        <v>180</v>
      </c>
      <c r="B196" s="110">
        <v>1.1045198276142691</v>
      </c>
      <c r="C196" s="110">
        <v>1.0616646384689892</v>
      </c>
      <c r="G196" s="90">
        <v>180</v>
      </c>
      <c r="H196" s="100">
        <v>-3.9572605418240946E-2</v>
      </c>
      <c r="I196" s="100">
        <v>-8.7612434250876822E-2</v>
      </c>
    </row>
    <row r="197" spans="1:9">
      <c r="A197" s="90">
        <v>181</v>
      </c>
      <c r="B197" s="110">
        <v>1.1361608600106357</v>
      </c>
      <c r="C197" s="110">
        <v>1.0411328967427782</v>
      </c>
      <c r="G197" s="90">
        <v>181</v>
      </c>
      <c r="H197" s="100">
        <v>-8.7345468334588935E-2</v>
      </c>
      <c r="I197" s="100">
        <v>-8.7572145340017782E-2</v>
      </c>
    </row>
    <row r="198" spans="1:9">
      <c r="A198" s="90">
        <v>182</v>
      </c>
      <c r="B198" s="110">
        <v>1.0987861147991287</v>
      </c>
      <c r="C198" s="110">
        <v>1.0405604764809557</v>
      </c>
      <c r="G198" s="90">
        <v>182</v>
      </c>
      <c r="H198" s="100">
        <v>-5.4446550782326519E-2</v>
      </c>
      <c r="I198" s="100">
        <v>-8.7559650718502108E-2</v>
      </c>
    </row>
    <row r="199" spans="1:9">
      <c r="A199" s="90">
        <v>183</v>
      </c>
      <c r="B199" s="110">
        <v>1.0761557802013553</v>
      </c>
      <c r="C199" s="110">
        <v>1.0438516254072894</v>
      </c>
      <c r="G199" s="90">
        <v>183</v>
      </c>
      <c r="H199" s="100">
        <v>-3.0477870296321697E-2</v>
      </c>
      <c r="I199" s="100">
        <v>-8.7506282611498482E-2</v>
      </c>
    </row>
    <row r="200" spans="1:9">
      <c r="A200" s="90">
        <v>184</v>
      </c>
      <c r="B200" s="110">
        <v>1.113396710605056</v>
      </c>
      <c r="C200" s="110">
        <v>1.0513568441105117</v>
      </c>
      <c r="G200" s="90">
        <v>184</v>
      </c>
      <c r="H200" s="100">
        <v>-5.733387995163515E-2</v>
      </c>
      <c r="I200" s="100">
        <v>-8.7503581240106834E-2</v>
      </c>
    </row>
    <row r="201" spans="1:9">
      <c r="A201" s="90">
        <v>185</v>
      </c>
      <c r="B201" s="110">
        <v>1.1123067906527284</v>
      </c>
      <c r="C201" s="110">
        <v>1.0585928896916277</v>
      </c>
      <c r="G201" s="90">
        <v>185</v>
      </c>
      <c r="H201" s="100">
        <v>-4.9495484942276929E-2</v>
      </c>
      <c r="I201" s="100">
        <v>-8.7469725094077397E-2</v>
      </c>
    </row>
    <row r="202" spans="1:9">
      <c r="A202" s="90">
        <v>186</v>
      </c>
      <c r="B202" s="110">
        <v>1.0981283030348958</v>
      </c>
      <c r="C202" s="110">
        <v>1.0348394978571434</v>
      </c>
      <c r="G202" s="90">
        <v>186</v>
      </c>
      <c r="H202" s="100">
        <v>-5.9360847682903103E-2</v>
      </c>
      <c r="I202" s="100">
        <v>-8.7425527327047239E-2</v>
      </c>
    </row>
    <row r="203" spans="1:9">
      <c r="A203" s="90">
        <v>187</v>
      </c>
      <c r="B203" s="110">
        <v>1.0773591794643971</v>
      </c>
      <c r="C203" s="110">
        <v>1.0617610555320514</v>
      </c>
      <c r="G203" s="90">
        <v>187</v>
      </c>
      <c r="H203" s="100">
        <v>-1.4583939828731386E-2</v>
      </c>
      <c r="I203" s="100">
        <v>-8.7345468334588935E-2</v>
      </c>
    </row>
    <row r="204" spans="1:9">
      <c r="A204" s="90">
        <v>188</v>
      </c>
      <c r="B204" s="110">
        <v>1.1398925615864264</v>
      </c>
      <c r="C204" s="110">
        <v>1.0337288606229593</v>
      </c>
      <c r="G204" s="90">
        <v>188</v>
      </c>
      <c r="H204" s="100">
        <v>-9.7761495812029961E-2</v>
      </c>
      <c r="I204" s="100">
        <v>-8.7306634084511031E-2</v>
      </c>
    </row>
    <row r="205" spans="1:9">
      <c r="A205" s="90">
        <v>189</v>
      </c>
      <c r="B205" s="110">
        <v>1.1400843101339349</v>
      </c>
      <c r="C205" s="110">
        <v>1.0703011515326162</v>
      </c>
      <c r="G205" s="90">
        <v>189</v>
      </c>
      <c r="H205" s="100">
        <v>-6.3162157024945029E-2</v>
      </c>
      <c r="I205" s="100">
        <v>-8.7145012605507E-2</v>
      </c>
    </row>
    <row r="206" spans="1:9">
      <c r="A206" s="90">
        <v>190</v>
      </c>
      <c r="B206" s="110">
        <v>1.0803473491144939</v>
      </c>
      <c r="C206" s="110">
        <v>1.054286943939436</v>
      </c>
      <c r="G206" s="90">
        <v>190</v>
      </c>
      <c r="H206" s="100">
        <v>-2.4417953083498679E-2</v>
      </c>
      <c r="I206" s="100">
        <v>-8.7114171051180384E-2</v>
      </c>
    </row>
    <row r="207" spans="1:9">
      <c r="A207" s="90">
        <v>191</v>
      </c>
      <c r="B207" s="110">
        <v>1.1049596221003126</v>
      </c>
      <c r="C207" s="110">
        <v>1.0439188046694019</v>
      </c>
      <c r="G207" s="90">
        <v>191</v>
      </c>
      <c r="H207" s="100">
        <v>-5.6827080085608404E-2</v>
      </c>
      <c r="I207" s="100">
        <v>-8.7100550555787956E-2</v>
      </c>
    </row>
    <row r="208" spans="1:9">
      <c r="A208" s="90">
        <v>192</v>
      </c>
      <c r="B208" s="110">
        <v>1.1215958329173703</v>
      </c>
      <c r="C208" s="110">
        <v>1.0489641471915281</v>
      </c>
      <c r="G208" s="90">
        <v>192</v>
      </c>
      <c r="H208" s="100">
        <v>-6.6949371241726799E-2</v>
      </c>
      <c r="I208" s="100">
        <v>-8.7089406787960719E-2</v>
      </c>
    </row>
    <row r="209" spans="1:9">
      <c r="A209" s="90">
        <v>193</v>
      </c>
      <c r="B209" s="110">
        <v>1.0652426024740576</v>
      </c>
      <c r="C209" s="110">
        <v>1.0578517497698299</v>
      </c>
      <c r="G209" s="90">
        <v>193</v>
      </c>
      <c r="H209" s="100">
        <v>-6.9623684431127028E-3</v>
      </c>
      <c r="I209" s="100">
        <v>-8.7069494700699773E-2</v>
      </c>
    </row>
    <row r="210" spans="1:9">
      <c r="A210" s="90">
        <v>194</v>
      </c>
      <c r="B210" s="110">
        <v>1.0914428548329567</v>
      </c>
      <c r="C210" s="110">
        <v>1.0640185387421903</v>
      </c>
      <c r="G210" s="90">
        <v>194</v>
      </c>
      <c r="H210" s="100">
        <v>-2.5447726528776832E-2</v>
      </c>
      <c r="I210" s="100">
        <v>-8.6916347401261543E-2</v>
      </c>
    </row>
    <row r="211" spans="1:9">
      <c r="A211" s="90">
        <v>195</v>
      </c>
      <c r="B211" s="110">
        <v>1.1093309359542118</v>
      </c>
      <c r="C211" s="110">
        <v>1.0626048281050184</v>
      </c>
      <c r="G211" s="90">
        <v>195</v>
      </c>
      <c r="H211" s="100">
        <v>-4.303379449396498E-2</v>
      </c>
      <c r="I211" s="100">
        <v>-8.689380146156532E-2</v>
      </c>
    </row>
    <row r="212" spans="1:9">
      <c r="A212" s="90">
        <v>196</v>
      </c>
      <c r="B212" s="110">
        <v>1.1317042189793991</v>
      </c>
      <c r="C212" s="110">
        <v>1.0680935565110465</v>
      </c>
      <c r="G212" s="90">
        <v>196</v>
      </c>
      <c r="H212" s="100">
        <v>-5.7849318553584474E-2</v>
      </c>
      <c r="I212" s="100">
        <v>-8.6860703152429664E-2</v>
      </c>
    </row>
    <row r="213" spans="1:9">
      <c r="A213" s="90">
        <v>197</v>
      </c>
      <c r="B213" s="110">
        <v>1.0856639532063503</v>
      </c>
      <c r="C213" s="110">
        <v>1.0555491328276805</v>
      </c>
      <c r="G213" s="90">
        <v>197</v>
      </c>
      <c r="H213" s="100">
        <v>-2.8130601711279665E-2</v>
      </c>
      <c r="I213" s="100">
        <v>-8.680642017681163E-2</v>
      </c>
    </row>
    <row r="214" spans="1:9">
      <c r="A214" s="90">
        <v>198</v>
      </c>
      <c r="B214" s="110">
        <v>1.1117365792531335</v>
      </c>
      <c r="C214" s="110">
        <v>1.050317806137586</v>
      </c>
      <c r="G214" s="90">
        <v>198</v>
      </c>
      <c r="H214" s="100">
        <v>-5.6830487719535819E-2</v>
      </c>
      <c r="I214" s="100">
        <v>-8.6678996494176333E-2</v>
      </c>
    </row>
    <row r="215" spans="1:9">
      <c r="A215" s="90">
        <v>199</v>
      </c>
      <c r="B215" s="110">
        <v>1.1232482608633532</v>
      </c>
      <c r="C215" s="110">
        <v>1.0515065387612548</v>
      </c>
      <c r="G215" s="90">
        <v>199</v>
      </c>
      <c r="H215" s="100">
        <v>-6.6000786009842508E-2</v>
      </c>
      <c r="I215" s="100">
        <v>-8.6611340845090395E-2</v>
      </c>
    </row>
    <row r="216" spans="1:9">
      <c r="A216" s="90">
        <v>200</v>
      </c>
      <c r="B216" s="110">
        <v>1.0924376741607962</v>
      </c>
      <c r="C216" s="110">
        <v>1.0888846301737545</v>
      </c>
      <c r="G216" s="90">
        <v>200</v>
      </c>
      <c r="H216" s="100">
        <v>-3.2577002694530676E-3</v>
      </c>
      <c r="I216" s="100">
        <v>-8.6583392473382231E-2</v>
      </c>
    </row>
    <row r="217" spans="1:9">
      <c r="A217" s="90">
        <v>201</v>
      </c>
      <c r="B217" s="110">
        <v>1.1152531579701552</v>
      </c>
      <c r="C217" s="110">
        <v>1.0328926520366155</v>
      </c>
      <c r="G217" s="90">
        <v>201</v>
      </c>
      <c r="H217" s="100">
        <v>-7.6718160557979198E-2</v>
      </c>
      <c r="I217" s="100">
        <v>-8.6551844227570188E-2</v>
      </c>
    </row>
    <row r="218" spans="1:9">
      <c r="A218" s="90">
        <v>202</v>
      </c>
      <c r="B218" s="110">
        <v>1.0876649885335663</v>
      </c>
      <c r="C218" s="110">
        <v>1.0568141597817642</v>
      </c>
      <c r="G218" s="90">
        <v>202</v>
      </c>
      <c r="H218" s="100">
        <v>-2.8774313197535799E-2</v>
      </c>
      <c r="I218" s="100">
        <v>-8.6523049665483132E-2</v>
      </c>
    </row>
    <row r="219" spans="1:9">
      <c r="A219" s="90">
        <v>203</v>
      </c>
      <c r="B219" s="110">
        <v>1.0913833403460538</v>
      </c>
      <c r="C219" s="110">
        <v>1.0407062449817981</v>
      </c>
      <c r="G219" s="90">
        <v>203</v>
      </c>
      <c r="H219" s="100">
        <v>-4.754644677816109E-2</v>
      </c>
      <c r="I219" s="100">
        <v>-8.646481145334875E-2</v>
      </c>
    </row>
    <row r="220" spans="1:9">
      <c r="A220" s="90">
        <v>204</v>
      </c>
      <c r="B220" s="110">
        <v>1.1088127228212843</v>
      </c>
      <c r="C220" s="110">
        <v>1.0734285127006822</v>
      </c>
      <c r="G220" s="90">
        <v>204</v>
      </c>
      <c r="H220" s="100">
        <v>-3.2432080407699335E-2</v>
      </c>
      <c r="I220" s="100">
        <v>-8.6460712776613269E-2</v>
      </c>
    </row>
    <row r="221" spans="1:9">
      <c r="A221" s="90">
        <v>205</v>
      </c>
      <c r="B221" s="110">
        <v>1.1092678912018836</v>
      </c>
      <c r="C221" s="110">
        <v>1.0282291589213839</v>
      </c>
      <c r="G221" s="90">
        <v>205</v>
      </c>
      <c r="H221" s="100">
        <v>-7.5862180815425825E-2</v>
      </c>
      <c r="I221" s="100">
        <v>-8.6460051276065375E-2</v>
      </c>
    </row>
    <row r="222" spans="1:9">
      <c r="A222" s="90">
        <v>206</v>
      </c>
      <c r="B222" s="110">
        <v>1.1323709598193559</v>
      </c>
      <c r="C222" s="110">
        <v>1.0504474169465954</v>
      </c>
      <c r="G222" s="90">
        <v>206</v>
      </c>
      <c r="H222" s="100">
        <v>-7.5097444331246113E-2</v>
      </c>
      <c r="I222" s="100">
        <v>-8.6447516423561466E-2</v>
      </c>
    </row>
    <row r="223" spans="1:9">
      <c r="A223" s="90">
        <v>207</v>
      </c>
      <c r="B223" s="110">
        <v>1.1471154264102565</v>
      </c>
      <c r="C223" s="110">
        <v>1.0473916004692028</v>
      </c>
      <c r="G223" s="90">
        <v>207</v>
      </c>
      <c r="H223" s="100">
        <v>-9.094758297688961E-2</v>
      </c>
      <c r="I223" s="100">
        <v>-8.6398674043411477E-2</v>
      </c>
    </row>
    <row r="224" spans="1:9">
      <c r="A224" s="90">
        <v>208</v>
      </c>
      <c r="B224" s="110">
        <v>1.1569504598897675</v>
      </c>
      <c r="C224" s="110">
        <v>1.0702689471387545</v>
      </c>
      <c r="G224" s="90">
        <v>208</v>
      </c>
      <c r="H224" s="100">
        <v>-7.7877660211551972E-2</v>
      </c>
      <c r="I224" s="100">
        <v>-8.6366735901511699E-2</v>
      </c>
    </row>
    <row r="225" spans="1:9">
      <c r="A225" s="90">
        <v>209</v>
      </c>
      <c r="B225" s="110">
        <v>1.1200825262550158</v>
      </c>
      <c r="C225" s="110">
        <v>1.0353411380675448</v>
      </c>
      <c r="G225" s="90">
        <v>209</v>
      </c>
      <c r="H225" s="100">
        <v>-7.8671392340568663E-2</v>
      </c>
      <c r="I225" s="100">
        <v>-8.6307551324601467E-2</v>
      </c>
    </row>
    <row r="226" spans="1:9">
      <c r="A226" s="90">
        <v>210</v>
      </c>
      <c r="B226" s="110">
        <v>1.108571754574676</v>
      </c>
      <c r="C226" s="110">
        <v>1.07797147709497</v>
      </c>
      <c r="G226" s="90">
        <v>210</v>
      </c>
      <c r="H226" s="100">
        <v>-2.7991466173683026E-2</v>
      </c>
      <c r="I226" s="100">
        <v>-8.6297780867565177E-2</v>
      </c>
    </row>
    <row r="227" spans="1:9">
      <c r="A227" s="90">
        <v>211</v>
      </c>
      <c r="B227" s="110">
        <v>1.1089995105176467</v>
      </c>
      <c r="C227" s="110">
        <v>1.0390436555554505</v>
      </c>
      <c r="G227" s="90">
        <v>211</v>
      </c>
      <c r="H227" s="100">
        <v>-6.515753886451367E-2</v>
      </c>
      <c r="I227" s="100">
        <v>-8.6263767667905666E-2</v>
      </c>
    </row>
    <row r="228" spans="1:9">
      <c r="A228" s="90">
        <v>212</v>
      </c>
      <c r="B228" s="110">
        <v>1.0951314409559159</v>
      </c>
      <c r="C228" s="110">
        <v>1.0473861206782238</v>
      </c>
      <c r="G228" s="90">
        <v>212</v>
      </c>
      <c r="H228" s="100">
        <v>-4.4576741905984388E-2</v>
      </c>
      <c r="I228" s="100">
        <v>-8.6262583291751793E-2</v>
      </c>
    </row>
    <row r="229" spans="1:9">
      <c r="A229" s="90">
        <v>213</v>
      </c>
      <c r="B229" s="110">
        <v>1.1217307768140934</v>
      </c>
      <c r="C229" s="110">
        <v>1.0538720512045268</v>
      </c>
      <c r="G229" s="90">
        <v>213</v>
      </c>
      <c r="H229" s="100">
        <v>-6.2401779738211288E-2</v>
      </c>
      <c r="I229" s="100">
        <v>-8.6210693667758381E-2</v>
      </c>
    </row>
    <row r="230" spans="1:9">
      <c r="A230" s="90">
        <v>214</v>
      </c>
      <c r="B230" s="110">
        <v>1.1222605476040164</v>
      </c>
      <c r="C230" s="110">
        <v>1.0490820302813189</v>
      </c>
      <c r="G230" s="90">
        <v>214</v>
      </c>
      <c r="H230" s="100">
        <v>-6.7429472349091704E-2</v>
      </c>
      <c r="I230" s="100">
        <v>-8.6195786948334338E-2</v>
      </c>
    </row>
    <row r="231" spans="1:9">
      <c r="A231" s="90">
        <v>215</v>
      </c>
      <c r="B231" s="110">
        <v>1.1267533455687946</v>
      </c>
      <c r="C231" s="110">
        <v>1.050381688488881</v>
      </c>
      <c r="G231" s="90">
        <v>215</v>
      </c>
      <c r="H231" s="100">
        <v>-7.0186740843156153E-2</v>
      </c>
      <c r="I231" s="100">
        <v>-8.6164429207833501E-2</v>
      </c>
    </row>
    <row r="232" spans="1:9">
      <c r="A232" s="90">
        <v>216</v>
      </c>
      <c r="B232" s="110">
        <v>1.1075407992771762</v>
      </c>
      <c r="C232" s="110">
        <v>1.0501698943590969</v>
      </c>
      <c r="G232" s="90">
        <v>216</v>
      </c>
      <c r="H232" s="100">
        <v>-5.319010610299562E-2</v>
      </c>
      <c r="I232" s="100">
        <v>-8.6122249354736072E-2</v>
      </c>
    </row>
    <row r="233" spans="1:9">
      <c r="A233" s="90">
        <v>217</v>
      </c>
      <c r="B233" s="110">
        <v>1.1233982632269826</v>
      </c>
      <c r="C233" s="110">
        <v>1.0411448919666413</v>
      </c>
      <c r="G233" s="90">
        <v>217</v>
      </c>
      <c r="H233" s="100">
        <v>-7.6037289803953634E-2</v>
      </c>
      <c r="I233" s="100">
        <v>-8.6092247724941173E-2</v>
      </c>
    </row>
    <row r="234" spans="1:9">
      <c r="A234" s="90">
        <v>218</v>
      </c>
      <c r="B234" s="110">
        <v>1.1323528124363376</v>
      </c>
      <c r="C234" s="110">
        <v>1.0550705289883857</v>
      </c>
      <c r="G234" s="90">
        <v>218</v>
      </c>
      <c r="H234" s="100">
        <v>-7.0689986169766766E-2</v>
      </c>
      <c r="I234" s="100">
        <v>-8.605226831076962E-2</v>
      </c>
    </row>
    <row r="235" spans="1:9">
      <c r="A235" s="90">
        <v>219</v>
      </c>
      <c r="B235" s="110">
        <v>1.1283528559879863</v>
      </c>
      <c r="C235" s="110">
        <v>1.0540190032905929</v>
      </c>
      <c r="G235" s="90">
        <v>219</v>
      </c>
      <c r="H235" s="100">
        <v>-6.8148440107349897E-2</v>
      </c>
      <c r="I235" s="100">
        <v>-8.5978918554600658E-2</v>
      </c>
    </row>
    <row r="236" spans="1:9">
      <c r="A236" s="90">
        <v>220</v>
      </c>
      <c r="B236" s="110">
        <v>1.0824936785719355</v>
      </c>
      <c r="C236" s="110">
        <v>1.0468833005821832</v>
      </c>
      <c r="G236" s="90">
        <v>220</v>
      </c>
      <c r="H236" s="100">
        <v>-3.3449876306861595E-2</v>
      </c>
      <c r="I236" s="100">
        <v>-8.5960820936800172E-2</v>
      </c>
    </row>
    <row r="237" spans="1:9">
      <c r="A237" s="90">
        <v>221</v>
      </c>
      <c r="B237" s="110">
        <v>1.0991940921292116</v>
      </c>
      <c r="C237" s="110">
        <v>1.0674821187109627</v>
      </c>
      <c r="G237" s="90">
        <v>221</v>
      </c>
      <c r="H237" s="100">
        <v>-2.9274552412704869E-2</v>
      </c>
      <c r="I237" s="100">
        <v>-8.5861254649132537E-2</v>
      </c>
    </row>
    <row r="238" spans="1:9">
      <c r="A238" s="90">
        <v>222</v>
      </c>
      <c r="B238" s="110">
        <v>1.1331690370637975</v>
      </c>
      <c r="C238" s="110">
        <v>1.0767488354635486</v>
      </c>
      <c r="G238" s="90">
        <v>222</v>
      </c>
      <c r="H238" s="100">
        <v>-5.1072001726177964E-2</v>
      </c>
      <c r="I238" s="100">
        <v>-8.5806226878341996E-2</v>
      </c>
    </row>
    <row r="239" spans="1:9">
      <c r="A239" s="90">
        <v>223</v>
      </c>
      <c r="B239" s="110">
        <v>1.1432700832962122</v>
      </c>
      <c r="C239" s="110">
        <v>1.0400269571269172</v>
      </c>
      <c r="G239" s="90">
        <v>223</v>
      </c>
      <c r="H239" s="100">
        <v>-9.4646017115615613E-2</v>
      </c>
      <c r="I239" s="100">
        <v>-8.580354244526045E-2</v>
      </c>
    </row>
    <row r="240" spans="1:9">
      <c r="A240" s="90">
        <v>224</v>
      </c>
      <c r="B240" s="110">
        <v>1.0974126809962961</v>
      </c>
      <c r="C240" s="110">
        <v>1.0496009455457342</v>
      </c>
      <c r="G240" s="90">
        <v>224</v>
      </c>
      <c r="H240" s="100">
        <v>-4.454526099718991E-2</v>
      </c>
      <c r="I240" s="100">
        <v>-8.5723193147892493E-2</v>
      </c>
    </row>
    <row r="241" spans="1:9">
      <c r="A241" s="90">
        <v>225</v>
      </c>
      <c r="B241" s="110">
        <v>1.0930125478821582</v>
      </c>
      <c r="C241" s="110">
        <v>1.046701054705647</v>
      </c>
      <c r="G241" s="90">
        <v>225</v>
      </c>
      <c r="H241" s="100">
        <v>-4.329432382340076E-2</v>
      </c>
      <c r="I241" s="100">
        <v>-8.5707817975231609E-2</v>
      </c>
    </row>
    <row r="242" spans="1:9">
      <c r="A242" s="90">
        <v>226</v>
      </c>
      <c r="B242" s="110">
        <v>1.1068034560660975</v>
      </c>
      <c r="C242" s="110">
        <v>1.0507032307226607</v>
      </c>
      <c r="G242" s="90">
        <v>226</v>
      </c>
      <c r="H242" s="100">
        <v>-5.201640796413378E-2</v>
      </c>
      <c r="I242" s="100">
        <v>-8.5667485868440307E-2</v>
      </c>
    </row>
    <row r="243" spans="1:9">
      <c r="A243" s="90">
        <v>227</v>
      </c>
      <c r="B243" s="110">
        <v>1.1090706695538828</v>
      </c>
      <c r="C243" s="110">
        <v>1.0619264401642858</v>
      </c>
      <c r="G243" s="90">
        <v>227</v>
      </c>
      <c r="H243" s="100">
        <v>-4.3437774972675695E-2</v>
      </c>
      <c r="I243" s="100">
        <v>-8.5601799983393984E-2</v>
      </c>
    </row>
    <row r="244" spans="1:9">
      <c r="A244" s="90">
        <v>228</v>
      </c>
      <c r="B244" s="110">
        <v>1.1067799187895504</v>
      </c>
      <c r="C244" s="110">
        <v>1.0562843364840622</v>
      </c>
      <c r="G244" s="90">
        <v>228</v>
      </c>
      <c r="H244" s="100">
        <v>-4.6697418205127128E-2</v>
      </c>
      <c r="I244" s="100">
        <v>-8.5586837614796712E-2</v>
      </c>
    </row>
    <row r="245" spans="1:9">
      <c r="A245" s="90">
        <v>229</v>
      </c>
      <c r="B245" s="110">
        <v>1.1374467094705132</v>
      </c>
      <c r="C245" s="110">
        <v>1.0558080196990489</v>
      </c>
      <c r="G245" s="90">
        <v>229</v>
      </c>
      <c r="H245" s="100">
        <v>-7.4479652699280391E-2</v>
      </c>
      <c r="I245" s="100">
        <v>-8.5584064248728345E-2</v>
      </c>
    </row>
    <row r="246" spans="1:9">
      <c r="A246" s="90">
        <v>230</v>
      </c>
      <c r="B246" s="110">
        <v>1.1360813395156417</v>
      </c>
      <c r="C246" s="110">
        <v>1.052404652811691</v>
      </c>
      <c r="G246" s="90">
        <v>230</v>
      </c>
      <c r="H246" s="100">
        <v>-7.6507228104000014E-2</v>
      </c>
      <c r="I246" s="100">
        <v>-8.5515655666527537E-2</v>
      </c>
    </row>
    <row r="247" spans="1:9">
      <c r="A247" s="90">
        <v>231</v>
      </c>
      <c r="B247" s="110">
        <v>1.1154797988919716</v>
      </c>
      <c r="C247" s="110">
        <v>1.0307704186759215</v>
      </c>
      <c r="G247" s="90">
        <v>231</v>
      </c>
      <c r="H247" s="100">
        <v>-7.8978123320177951E-2</v>
      </c>
      <c r="I247" s="100">
        <v>-8.5493930062813084E-2</v>
      </c>
    </row>
    <row r="248" spans="1:9">
      <c r="A248" s="90">
        <v>232</v>
      </c>
      <c r="B248" s="110">
        <v>1.0902068417547901</v>
      </c>
      <c r="C248" s="110">
        <v>1.0561465061678745</v>
      </c>
      <c r="G248" s="90">
        <v>232</v>
      </c>
      <c r="H248" s="100">
        <v>-3.1740528753713845E-2</v>
      </c>
      <c r="I248" s="100">
        <v>-8.548109295269718E-2</v>
      </c>
    </row>
    <row r="249" spans="1:9">
      <c r="A249" s="90">
        <v>233</v>
      </c>
      <c r="B249" s="110">
        <v>1.1177376883438872</v>
      </c>
      <c r="C249" s="110">
        <v>1.0408502540044149</v>
      </c>
      <c r="G249" s="90">
        <v>233</v>
      </c>
      <c r="H249" s="100">
        <v>-7.1268790326426398E-2</v>
      </c>
      <c r="I249" s="100">
        <v>-8.5432520825269698E-2</v>
      </c>
    </row>
    <row r="250" spans="1:9">
      <c r="A250" s="90">
        <v>234</v>
      </c>
      <c r="B250" s="110">
        <v>1.0987693316948226</v>
      </c>
      <c r="C250" s="110">
        <v>1.0473782262535773</v>
      </c>
      <c r="G250" s="90">
        <v>234</v>
      </c>
      <c r="H250" s="100">
        <v>-4.7900649854139984E-2</v>
      </c>
      <c r="I250" s="100">
        <v>-8.5431256884686016E-2</v>
      </c>
    </row>
    <row r="251" spans="1:9">
      <c r="A251" s="90">
        <v>235</v>
      </c>
      <c r="B251" s="110">
        <v>1.1197920101517207</v>
      </c>
      <c r="C251" s="110">
        <v>1.0354628226045846</v>
      </c>
      <c r="G251" s="90">
        <v>235</v>
      </c>
      <c r="H251" s="100">
        <v>-7.8294464475434131E-2</v>
      </c>
      <c r="I251" s="100">
        <v>-8.5348219216363014E-2</v>
      </c>
    </row>
    <row r="252" spans="1:9">
      <c r="A252" s="90">
        <v>236</v>
      </c>
      <c r="B252" s="110">
        <v>1.1075915116641906</v>
      </c>
      <c r="C252" s="110">
        <v>1.0523010763800436</v>
      </c>
      <c r="G252" s="90">
        <v>236</v>
      </c>
      <c r="H252" s="100">
        <v>-5.1208580918365061E-2</v>
      </c>
      <c r="I252" s="100">
        <v>-8.5345437886514247E-2</v>
      </c>
    </row>
    <row r="253" spans="1:9">
      <c r="A253" s="90">
        <v>237</v>
      </c>
      <c r="B253" s="110">
        <v>1.1244658601306319</v>
      </c>
      <c r="C253" s="110">
        <v>1.0423183240013403</v>
      </c>
      <c r="G253" s="90">
        <v>237</v>
      </c>
      <c r="H253" s="100">
        <v>-7.5860741951416191E-2</v>
      </c>
      <c r="I253" s="100">
        <v>-8.5269157754103889E-2</v>
      </c>
    </row>
    <row r="254" spans="1:9">
      <c r="A254" s="90">
        <v>238</v>
      </c>
      <c r="B254" s="110">
        <v>1.1140185357116792</v>
      </c>
      <c r="C254" s="110">
        <v>1.0511087201599394</v>
      </c>
      <c r="G254" s="90">
        <v>238</v>
      </c>
      <c r="H254" s="100">
        <v>-5.8128249210387395E-2</v>
      </c>
      <c r="I254" s="100">
        <v>-8.517190797028304E-2</v>
      </c>
    </row>
    <row r="255" spans="1:9">
      <c r="A255" s="90">
        <v>239</v>
      </c>
      <c r="B255" s="110">
        <v>1.0932356372068599</v>
      </c>
      <c r="C255" s="110">
        <v>1.0453864011229848</v>
      </c>
      <c r="G255" s="90">
        <v>239</v>
      </c>
      <c r="H255" s="100">
        <v>-4.4755194610311494E-2</v>
      </c>
      <c r="I255" s="100">
        <v>-8.5140908996462372E-2</v>
      </c>
    </row>
    <row r="256" spans="1:9">
      <c r="A256" s="90">
        <v>240</v>
      </c>
      <c r="B256" s="110">
        <v>1.1445413093383081</v>
      </c>
      <c r="C256" s="110">
        <v>1.041791246153241</v>
      </c>
      <c r="G256" s="90">
        <v>240</v>
      </c>
      <c r="H256" s="100">
        <v>-9.4062369869022916E-2</v>
      </c>
      <c r="I256" s="100">
        <v>-8.5086924499378394E-2</v>
      </c>
    </row>
    <row r="257" spans="1:9">
      <c r="A257" s="90">
        <v>241</v>
      </c>
      <c r="B257" s="110">
        <v>1.1028676596491818</v>
      </c>
      <c r="C257" s="110">
        <v>1.0856914943695739</v>
      </c>
      <c r="G257" s="90">
        <v>241</v>
      </c>
      <c r="H257" s="100">
        <v>-1.5696644898622877E-2</v>
      </c>
      <c r="I257" s="100">
        <v>-8.5021439112591787E-2</v>
      </c>
    </row>
    <row r="258" spans="1:9">
      <c r="A258" s="90">
        <v>242</v>
      </c>
      <c r="B258" s="110">
        <v>1.1119801665640663</v>
      </c>
      <c r="C258" s="110">
        <v>1.0386345258346288</v>
      </c>
      <c r="G258" s="90">
        <v>242</v>
      </c>
      <c r="H258" s="100">
        <v>-6.823546530243553E-2</v>
      </c>
      <c r="I258" s="100">
        <v>-8.4998739111333821E-2</v>
      </c>
    </row>
    <row r="259" spans="1:9">
      <c r="A259" s="90">
        <v>243</v>
      </c>
      <c r="B259" s="110">
        <v>1.1209645729170754</v>
      </c>
      <c r="C259" s="110">
        <v>1.0502901381576633</v>
      </c>
      <c r="G259" s="90">
        <v>243</v>
      </c>
      <c r="H259" s="100">
        <v>-6.5123092429212465E-2</v>
      </c>
      <c r="I259" s="100">
        <v>-8.4951214404551459E-2</v>
      </c>
    </row>
    <row r="260" spans="1:9">
      <c r="A260" s="90">
        <v>244</v>
      </c>
      <c r="B260" s="110">
        <v>1.0920595639215926</v>
      </c>
      <c r="C260" s="110">
        <v>1.0532018262968017</v>
      </c>
      <c r="G260" s="90">
        <v>244</v>
      </c>
      <c r="H260" s="100">
        <v>-3.6230538866803177E-2</v>
      </c>
      <c r="I260" s="100">
        <v>-8.4857102585875782E-2</v>
      </c>
    </row>
    <row r="261" spans="1:9">
      <c r="A261" s="90">
        <v>245</v>
      </c>
      <c r="B261" s="110">
        <v>1.1092120507521706</v>
      </c>
      <c r="C261" s="110">
        <v>1.0519428851131023</v>
      </c>
      <c r="G261" s="90">
        <v>245</v>
      </c>
      <c r="H261" s="100">
        <v>-5.3011077940042083E-2</v>
      </c>
      <c r="I261" s="100">
        <v>-8.4746938353896337E-2</v>
      </c>
    </row>
    <row r="262" spans="1:9">
      <c r="A262" s="90">
        <v>246</v>
      </c>
      <c r="B262" s="110">
        <v>1.1304955380371899</v>
      </c>
      <c r="C262" s="110">
        <v>1.0813847178373992</v>
      </c>
      <c r="G262" s="90">
        <v>246</v>
      </c>
      <c r="H262" s="100">
        <v>-4.4413699800459755E-2</v>
      </c>
      <c r="I262" s="100">
        <v>-8.4719040846696056E-2</v>
      </c>
    </row>
    <row r="263" spans="1:9">
      <c r="A263" s="90">
        <v>247</v>
      </c>
      <c r="B263" s="110">
        <v>1.097953944467956</v>
      </c>
      <c r="C263" s="110">
        <v>1.0545021376209445</v>
      </c>
      <c r="G263" s="90">
        <v>247</v>
      </c>
      <c r="H263" s="100">
        <v>-4.0379649202265645E-2</v>
      </c>
      <c r="I263" s="100">
        <v>-8.4693101560493395E-2</v>
      </c>
    </row>
    <row r="264" spans="1:9">
      <c r="A264" s="90">
        <v>248</v>
      </c>
      <c r="B264" s="110">
        <v>1.0882901792096706</v>
      </c>
      <c r="C264" s="110">
        <v>1.0508706754407355</v>
      </c>
      <c r="G264" s="90">
        <v>248</v>
      </c>
      <c r="H264" s="100">
        <v>-3.498878643937324E-2</v>
      </c>
      <c r="I264" s="100">
        <v>-8.4691437225069777E-2</v>
      </c>
    </row>
    <row r="265" spans="1:9">
      <c r="A265" s="90">
        <v>249</v>
      </c>
      <c r="B265" s="110">
        <v>1.1026790859117779</v>
      </c>
      <c r="C265" s="110">
        <v>1.0431987379196745</v>
      </c>
      <c r="G265" s="90">
        <v>249</v>
      </c>
      <c r="H265" s="100">
        <v>-5.5451048975435097E-2</v>
      </c>
      <c r="I265" s="100">
        <v>-8.4690105589255826E-2</v>
      </c>
    </row>
    <row r="266" spans="1:9">
      <c r="A266" s="90">
        <v>250</v>
      </c>
      <c r="B266" s="110">
        <v>1.1104764778121012</v>
      </c>
      <c r="C266" s="110">
        <v>1.063863235878439</v>
      </c>
      <c r="G266" s="90">
        <v>250</v>
      </c>
      <c r="H266" s="100">
        <v>-4.2882337559472697E-2</v>
      </c>
      <c r="I266" s="100">
        <v>-8.4664651230177315E-2</v>
      </c>
    </row>
    <row r="267" spans="1:9">
      <c r="A267" s="90">
        <v>251</v>
      </c>
      <c r="B267" s="110">
        <v>1.1199346373232573</v>
      </c>
      <c r="C267" s="110">
        <v>1.0545956371438843</v>
      </c>
      <c r="G267" s="90">
        <v>251</v>
      </c>
      <c r="H267" s="100">
        <v>-6.0112912942701019E-2</v>
      </c>
      <c r="I267" s="100">
        <v>-8.4629038277501428E-2</v>
      </c>
    </row>
    <row r="268" spans="1:9">
      <c r="A268" s="90">
        <v>252</v>
      </c>
      <c r="B268" s="110">
        <v>1.0715919787672767</v>
      </c>
      <c r="C268" s="110">
        <v>1.0578825587307179</v>
      </c>
      <c r="G268" s="90">
        <v>252</v>
      </c>
      <c r="H268" s="100">
        <v>-1.2876049189322523E-2</v>
      </c>
      <c r="I268" s="100">
        <v>-8.4612082374166314E-2</v>
      </c>
    </row>
    <row r="269" spans="1:9">
      <c r="A269" s="90">
        <v>253</v>
      </c>
      <c r="B269" s="110">
        <v>1.1382235125673017</v>
      </c>
      <c r="C269" s="110">
        <v>1.0730739854784126</v>
      </c>
      <c r="G269" s="90">
        <v>253</v>
      </c>
      <c r="H269" s="100">
        <v>-5.8941311394848185E-2</v>
      </c>
      <c r="I269" s="100">
        <v>-8.46002708336792E-2</v>
      </c>
    </row>
    <row r="270" spans="1:9">
      <c r="A270" s="90">
        <v>254</v>
      </c>
      <c r="B270" s="110">
        <v>1.1117345990541909</v>
      </c>
      <c r="C270" s="110">
        <v>1.0530244250116818</v>
      </c>
      <c r="G270" s="90">
        <v>254</v>
      </c>
      <c r="H270" s="100">
        <v>-5.4255068901451299E-2</v>
      </c>
      <c r="I270" s="100">
        <v>-8.4578057017921843E-2</v>
      </c>
    </row>
    <row r="271" spans="1:9">
      <c r="A271" s="90">
        <v>255</v>
      </c>
      <c r="B271" s="110">
        <v>1.1059925926489285</v>
      </c>
      <c r="C271" s="110">
        <v>1.0472879290211676</v>
      </c>
      <c r="G271" s="90">
        <v>255</v>
      </c>
      <c r="H271" s="100">
        <v>-5.453930773116842E-2</v>
      </c>
      <c r="I271" s="100">
        <v>-8.4522375209477876E-2</v>
      </c>
    </row>
    <row r="272" spans="1:9">
      <c r="A272" s="90">
        <v>256</v>
      </c>
      <c r="B272" s="110">
        <v>1.1083156210979774</v>
      </c>
      <c r="C272" s="110">
        <v>1.0283252653895558</v>
      </c>
      <c r="G272" s="90">
        <v>256</v>
      </c>
      <c r="H272" s="100">
        <v>-7.4909881339666695E-2</v>
      </c>
      <c r="I272" s="100">
        <v>-8.4481571072476822E-2</v>
      </c>
    </row>
    <row r="273" spans="1:9">
      <c r="A273" s="90">
        <v>257</v>
      </c>
      <c r="B273" s="110">
        <v>1.1046233638613441</v>
      </c>
      <c r="C273" s="110">
        <v>1.0497327635948777</v>
      </c>
      <c r="G273" s="90">
        <v>257</v>
      </c>
      <c r="H273" s="100">
        <v>-5.0968808769782825E-2</v>
      </c>
      <c r="I273" s="100">
        <v>-8.4469143958965043E-2</v>
      </c>
    </row>
    <row r="274" spans="1:9">
      <c r="A274" s="90">
        <v>258</v>
      </c>
      <c r="B274" s="110">
        <v>1.0898016478900363</v>
      </c>
      <c r="C274" s="110">
        <v>1.0584949434134654</v>
      </c>
      <c r="G274" s="90">
        <v>258</v>
      </c>
      <c r="H274" s="100">
        <v>-2.9147670812254414E-2</v>
      </c>
      <c r="I274" s="100">
        <v>-8.4456757692914927E-2</v>
      </c>
    </row>
    <row r="275" spans="1:9">
      <c r="A275" s="90">
        <v>259</v>
      </c>
      <c r="B275" s="110">
        <v>1.0874304940249364</v>
      </c>
      <c r="C275" s="110">
        <v>1.0461452514852716</v>
      </c>
      <c r="G275" s="90">
        <v>259</v>
      </c>
      <c r="H275" s="100">
        <v>-3.8705348643153996E-2</v>
      </c>
      <c r="I275" s="100">
        <v>-8.4455006646925512E-2</v>
      </c>
    </row>
    <row r="276" spans="1:9">
      <c r="A276" s="90">
        <v>260</v>
      </c>
      <c r="B276" s="110">
        <v>1.0796111942442685</v>
      </c>
      <c r="C276" s="110">
        <v>1.0544438631431894</v>
      </c>
      <c r="G276" s="90">
        <v>260</v>
      </c>
      <c r="H276" s="100">
        <v>-2.3587486990560732E-2</v>
      </c>
      <c r="I276" s="100">
        <v>-8.4432311911649308E-2</v>
      </c>
    </row>
    <row r="277" spans="1:9">
      <c r="A277" s="90">
        <v>261</v>
      </c>
      <c r="B277" s="110">
        <v>1.0869197223294877</v>
      </c>
      <c r="C277" s="110">
        <v>1.0509974720343986</v>
      </c>
      <c r="G277" s="90">
        <v>261</v>
      </c>
      <c r="H277" s="100">
        <v>-3.3608066312678909E-2</v>
      </c>
      <c r="I277" s="100">
        <v>-8.4420116886449681E-2</v>
      </c>
    </row>
    <row r="278" spans="1:9">
      <c r="A278" s="90">
        <v>262</v>
      </c>
      <c r="B278" s="110">
        <v>1.1138511663729882</v>
      </c>
      <c r="C278" s="110">
        <v>1.0576642203131452</v>
      </c>
      <c r="G278" s="90">
        <v>262</v>
      </c>
      <c r="H278" s="100">
        <v>-5.1760618724506054E-2</v>
      </c>
      <c r="I278" s="100">
        <v>-8.4389016160234462E-2</v>
      </c>
    </row>
    <row r="279" spans="1:9">
      <c r="A279" s="90">
        <v>263</v>
      </c>
      <c r="B279" s="110">
        <v>1.1077953980867523</v>
      </c>
      <c r="C279" s="110">
        <v>1.0497296642449554</v>
      </c>
      <c r="G279" s="90">
        <v>263</v>
      </c>
      <c r="H279" s="100">
        <v>-5.383924411070512E-2</v>
      </c>
      <c r="I279" s="100">
        <v>-8.4378429359321411E-2</v>
      </c>
    </row>
    <row r="280" spans="1:9">
      <c r="A280" s="90">
        <v>264</v>
      </c>
      <c r="B280" s="110">
        <v>1.0970407408433454</v>
      </c>
      <c r="C280" s="110">
        <v>1.0400937328199478</v>
      </c>
      <c r="G280" s="90">
        <v>264</v>
      </c>
      <c r="H280" s="100">
        <v>-5.3305482216873444E-2</v>
      </c>
      <c r="I280" s="100">
        <v>-8.4356910948779534E-2</v>
      </c>
    </row>
    <row r="281" spans="1:9">
      <c r="A281" s="90">
        <v>265</v>
      </c>
      <c r="B281" s="110">
        <v>1.0788472955995143</v>
      </c>
      <c r="C281" s="110">
        <v>1.049112851709554</v>
      </c>
      <c r="G281" s="90">
        <v>265</v>
      </c>
      <c r="H281" s="100">
        <v>-2.7948248352527589E-2</v>
      </c>
      <c r="I281" s="100">
        <v>-8.4355975197475827E-2</v>
      </c>
    </row>
    <row r="282" spans="1:9">
      <c r="A282" s="90">
        <v>266</v>
      </c>
      <c r="B282" s="110">
        <v>1.098098332185494</v>
      </c>
      <c r="C282" s="110">
        <v>1.0474169409368681</v>
      </c>
      <c r="G282" s="90">
        <v>266</v>
      </c>
      <c r="H282" s="100">
        <v>-4.7252817793332652E-2</v>
      </c>
      <c r="I282" s="100">
        <v>-8.4326950752382029E-2</v>
      </c>
    </row>
    <row r="283" spans="1:9">
      <c r="A283" s="90">
        <v>267</v>
      </c>
      <c r="B283" s="110">
        <v>1.1094535412775119</v>
      </c>
      <c r="C283" s="110">
        <v>1.052320501425555</v>
      </c>
      <c r="G283" s="90">
        <v>267</v>
      </c>
      <c r="H283" s="100">
        <v>-5.2869861880767782E-2</v>
      </c>
      <c r="I283" s="100">
        <v>-8.4308894719175229E-2</v>
      </c>
    </row>
    <row r="284" spans="1:9">
      <c r="A284" s="90">
        <v>268</v>
      </c>
      <c r="B284" s="110">
        <v>1.1086349136589027</v>
      </c>
      <c r="C284" s="110">
        <v>1.0722704925565856</v>
      </c>
      <c r="G284" s="90">
        <v>268</v>
      </c>
      <c r="H284" s="100">
        <v>-3.3351095009865876E-2</v>
      </c>
      <c r="I284" s="100">
        <v>-8.4277534215975031E-2</v>
      </c>
    </row>
    <row r="285" spans="1:9">
      <c r="A285" s="90">
        <v>269</v>
      </c>
      <c r="B285" s="110">
        <v>1.1138122787098297</v>
      </c>
      <c r="C285" s="110">
        <v>1.0515508122782484</v>
      </c>
      <c r="G285" s="90">
        <v>269</v>
      </c>
      <c r="H285" s="100">
        <v>-5.7522577667755787E-2</v>
      </c>
      <c r="I285" s="100">
        <v>-8.4145944560718028E-2</v>
      </c>
    </row>
    <row r="286" spans="1:9">
      <c r="A286" s="90">
        <v>270</v>
      </c>
      <c r="B286" s="110">
        <v>1.1279982082180624</v>
      </c>
      <c r="C286" s="110">
        <v>1.069711796205381</v>
      </c>
      <c r="G286" s="90">
        <v>270</v>
      </c>
      <c r="H286" s="100">
        <v>-5.3055301763440255E-2</v>
      </c>
      <c r="I286" s="100">
        <v>-8.4078360175382866E-2</v>
      </c>
    </row>
    <row r="287" spans="1:9">
      <c r="A287" s="90">
        <v>271</v>
      </c>
      <c r="B287" s="110">
        <v>1.1072767246554576</v>
      </c>
      <c r="C287" s="110">
        <v>1.0787566598146323</v>
      </c>
      <c r="G287" s="90">
        <v>271</v>
      </c>
      <c r="H287" s="100">
        <v>-2.6094462555739276E-2</v>
      </c>
      <c r="I287" s="100">
        <v>-8.399888899717238E-2</v>
      </c>
    </row>
    <row r="288" spans="1:9">
      <c r="A288" s="90">
        <v>272</v>
      </c>
      <c r="B288" s="110">
        <v>1.1119379764482482</v>
      </c>
      <c r="C288" s="110">
        <v>1.0395234607771302</v>
      </c>
      <c r="G288" s="90">
        <v>272</v>
      </c>
      <c r="H288" s="100">
        <v>-6.734202034608669E-2</v>
      </c>
      <c r="I288" s="100">
        <v>-8.3971577303388098E-2</v>
      </c>
    </row>
    <row r="289" spans="1:9">
      <c r="A289" s="90">
        <v>273</v>
      </c>
      <c r="B289" s="110">
        <v>1.1140526905212951</v>
      </c>
      <c r="C289" s="110">
        <v>1.0571673642488824</v>
      </c>
      <c r="G289" s="90">
        <v>273</v>
      </c>
      <c r="H289" s="100">
        <v>-5.2411405595942831E-2</v>
      </c>
      <c r="I289" s="100">
        <v>-8.3954914772474562E-2</v>
      </c>
    </row>
    <row r="290" spans="1:9">
      <c r="A290" s="90">
        <v>274</v>
      </c>
      <c r="B290" s="110">
        <v>1.106550007129695</v>
      </c>
      <c r="C290" s="110">
        <v>1.0534210246007674</v>
      </c>
      <c r="G290" s="90">
        <v>274</v>
      </c>
      <c r="H290" s="100">
        <v>-4.9204086790676532E-2</v>
      </c>
      <c r="I290" s="100">
        <v>-8.3950031675607398E-2</v>
      </c>
    </row>
    <row r="291" spans="1:9">
      <c r="A291" s="90">
        <v>275</v>
      </c>
      <c r="B291" s="110">
        <v>1.1094992969781607</v>
      </c>
      <c r="C291" s="110">
        <v>1.0536094684319055</v>
      </c>
      <c r="G291" s="90">
        <v>275</v>
      </c>
      <c r="H291" s="100">
        <v>-5.1686971602818939E-2</v>
      </c>
      <c r="I291" s="100">
        <v>-8.3901242457743705E-2</v>
      </c>
    </row>
    <row r="292" spans="1:9">
      <c r="A292" s="90">
        <v>276</v>
      </c>
      <c r="B292" s="110">
        <v>1.0957826131214039</v>
      </c>
      <c r="C292" s="110">
        <v>1.0438753984426508</v>
      </c>
      <c r="G292" s="90">
        <v>276</v>
      </c>
      <c r="H292" s="100">
        <v>-4.8528690973632514E-2</v>
      </c>
      <c r="I292" s="100">
        <v>-8.3854832414162486E-2</v>
      </c>
    </row>
    <row r="293" spans="1:9">
      <c r="A293" s="90">
        <v>277</v>
      </c>
      <c r="B293" s="110">
        <v>1.1015657004817281</v>
      </c>
      <c r="C293" s="110">
        <v>1.0728352555573253</v>
      </c>
      <c r="G293" s="90">
        <v>277</v>
      </c>
      <c r="H293" s="100">
        <v>-2.642761628879102E-2</v>
      </c>
      <c r="I293" s="100">
        <v>-8.3839200081060244E-2</v>
      </c>
    </row>
    <row r="294" spans="1:9">
      <c r="A294" s="90">
        <v>278</v>
      </c>
      <c r="B294" s="110">
        <v>1.0907592589652813</v>
      </c>
      <c r="C294" s="110">
        <v>1.0529643492405203</v>
      </c>
      <c r="G294" s="90">
        <v>278</v>
      </c>
      <c r="H294" s="100">
        <v>-3.5264645401396094E-2</v>
      </c>
      <c r="I294" s="100">
        <v>-8.3768935343267917E-2</v>
      </c>
    </row>
    <row r="295" spans="1:9">
      <c r="A295" s="90">
        <v>279</v>
      </c>
      <c r="B295" s="110">
        <v>1.0937494744204719</v>
      </c>
      <c r="C295" s="110">
        <v>1.0563772504654256</v>
      </c>
      <c r="G295" s="90">
        <v>279</v>
      </c>
      <c r="H295" s="100">
        <v>-3.476631191343716E-2</v>
      </c>
      <c r="I295" s="100">
        <v>-8.372837694760607E-2</v>
      </c>
    </row>
    <row r="296" spans="1:9">
      <c r="A296" s="90">
        <v>280</v>
      </c>
      <c r="B296" s="110">
        <v>1.1072824326450965</v>
      </c>
      <c r="C296" s="110">
        <v>1.0351717747969609</v>
      </c>
      <c r="G296" s="90">
        <v>280</v>
      </c>
      <c r="H296" s="100">
        <v>-6.7341375625682917E-2</v>
      </c>
      <c r="I296" s="100">
        <v>-8.3689463546559831E-2</v>
      </c>
    </row>
    <row r="297" spans="1:9">
      <c r="A297" s="90">
        <v>281</v>
      </c>
      <c r="B297" s="110">
        <v>1.1345541695907</v>
      </c>
      <c r="C297" s="110">
        <v>1.0532637392334299</v>
      </c>
      <c r="G297" s="90">
        <v>281</v>
      </c>
      <c r="H297" s="100">
        <v>-7.4346105243712865E-2</v>
      </c>
      <c r="I297" s="100">
        <v>-8.3563657735647404E-2</v>
      </c>
    </row>
    <row r="298" spans="1:9">
      <c r="A298" s="90">
        <v>282</v>
      </c>
      <c r="B298" s="110">
        <v>1.094764458709963</v>
      </c>
      <c r="C298" s="110">
        <v>1.0597356824782507</v>
      </c>
      <c r="G298" s="90">
        <v>282</v>
      </c>
      <c r="H298" s="100">
        <v>-3.2519713051892524E-2</v>
      </c>
      <c r="I298" s="100">
        <v>-8.3547377506441589E-2</v>
      </c>
    </row>
    <row r="299" spans="1:9">
      <c r="A299" s="90">
        <v>283</v>
      </c>
      <c r="B299" s="110">
        <v>1.1251718170718727</v>
      </c>
      <c r="C299" s="110">
        <v>1.0229410124512588</v>
      </c>
      <c r="G299" s="90">
        <v>283</v>
      </c>
      <c r="H299" s="100">
        <v>-9.5253926311978029E-2</v>
      </c>
      <c r="I299" s="100">
        <v>-8.3529989986595776E-2</v>
      </c>
    </row>
    <row r="300" spans="1:9">
      <c r="A300" s="90">
        <v>284</v>
      </c>
      <c r="B300" s="110">
        <v>1.1099693549085479</v>
      </c>
      <c r="C300" s="110">
        <v>1.0590975740565842</v>
      </c>
      <c r="G300" s="90">
        <v>284</v>
      </c>
      <c r="H300" s="100">
        <v>-4.6915206458457197E-2</v>
      </c>
      <c r="I300" s="100">
        <v>-8.3471154098063285E-2</v>
      </c>
    </row>
    <row r="301" spans="1:9">
      <c r="A301" s="90">
        <v>285</v>
      </c>
      <c r="B301" s="110">
        <v>1.1238577635214839</v>
      </c>
      <c r="C301" s="110">
        <v>1.0696877945521246</v>
      </c>
      <c r="G301" s="90">
        <v>285</v>
      </c>
      <c r="H301" s="100">
        <v>-4.9400373449194582E-2</v>
      </c>
      <c r="I301" s="100">
        <v>-8.3452672139014875E-2</v>
      </c>
    </row>
    <row r="302" spans="1:9">
      <c r="A302" s="90">
        <v>286</v>
      </c>
      <c r="B302" s="110">
        <v>1.0971965896686795</v>
      </c>
      <c r="C302" s="110">
        <v>1.055347756176674</v>
      </c>
      <c r="G302" s="90">
        <v>286</v>
      </c>
      <c r="H302" s="100">
        <v>-3.8888032542635363E-2</v>
      </c>
      <c r="I302" s="100">
        <v>-8.340574323007241E-2</v>
      </c>
    </row>
    <row r="303" spans="1:9">
      <c r="A303" s="90">
        <v>287</v>
      </c>
      <c r="B303" s="110">
        <v>1.0998854246685836</v>
      </c>
      <c r="C303" s="110">
        <v>1.0547326962181101</v>
      </c>
      <c r="G303" s="90">
        <v>287</v>
      </c>
      <c r="H303" s="100">
        <v>-4.1918648675996463E-2</v>
      </c>
      <c r="I303" s="100">
        <v>-8.333822668870168E-2</v>
      </c>
    </row>
    <row r="304" spans="1:9">
      <c r="A304" s="90">
        <v>288</v>
      </c>
      <c r="B304" s="110">
        <v>1.1201340040206471</v>
      </c>
      <c r="C304" s="110">
        <v>1.0608494195156897</v>
      </c>
      <c r="G304" s="90">
        <v>288</v>
      </c>
      <c r="H304" s="100">
        <v>-5.4378398208030664E-2</v>
      </c>
      <c r="I304" s="100">
        <v>-8.3304373696950484E-2</v>
      </c>
    </row>
    <row r="305" spans="1:9">
      <c r="A305" s="90">
        <v>289</v>
      </c>
      <c r="B305" s="110">
        <v>1.0975412924379997</v>
      </c>
      <c r="C305" s="110">
        <v>1.0229934594149315</v>
      </c>
      <c r="G305" s="90">
        <v>289</v>
      </c>
      <c r="H305" s="100">
        <v>-7.0339395933455312E-2</v>
      </c>
      <c r="I305" s="100">
        <v>-8.3297063575945102E-2</v>
      </c>
    </row>
    <row r="306" spans="1:9">
      <c r="A306" s="90">
        <v>290</v>
      </c>
      <c r="B306" s="110">
        <v>1.09469603196538</v>
      </c>
      <c r="C306" s="110">
        <v>1.0525932627001076</v>
      </c>
      <c r="G306" s="90">
        <v>290</v>
      </c>
      <c r="H306" s="100">
        <v>-3.9219835062668219E-2</v>
      </c>
      <c r="I306" s="100">
        <v>-8.3217023135484722E-2</v>
      </c>
    </row>
    <row r="307" spans="1:9">
      <c r="A307" s="90">
        <v>291</v>
      </c>
      <c r="B307" s="110">
        <v>1.1056336709892822</v>
      </c>
      <c r="C307" s="110">
        <v>1.046139336609984</v>
      </c>
      <c r="G307" s="90">
        <v>291</v>
      </c>
      <c r="H307" s="100">
        <v>-5.5312062747055128E-2</v>
      </c>
      <c r="I307" s="100">
        <v>-8.3208734259737085E-2</v>
      </c>
    </row>
    <row r="308" spans="1:9">
      <c r="A308" s="90">
        <v>292</v>
      </c>
      <c r="B308" s="110">
        <v>1.0691691953381088</v>
      </c>
      <c r="C308" s="110">
        <v>1.0502217741545243</v>
      </c>
      <c r="G308" s="90">
        <v>292</v>
      </c>
      <c r="H308" s="100">
        <v>-1.788053857554938E-2</v>
      </c>
      <c r="I308" s="100">
        <v>-8.3174696283521948E-2</v>
      </c>
    </row>
    <row r="309" spans="1:9">
      <c r="A309" s="90">
        <v>293</v>
      </c>
      <c r="B309" s="110">
        <v>1.1058365449657805</v>
      </c>
      <c r="C309" s="110">
        <v>1.0547119863813497</v>
      </c>
      <c r="G309" s="90">
        <v>293</v>
      </c>
      <c r="H309" s="100">
        <v>-4.7334371849917151E-2</v>
      </c>
      <c r="I309" s="100">
        <v>-8.3170248115877934E-2</v>
      </c>
    </row>
    <row r="310" spans="1:9">
      <c r="A310" s="90">
        <v>294</v>
      </c>
      <c r="B310" s="110">
        <v>1.1029240055095269</v>
      </c>
      <c r="C310" s="110">
        <v>1.0580085388369584</v>
      </c>
      <c r="G310" s="90">
        <v>294</v>
      </c>
      <c r="H310" s="100">
        <v>-4.1576435763082169E-2</v>
      </c>
      <c r="I310" s="100">
        <v>-8.316899743539051E-2</v>
      </c>
    </row>
    <row r="311" spans="1:9">
      <c r="A311" s="90">
        <v>295</v>
      </c>
      <c r="B311" s="110">
        <v>1.114336332030279</v>
      </c>
      <c r="C311" s="110">
        <v>1.0544774805476704</v>
      </c>
      <c r="G311" s="90">
        <v>295</v>
      </c>
      <c r="H311" s="100">
        <v>-5.5213644654425943E-2</v>
      </c>
      <c r="I311" s="100">
        <v>-8.3138198551484646E-2</v>
      </c>
    </row>
    <row r="312" spans="1:9">
      <c r="A312" s="90">
        <v>296</v>
      </c>
      <c r="B312" s="110">
        <v>1.1292730236348016</v>
      </c>
      <c r="C312" s="110">
        <v>1.0560539512903218</v>
      </c>
      <c r="G312" s="90">
        <v>296</v>
      </c>
      <c r="H312" s="100">
        <v>-6.703480955887868E-2</v>
      </c>
      <c r="I312" s="100">
        <v>-8.3097856561470992E-2</v>
      </c>
    </row>
    <row r="313" spans="1:9">
      <c r="A313" s="90">
        <v>297</v>
      </c>
      <c r="B313" s="110">
        <v>1.1307526003183057</v>
      </c>
      <c r="C313" s="110">
        <v>1.0424997816936334</v>
      </c>
      <c r="G313" s="90">
        <v>297</v>
      </c>
      <c r="H313" s="100">
        <v>-8.1261963729292688E-2</v>
      </c>
      <c r="I313" s="100">
        <v>-8.3075142607691263E-2</v>
      </c>
    </row>
    <row r="314" spans="1:9">
      <c r="A314" s="90">
        <v>298</v>
      </c>
      <c r="B314" s="110">
        <v>1.093389253875811</v>
      </c>
      <c r="C314" s="110">
        <v>1.0421974815622659</v>
      </c>
      <c r="G314" s="90">
        <v>298</v>
      </c>
      <c r="H314" s="100">
        <v>-4.795083223055796E-2</v>
      </c>
      <c r="I314" s="100">
        <v>-8.3066277790954768E-2</v>
      </c>
    </row>
    <row r="315" spans="1:9">
      <c r="A315" s="90">
        <v>299</v>
      </c>
      <c r="B315" s="110">
        <v>1.0963621648644888</v>
      </c>
      <c r="C315" s="110">
        <v>1.0542822660604108</v>
      </c>
      <c r="G315" s="90">
        <v>299</v>
      </c>
      <c r="H315" s="100">
        <v>-3.9137357459054493E-2</v>
      </c>
      <c r="I315" s="100">
        <v>-8.299523000045067E-2</v>
      </c>
    </row>
    <row r="316" spans="1:9">
      <c r="A316" s="90">
        <v>300</v>
      </c>
      <c r="B316" s="110">
        <v>1.1413315053407527</v>
      </c>
      <c r="C316" s="110">
        <v>1.054569442830154</v>
      </c>
      <c r="G316" s="90">
        <v>300</v>
      </c>
      <c r="H316" s="100">
        <v>-7.9062995414509396E-2</v>
      </c>
      <c r="I316" s="100">
        <v>-8.2972435493723962E-2</v>
      </c>
    </row>
    <row r="317" spans="1:9">
      <c r="A317" s="90">
        <v>301</v>
      </c>
      <c r="B317" s="110">
        <v>1.0849346767318147</v>
      </c>
      <c r="C317" s="110">
        <v>1.0495911597060288</v>
      </c>
      <c r="G317" s="90">
        <v>301</v>
      </c>
      <c r="H317" s="100">
        <v>-3.3119062766812001E-2</v>
      </c>
      <c r="I317" s="100">
        <v>-8.2880673176596364E-2</v>
      </c>
    </row>
    <row r="318" spans="1:9">
      <c r="A318" s="90">
        <v>302</v>
      </c>
      <c r="B318" s="110">
        <v>1.0930060034426961</v>
      </c>
      <c r="C318" s="110">
        <v>1.036706493772942</v>
      </c>
      <c r="G318" s="90">
        <v>302</v>
      </c>
      <c r="H318" s="100">
        <v>-5.2882846592029562E-2</v>
      </c>
      <c r="I318" s="100">
        <v>-8.2879103739840948E-2</v>
      </c>
    </row>
    <row r="319" spans="1:9">
      <c r="A319" s="90">
        <v>303</v>
      </c>
      <c r="B319" s="110">
        <v>1.1089292826130703</v>
      </c>
      <c r="C319" s="110">
        <v>1.0632051984490714</v>
      </c>
      <c r="G319" s="90">
        <v>303</v>
      </c>
      <c r="H319" s="100">
        <v>-4.2106821688255421E-2</v>
      </c>
      <c r="I319" s="100">
        <v>-8.2780500197635054E-2</v>
      </c>
    </row>
    <row r="320" spans="1:9">
      <c r="A320" s="90">
        <v>304</v>
      </c>
      <c r="B320" s="110">
        <v>1.0948079250628822</v>
      </c>
      <c r="C320" s="110">
        <v>1.0390913811972389</v>
      </c>
      <c r="G320" s="90">
        <v>304</v>
      </c>
      <c r="H320" s="100">
        <v>-5.2232277626900435E-2</v>
      </c>
      <c r="I320" s="100">
        <v>-8.2752781720463658E-2</v>
      </c>
    </row>
    <row r="321" spans="1:9">
      <c r="A321" s="90">
        <v>305</v>
      </c>
      <c r="B321" s="110">
        <v>1.0807212162440425</v>
      </c>
      <c r="C321" s="110">
        <v>1.0474600337468325</v>
      </c>
      <c r="G321" s="90">
        <v>305</v>
      </c>
      <c r="H321" s="100">
        <v>-3.1260392934974797E-2</v>
      </c>
      <c r="I321" s="100">
        <v>-8.2750014864230018E-2</v>
      </c>
    </row>
    <row r="322" spans="1:9">
      <c r="A322" s="90">
        <v>306</v>
      </c>
      <c r="B322" s="110">
        <v>1.1342865677798295</v>
      </c>
      <c r="C322" s="110">
        <v>1.054327004269392</v>
      </c>
      <c r="G322" s="90">
        <v>306</v>
      </c>
      <c r="H322" s="100">
        <v>-7.3101225922840893E-2</v>
      </c>
      <c r="I322" s="100">
        <v>-8.2724544182881804E-2</v>
      </c>
    </row>
    <row r="323" spans="1:9">
      <c r="A323" s="90">
        <v>307</v>
      </c>
      <c r="B323" s="110">
        <v>1.1228237187506374</v>
      </c>
      <c r="C323" s="110">
        <v>1.0551224486081414</v>
      </c>
      <c r="G323" s="90">
        <v>307</v>
      </c>
      <c r="H323" s="100">
        <v>-6.2189864702364837E-2</v>
      </c>
      <c r="I323" s="100">
        <v>-8.2658961222511582E-2</v>
      </c>
    </row>
    <row r="324" spans="1:9">
      <c r="A324" s="90">
        <v>308</v>
      </c>
      <c r="B324" s="110">
        <v>1.1366821461923386</v>
      </c>
      <c r="C324" s="110">
        <v>1.0418980795184667</v>
      </c>
      <c r="G324" s="90">
        <v>308</v>
      </c>
      <c r="H324" s="100">
        <v>-8.7069494700699773E-2</v>
      </c>
      <c r="I324" s="100">
        <v>-8.2647663668900598E-2</v>
      </c>
    </row>
    <row r="325" spans="1:9">
      <c r="A325" s="90">
        <v>309</v>
      </c>
      <c r="B325" s="110">
        <v>1.1194551831269761</v>
      </c>
      <c r="C325" s="110">
        <v>1.0522005577904612</v>
      </c>
      <c r="G325" s="90">
        <v>309</v>
      </c>
      <c r="H325" s="100">
        <v>-6.1958382885570353E-2</v>
      </c>
      <c r="I325" s="100">
        <v>-8.2609958944788592E-2</v>
      </c>
    </row>
    <row r="326" spans="1:9">
      <c r="A326" s="90">
        <v>310</v>
      </c>
      <c r="B326" s="110">
        <v>1.1236169674045082</v>
      </c>
      <c r="C326" s="110">
        <v>1.0617100712030554</v>
      </c>
      <c r="G326" s="90">
        <v>310</v>
      </c>
      <c r="H326" s="100">
        <v>-5.6672034149455743E-2</v>
      </c>
      <c r="I326" s="100">
        <v>-8.2607596728397556E-2</v>
      </c>
    </row>
    <row r="327" spans="1:9">
      <c r="A327" s="90">
        <v>311</v>
      </c>
      <c r="B327" s="110">
        <v>1.124093422966532</v>
      </c>
      <c r="C327" s="110">
        <v>1.0605417688686394</v>
      </c>
      <c r="G327" s="90">
        <v>311</v>
      </c>
      <c r="H327" s="100">
        <v>-5.8196984274041248E-2</v>
      </c>
      <c r="I327" s="100">
        <v>-8.2509335915733326E-2</v>
      </c>
    </row>
    <row r="328" spans="1:9">
      <c r="A328" s="90">
        <v>312</v>
      </c>
      <c r="B328" s="110">
        <v>1.099834235933264</v>
      </c>
      <c r="C328" s="110">
        <v>1.0548278577272014</v>
      </c>
      <c r="G328" s="90">
        <v>312</v>
      </c>
      <c r="H328" s="100">
        <v>-4.1781888259038509E-2</v>
      </c>
      <c r="I328" s="100">
        <v>-8.2501749203880911E-2</v>
      </c>
    </row>
    <row r="329" spans="1:9">
      <c r="A329" s="90">
        <v>313</v>
      </c>
      <c r="B329" s="110">
        <v>1.1096044727710188</v>
      </c>
      <c r="C329" s="110">
        <v>1.068417652217525</v>
      </c>
      <c r="G329" s="90">
        <v>313</v>
      </c>
      <c r="H329" s="100">
        <v>-3.7824896763716274E-2</v>
      </c>
      <c r="I329" s="100">
        <v>-8.2437585155580417E-2</v>
      </c>
    </row>
    <row r="330" spans="1:9">
      <c r="A330" s="90">
        <v>314</v>
      </c>
      <c r="B330" s="110">
        <v>1.0976484020621475</v>
      </c>
      <c r="C330" s="110">
        <v>1.0468544169633116</v>
      </c>
      <c r="G330" s="90">
        <v>314</v>
      </c>
      <c r="H330" s="100">
        <v>-4.7380200676056597E-2</v>
      </c>
      <c r="I330" s="100">
        <v>-8.2380580664343186E-2</v>
      </c>
    </row>
    <row r="331" spans="1:9">
      <c r="A331" s="90">
        <v>315</v>
      </c>
      <c r="B331" s="110">
        <v>1.0942425527976909</v>
      </c>
      <c r="C331" s="110">
        <v>1.0586060121609608</v>
      </c>
      <c r="G331" s="90">
        <v>315</v>
      </c>
      <c r="H331" s="100">
        <v>-3.3109431529614701E-2</v>
      </c>
      <c r="I331" s="100">
        <v>-8.2364908993835764E-2</v>
      </c>
    </row>
    <row r="332" spans="1:9">
      <c r="A332" s="90">
        <v>316</v>
      </c>
      <c r="B332" s="110">
        <v>1.0788446883695788</v>
      </c>
      <c r="C332" s="110">
        <v>1.0555201108479384</v>
      </c>
      <c r="G332" s="90">
        <v>316</v>
      </c>
      <c r="H332" s="100">
        <v>-2.1857094062499752E-2</v>
      </c>
      <c r="I332" s="100">
        <v>-8.2351484208693468E-2</v>
      </c>
    </row>
    <row r="333" spans="1:9">
      <c r="A333" s="90">
        <v>317</v>
      </c>
      <c r="B333" s="110">
        <v>1.1296672478603615</v>
      </c>
      <c r="C333" s="110">
        <v>1.0572837615853616</v>
      </c>
      <c r="G333" s="90">
        <v>317</v>
      </c>
      <c r="H333" s="100">
        <v>-6.6219988180231157E-2</v>
      </c>
      <c r="I333" s="100">
        <v>-8.227891443228795E-2</v>
      </c>
    </row>
    <row r="334" spans="1:9">
      <c r="A334" s="90">
        <v>318</v>
      </c>
      <c r="B334" s="110">
        <v>1.1054545560007243</v>
      </c>
      <c r="C334" s="110">
        <v>1.0636687031030132</v>
      </c>
      <c r="G334" s="90">
        <v>318</v>
      </c>
      <c r="H334" s="100">
        <v>-3.8532640109886093E-2</v>
      </c>
      <c r="I334" s="100">
        <v>-8.2253859146134159E-2</v>
      </c>
    </row>
    <row r="335" spans="1:9">
      <c r="A335" s="90">
        <v>319</v>
      </c>
      <c r="B335" s="110">
        <v>1.1206696557536502</v>
      </c>
      <c r="C335" s="110">
        <v>1.0688823149154543</v>
      </c>
      <c r="G335" s="90">
        <v>319</v>
      </c>
      <c r="H335" s="100">
        <v>-4.7312876519292536E-2</v>
      </c>
      <c r="I335" s="100">
        <v>-8.2164025271191474E-2</v>
      </c>
    </row>
    <row r="336" spans="1:9">
      <c r="A336" s="90">
        <v>320</v>
      </c>
      <c r="B336" s="110">
        <v>1.0718794894215724</v>
      </c>
      <c r="C336" s="110">
        <v>1.0446945709721611</v>
      </c>
      <c r="G336" s="90">
        <v>320</v>
      </c>
      <c r="H336" s="100">
        <v>-2.5689073631052581E-2</v>
      </c>
      <c r="I336" s="100">
        <v>-8.2158842159847534E-2</v>
      </c>
    </row>
    <row r="337" spans="1:9">
      <c r="A337" s="90">
        <v>321</v>
      </c>
      <c r="B337" s="110">
        <v>1.1291762549560154</v>
      </c>
      <c r="C337" s="110">
        <v>1.0529019780177686</v>
      </c>
      <c r="G337" s="90">
        <v>321</v>
      </c>
      <c r="H337" s="100">
        <v>-6.9938248458979654E-2</v>
      </c>
      <c r="I337" s="100">
        <v>-8.2157679841767459E-2</v>
      </c>
    </row>
    <row r="338" spans="1:9">
      <c r="A338" s="90">
        <v>322</v>
      </c>
      <c r="B338" s="110">
        <v>1.0793339863857463</v>
      </c>
      <c r="C338" s="110">
        <v>1.0717654158971865</v>
      </c>
      <c r="G338" s="90">
        <v>322</v>
      </c>
      <c r="H338" s="100">
        <v>-7.0369613907458745E-3</v>
      </c>
      <c r="I338" s="100">
        <v>-8.2132264566168164E-2</v>
      </c>
    </row>
    <row r="339" spans="1:9">
      <c r="A339" s="90">
        <v>323</v>
      </c>
      <c r="B339" s="110">
        <v>1.0696476775288533</v>
      </c>
      <c r="C339" s="110">
        <v>1.050282560812319</v>
      </c>
      <c r="G339" s="90">
        <v>323</v>
      </c>
      <c r="H339" s="100">
        <v>-1.8270087411352165E-2</v>
      </c>
      <c r="I339" s="100">
        <v>-8.211590656967295E-2</v>
      </c>
    </row>
    <row r="340" spans="1:9">
      <c r="A340" s="90">
        <v>324</v>
      </c>
      <c r="B340" s="110">
        <v>1.1372198970240226</v>
      </c>
      <c r="C340" s="110">
        <v>1.0476935650346704</v>
      </c>
      <c r="G340" s="90">
        <v>324</v>
      </c>
      <c r="H340" s="100">
        <v>-8.1995453779735814E-2</v>
      </c>
      <c r="I340" s="100">
        <v>-8.2113347410165627E-2</v>
      </c>
    </row>
    <row r="341" spans="1:9">
      <c r="A341" s="90">
        <v>325</v>
      </c>
      <c r="B341" s="110">
        <v>1.0990535704368258</v>
      </c>
      <c r="C341" s="110">
        <v>1.0746991421725285</v>
      </c>
      <c r="G341" s="90">
        <v>325</v>
      </c>
      <c r="H341" s="100">
        <v>-2.240866428113231E-2</v>
      </c>
      <c r="I341" s="100">
        <v>-8.1995453779735814E-2</v>
      </c>
    </row>
    <row r="342" spans="1:9">
      <c r="A342" s="90">
        <v>326</v>
      </c>
      <c r="B342" s="110">
        <v>1.1202061596214758</v>
      </c>
      <c r="C342" s="110">
        <v>1.045817642253196</v>
      </c>
      <c r="G342" s="90">
        <v>326</v>
      </c>
      <c r="H342" s="100">
        <v>-6.8713727204600811E-2</v>
      </c>
      <c r="I342" s="100">
        <v>-8.1967596444850757E-2</v>
      </c>
    </row>
    <row r="343" spans="1:9">
      <c r="A343" s="90">
        <v>327</v>
      </c>
      <c r="B343" s="110">
        <v>1.1144067804224238</v>
      </c>
      <c r="C343" s="110">
        <v>1.0512997466179959</v>
      </c>
      <c r="G343" s="90">
        <v>327</v>
      </c>
      <c r="H343" s="100">
        <v>-5.8294975253566451E-2</v>
      </c>
      <c r="I343" s="100">
        <v>-8.1957818886723016E-2</v>
      </c>
    </row>
    <row r="344" spans="1:9">
      <c r="A344" s="90">
        <v>328</v>
      </c>
      <c r="B344" s="110">
        <v>1.1301744294362359</v>
      </c>
      <c r="C344" s="110">
        <v>1.0534854993252409</v>
      </c>
      <c r="G344" s="90">
        <v>328</v>
      </c>
      <c r="H344" s="100">
        <v>-7.0267793262669895E-2</v>
      </c>
      <c r="I344" s="100">
        <v>-8.1941093120210237E-2</v>
      </c>
    </row>
    <row r="345" spans="1:9">
      <c r="A345" s="90">
        <v>329</v>
      </c>
      <c r="B345" s="110">
        <v>1.0979895819323515</v>
      </c>
      <c r="C345" s="110">
        <v>1.0433798560665826</v>
      </c>
      <c r="G345" s="90">
        <v>329</v>
      </c>
      <c r="H345" s="100">
        <v>-5.1015549451444382E-2</v>
      </c>
      <c r="I345" s="100">
        <v>-8.1922747240768021E-2</v>
      </c>
    </row>
    <row r="346" spans="1:9">
      <c r="A346" s="90">
        <v>330</v>
      </c>
      <c r="B346" s="110">
        <v>1.1347862218837996</v>
      </c>
      <c r="C346" s="110">
        <v>1.0581015525647066</v>
      </c>
      <c r="G346" s="90">
        <v>330</v>
      </c>
      <c r="H346" s="100">
        <v>-6.9967968189282581E-2</v>
      </c>
      <c r="I346" s="100">
        <v>-8.1919881779090362E-2</v>
      </c>
    </row>
    <row r="347" spans="1:9">
      <c r="A347" s="90">
        <v>331</v>
      </c>
      <c r="B347" s="110">
        <v>1.1223296303619548</v>
      </c>
      <c r="C347" s="110">
        <v>1.0476160245189614</v>
      </c>
      <c r="G347" s="90">
        <v>331</v>
      </c>
      <c r="H347" s="100">
        <v>-6.8889422210303891E-2</v>
      </c>
      <c r="I347" s="100">
        <v>-8.185123284030292E-2</v>
      </c>
    </row>
    <row r="348" spans="1:9">
      <c r="A348" s="90">
        <v>332</v>
      </c>
      <c r="B348" s="110">
        <v>1.117813921904967</v>
      </c>
      <c r="C348" s="110">
        <v>1.0536691972342158</v>
      </c>
      <c r="G348" s="90">
        <v>332</v>
      </c>
      <c r="H348" s="100">
        <v>-5.9096376272845905E-2</v>
      </c>
      <c r="I348" s="100">
        <v>-8.1804553874579355E-2</v>
      </c>
    </row>
    <row r="349" spans="1:9">
      <c r="A349" s="90">
        <v>333</v>
      </c>
      <c r="B349" s="110">
        <v>1.1043764785800543</v>
      </c>
      <c r="C349" s="110">
        <v>1.0630882571203619</v>
      </c>
      <c r="G349" s="90">
        <v>333</v>
      </c>
      <c r="H349" s="100">
        <v>-3.8102780562606568E-2</v>
      </c>
      <c r="I349" s="100">
        <v>-8.1724856270855573E-2</v>
      </c>
    </row>
    <row r="350" spans="1:9">
      <c r="A350" s="90">
        <v>334</v>
      </c>
      <c r="B350" s="110">
        <v>1.1051002396921543</v>
      </c>
      <c r="C350" s="110">
        <v>1.0465790772103081</v>
      </c>
      <c r="G350" s="90">
        <v>334</v>
      </c>
      <c r="H350" s="100">
        <v>-5.4409221952562502E-2</v>
      </c>
      <c r="I350" s="100">
        <v>-8.17073017148294E-2</v>
      </c>
    </row>
    <row r="351" spans="1:9">
      <c r="A351" s="90">
        <v>335</v>
      </c>
      <c r="B351" s="110">
        <v>1.1229750311096507</v>
      </c>
      <c r="C351" s="110">
        <v>1.0576655686860348</v>
      </c>
      <c r="G351" s="90">
        <v>335</v>
      </c>
      <c r="H351" s="100">
        <v>-5.9917255596178616E-2</v>
      </c>
      <c r="I351" s="100">
        <v>-8.1692000926439745E-2</v>
      </c>
    </row>
    <row r="352" spans="1:9">
      <c r="A352" s="90">
        <v>336</v>
      </c>
      <c r="B352" s="110">
        <v>1.1153393386666388</v>
      </c>
      <c r="C352" s="110">
        <v>1.057188031127551</v>
      </c>
      <c r="G352" s="90">
        <v>336</v>
      </c>
      <c r="H352" s="100">
        <v>-5.3546115832010042E-2</v>
      </c>
      <c r="I352" s="100">
        <v>-8.1668129013893767E-2</v>
      </c>
    </row>
    <row r="353" spans="1:9">
      <c r="A353" s="90">
        <v>337</v>
      </c>
      <c r="B353" s="110">
        <v>1.1204749797937803</v>
      </c>
      <c r="C353" s="110">
        <v>1.0696758070418519</v>
      </c>
      <c r="G353" s="90">
        <v>337</v>
      </c>
      <c r="H353" s="100">
        <v>-4.6397066016394324E-2</v>
      </c>
      <c r="I353" s="100">
        <v>-8.1647250488574935E-2</v>
      </c>
    </row>
    <row r="354" spans="1:9">
      <c r="A354" s="90">
        <v>338</v>
      </c>
      <c r="B354" s="110">
        <v>1.1150423860071519</v>
      </c>
      <c r="C354" s="110">
        <v>1.0570643223888585</v>
      </c>
      <c r="G354" s="90">
        <v>338</v>
      </c>
      <c r="H354" s="100">
        <v>-5.3396859782706335E-2</v>
      </c>
      <c r="I354" s="100">
        <v>-8.159640590736203E-2</v>
      </c>
    </row>
    <row r="355" spans="1:9">
      <c r="A355" s="90">
        <v>339</v>
      </c>
      <c r="B355" s="110">
        <v>1.1027588194914375</v>
      </c>
      <c r="C355" s="110">
        <v>1.0639195657849214</v>
      </c>
      <c r="G355" s="90">
        <v>339</v>
      </c>
      <c r="H355" s="100">
        <v>-3.5855265700983366E-2</v>
      </c>
      <c r="I355" s="100">
        <v>-8.1584105997356451E-2</v>
      </c>
    </row>
    <row r="356" spans="1:9">
      <c r="A356" s="90">
        <v>340</v>
      </c>
      <c r="B356" s="110">
        <v>1.1382602104875734</v>
      </c>
      <c r="C356" s="110">
        <v>1.0618482594755352</v>
      </c>
      <c r="G356" s="90">
        <v>340</v>
      </c>
      <c r="H356" s="100">
        <v>-6.9489934769439543E-2</v>
      </c>
      <c r="I356" s="100">
        <v>-8.1572673744647564E-2</v>
      </c>
    </row>
    <row r="357" spans="1:9">
      <c r="A357" s="90">
        <v>341</v>
      </c>
      <c r="B357" s="110">
        <v>1.1182684022416534</v>
      </c>
      <c r="C357" s="110">
        <v>1.0476839744284878</v>
      </c>
      <c r="G357" s="90">
        <v>341</v>
      </c>
      <c r="H357" s="100">
        <v>-6.5199430175954101E-2</v>
      </c>
      <c r="I357" s="100">
        <v>-8.1550407604887618E-2</v>
      </c>
    </row>
    <row r="358" spans="1:9">
      <c r="A358" s="90">
        <v>342</v>
      </c>
      <c r="B358" s="110">
        <v>1.1141511334391863</v>
      </c>
      <c r="C358" s="110">
        <v>1.0419705244825346</v>
      </c>
      <c r="G358" s="90">
        <v>342</v>
      </c>
      <c r="H358" s="100">
        <v>-6.6979144176946087E-2</v>
      </c>
      <c r="I358" s="100">
        <v>-8.1500549914677256E-2</v>
      </c>
    </row>
    <row r="359" spans="1:9">
      <c r="A359" s="90">
        <v>343</v>
      </c>
      <c r="B359" s="110">
        <v>1.1158662202404783</v>
      </c>
      <c r="C359" s="110">
        <v>1.0600269173806436</v>
      </c>
      <c r="G359" s="90">
        <v>343</v>
      </c>
      <c r="H359" s="100">
        <v>-5.1336680880243762E-2</v>
      </c>
      <c r="I359" s="100">
        <v>-8.1498065618930665E-2</v>
      </c>
    </row>
    <row r="360" spans="1:9">
      <c r="A360" s="90">
        <v>344</v>
      </c>
      <c r="B360" s="110">
        <v>1.1130867088034346</v>
      </c>
      <c r="C360" s="110">
        <v>1.0716648668607074</v>
      </c>
      <c r="G360" s="90">
        <v>344</v>
      </c>
      <c r="H360" s="100">
        <v>-3.7923585168324385E-2</v>
      </c>
      <c r="I360" s="100">
        <v>-8.1467366677696398E-2</v>
      </c>
    </row>
    <row r="361" spans="1:9">
      <c r="A361" s="90">
        <v>345</v>
      </c>
      <c r="B361" s="110">
        <v>1.1215391714617329</v>
      </c>
      <c r="C361" s="110">
        <v>1.0528474170430611</v>
      </c>
      <c r="G361" s="90">
        <v>345</v>
      </c>
      <c r="H361" s="100">
        <v>-6.3203682549984638E-2</v>
      </c>
      <c r="I361" s="100">
        <v>-8.1466193640866227E-2</v>
      </c>
    </row>
    <row r="362" spans="1:9">
      <c r="A362" s="90">
        <v>346</v>
      </c>
      <c r="B362" s="110">
        <v>1.0789338536640802</v>
      </c>
      <c r="C362" s="110">
        <v>1.0435108136250648</v>
      </c>
      <c r="G362" s="90">
        <v>346</v>
      </c>
      <c r="H362" s="100">
        <v>-3.3382570704271038E-2</v>
      </c>
      <c r="I362" s="100">
        <v>-8.1411873812955199E-2</v>
      </c>
    </row>
    <row r="363" spans="1:9">
      <c r="A363" s="90">
        <v>347</v>
      </c>
      <c r="B363" s="110">
        <v>1.115205385158242</v>
      </c>
      <c r="C363" s="110">
        <v>1.0451504458480665</v>
      </c>
      <c r="G363" s="90">
        <v>347</v>
      </c>
      <c r="H363" s="100">
        <v>-6.487774751143327E-2</v>
      </c>
      <c r="I363" s="100">
        <v>-8.1406519352232656E-2</v>
      </c>
    </row>
    <row r="364" spans="1:9">
      <c r="A364" s="90">
        <v>348</v>
      </c>
      <c r="B364" s="110">
        <v>1.1232264703684964</v>
      </c>
      <c r="C364" s="110">
        <v>1.0522757809478485</v>
      </c>
      <c r="G364" s="90">
        <v>348</v>
      </c>
      <c r="H364" s="100">
        <v>-6.5250091784839759E-2</v>
      </c>
      <c r="I364" s="100">
        <v>-8.1390285583716471E-2</v>
      </c>
    </row>
    <row r="365" spans="1:9">
      <c r="A365" s="90">
        <v>349</v>
      </c>
      <c r="B365" s="110">
        <v>1.122421102546876</v>
      </c>
      <c r="C365" s="110">
        <v>1.0770891141934402</v>
      </c>
      <c r="G365" s="90">
        <v>349</v>
      </c>
      <c r="H365" s="100">
        <v>-4.1225913165709428E-2</v>
      </c>
      <c r="I365" s="100">
        <v>-8.1387035415642323E-2</v>
      </c>
    </row>
    <row r="366" spans="1:9">
      <c r="A366" s="90">
        <v>350</v>
      </c>
      <c r="B366" s="110">
        <v>1.1184732598005904</v>
      </c>
      <c r="C366" s="110">
        <v>1.0531480056234088</v>
      </c>
      <c r="G366" s="90">
        <v>350</v>
      </c>
      <c r="H366" s="100">
        <v>-6.0180815043319083E-2</v>
      </c>
      <c r="I366" s="100">
        <v>-8.1330956698969142E-2</v>
      </c>
    </row>
    <row r="367" spans="1:9">
      <c r="A367" s="90">
        <v>351</v>
      </c>
      <c r="B367" s="110">
        <v>1.0991601487020988</v>
      </c>
      <c r="C367" s="110">
        <v>1.0605831234242413</v>
      </c>
      <c r="G367" s="90">
        <v>351</v>
      </c>
      <c r="H367" s="100">
        <v>-3.5727513705584552E-2</v>
      </c>
      <c r="I367" s="100">
        <v>-8.1289626904289397E-2</v>
      </c>
    </row>
    <row r="368" spans="1:9">
      <c r="A368" s="90">
        <v>352</v>
      </c>
      <c r="B368" s="110">
        <v>1.0993952355085865</v>
      </c>
      <c r="C368" s="110">
        <v>1.0561541470998101</v>
      </c>
      <c r="G368" s="90">
        <v>352</v>
      </c>
      <c r="H368" s="100">
        <v>-4.0126095451857149E-2</v>
      </c>
      <c r="I368" s="100">
        <v>-8.1281840128655539E-2</v>
      </c>
    </row>
    <row r="369" spans="1:9">
      <c r="A369" s="90">
        <v>353</v>
      </c>
      <c r="B369" s="110">
        <v>1.0914013105128579</v>
      </c>
      <c r="C369" s="110">
        <v>1.0533677213454962</v>
      </c>
      <c r="G369" s="90">
        <v>353</v>
      </c>
      <c r="H369" s="100">
        <v>-3.5470091287578921E-2</v>
      </c>
      <c r="I369" s="100">
        <v>-8.1265982060225034E-2</v>
      </c>
    </row>
    <row r="370" spans="1:9">
      <c r="A370" s="90">
        <v>354</v>
      </c>
      <c r="B370" s="110">
        <v>1.0864318064085461</v>
      </c>
      <c r="C370" s="110">
        <v>1.0717658493887676</v>
      </c>
      <c r="G370" s="90">
        <v>354</v>
      </c>
      <c r="H370" s="100">
        <v>-1.3591139566407763E-2</v>
      </c>
      <c r="I370" s="100">
        <v>-8.1261963729292688E-2</v>
      </c>
    </row>
    <row r="371" spans="1:9">
      <c r="A371" s="90">
        <v>355</v>
      </c>
      <c r="B371" s="110">
        <v>1.1013044894402886</v>
      </c>
      <c r="C371" s="110">
        <v>1.0516631104315299</v>
      </c>
      <c r="G371" s="90">
        <v>355</v>
      </c>
      <c r="H371" s="100">
        <v>-4.6122550875893592E-2</v>
      </c>
      <c r="I371" s="100">
        <v>-8.1259525786308046E-2</v>
      </c>
    </row>
    <row r="372" spans="1:9">
      <c r="A372" s="90">
        <v>356</v>
      </c>
      <c r="B372" s="110">
        <v>1.1372675267990044</v>
      </c>
      <c r="C372" s="110">
        <v>1.0767991596989441</v>
      </c>
      <c r="G372" s="90">
        <v>356</v>
      </c>
      <c r="H372" s="100">
        <v>-5.4635579372040062E-2</v>
      </c>
      <c r="I372" s="100">
        <v>-8.118679254376733E-2</v>
      </c>
    </row>
    <row r="373" spans="1:9">
      <c r="A373" s="90">
        <v>357</v>
      </c>
      <c r="B373" s="110">
        <v>1.1099092843831473</v>
      </c>
      <c r="C373" s="110">
        <v>1.0483538157918357</v>
      </c>
      <c r="G373" s="90">
        <v>357</v>
      </c>
      <c r="H373" s="100">
        <v>-5.705714679391459E-2</v>
      </c>
      <c r="I373" s="100">
        <v>-8.1186703787280448E-2</v>
      </c>
    </row>
    <row r="374" spans="1:9">
      <c r="A374" s="90">
        <v>358</v>
      </c>
      <c r="B374" s="110">
        <v>1.1249102718101971</v>
      </c>
      <c r="C374" s="110">
        <v>1.0512953373946772</v>
      </c>
      <c r="G374" s="90">
        <v>358</v>
      </c>
      <c r="H374" s="100">
        <v>-6.7680215580204608E-2</v>
      </c>
      <c r="I374" s="100">
        <v>-8.1184759762925357E-2</v>
      </c>
    </row>
    <row r="375" spans="1:9">
      <c r="A375" s="90">
        <v>359</v>
      </c>
      <c r="B375" s="110">
        <v>1.0882916862458141</v>
      </c>
      <c r="C375" s="110">
        <v>1.034282160725005</v>
      </c>
      <c r="G375" s="90">
        <v>359</v>
      </c>
      <c r="H375" s="100">
        <v>-5.0901584905622028E-2</v>
      </c>
      <c r="I375" s="100">
        <v>-8.1155661752883607E-2</v>
      </c>
    </row>
    <row r="376" spans="1:9">
      <c r="A376" s="90">
        <v>360</v>
      </c>
      <c r="B376" s="110">
        <v>1.0967254884210331</v>
      </c>
      <c r="C376" s="110">
        <v>1.0538582479209082</v>
      </c>
      <c r="G376" s="90">
        <v>360</v>
      </c>
      <c r="H376" s="100">
        <v>-3.9870960092829776E-2</v>
      </c>
      <c r="I376" s="100">
        <v>-8.112460435931991E-2</v>
      </c>
    </row>
    <row r="377" spans="1:9">
      <c r="A377" s="90">
        <v>361</v>
      </c>
      <c r="B377" s="110">
        <v>1.0895034572049518</v>
      </c>
      <c r="C377" s="110">
        <v>1.0486846442088695</v>
      </c>
      <c r="G377" s="90">
        <v>361</v>
      </c>
      <c r="H377" s="100">
        <v>-3.8185389541774452E-2</v>
      </c>
      <c r="I377" s="100">
        <v>-8.1044392753707395E-2</v>
      </c>
    </row>
    <row r="378" spans="1:9">
      <c r="A378" s="90">
        <v>362</v>
      </c>
      <c r="B378" s="110">
        <v>1.0968719630669732</v>
      </c>
      <c r="C378" s="110">
        <v>1.0388711712053962</v>
      </c>
      <c r="G378" s="90">
        <v>362</v>
      </c>
      <c r="H378" s="100">
        <v>-5.4327747590141563E-2</v>
      </c>
      <c r="I378" s="100">
        <v>-8.1005017054674958E-2</v>
      </c>
    </row>
    <row r="379" spans="1:9">
      <c r="A379" s="90">
        <v>363</v>
      </c>
      <c r="B379" s="110">
        <v>1.1104459453699664</v>
      </c>
      <c r="C379" s="110">
        <v>1.0429892321490084</v>
      </c>
      <c r="G379" s="90">
        <v>363</v>
      </c>
      <c r="H379" s="100">
        <v>-6.2670835185824628E-2</v>
      </c>
      <c r="I379" s="100">
        <v>-8.0954468057389845E-2</v>
      </c>
    </row>
    <row r="380" spans="1:9">
      <c r="A380" s="90">
        <v>364</v>
      </c>
      <c r="B380" s="110">
        <v>1.1134054400694444</v>
      </c>
      <c r="C380" s="110">
        <v>1.0460263963378</v>
      </c>
      <c r="G380" s="90">
        <v>364</v>
      </c>
      <c r="H380" s="100">
        <v>-6.2424681923769224E-2</v>
      </c>
      <c r="I380" s="100">
        <v>-8.0947539501675658E-2</v>
      </c>
    </row>
    <row r="381" spans="1:9">
      <c r="A381" s="90">
        <v>365</v>
      </c>
      <c r="B381" s="110">
        <v>1.1287956904128482</v>
      </c>
      <c r="C381" s="110">
        <v>1.0530255562716315</v>
      </c>
      <c r="G381" s="90">
        <v>365</v>
      </c>
      <c r="H381" s="100">
        <v>-6.948380087999706E-2</v>
      </c>
      <c r="I381" s="100">
        <v>-8.0914156843632457E-2</v>
      </c>
    </row>
    <row r="382" spans="1:9">
      <c r="A382" s="90">
        <v>366</v>
      </c>
      <c r="B382" s="110">
        <v>1.1152597128012862</v>
      </c>
      <c r="C382" s="110">
        <v>1.070677137656028</v>
      </c>
      <c r="G382" s="90">
        <v>366</v>
      </c>
      <c r="H382" s="100">
        <v>-4.0796016821581807E-2</v>
      </c>
      <c r="I382" s="100">
        <v>-8.076841777156131E-2</v>
      </c>
    </row>
    <row r="383" spans="1:9">
      <c r="A383" s="90">
        <v>367</v>
      </c>
      <c r="B383" s="110">
        <v>1.1214896798563354</v>
      </c>
      <c r="C383" s="110">
        <v>1.0657747799626316</v>
      </c>
      <c r="G383" s="90">
        <v>367</v>
      </c>
      <c r="H383" s="100">
        <v>-5.0955845256685679E-2</v>
      </c>
      <c r="I383" s="100">
        <v>-8.0715433977677151E-2</v>
      </c>
    </row>
    <row r="384" spans="1:9">
      <c r="A384" s="90">
        <v>368</v>
      </c>
      <c r="B384" s="110">
        <v>1.1330955410406922</v>
      </c>
      <c r="C384" s="110">
        <v>1.0405832739111411</v>
      </c>
      <c r="G384" s="90">
        <v>368</v>
      </c>
      <c r="H384" s="100">
        <v>-8.517190797028304E-2</v>
      </c>
      <c r="I384" s="100">
        <v>-8.0684176688930201E-2</v>
      </c>
    </row>
    <row r="385" spans="1:9">
      <c r="A385" s="90">
        <v>369</v>
      </c>
      <c r="B385" s="110">
        <v>1.0918360187756933</v>
      </c>
      <c r="C385" s="110">
        <v>1.0452472645567967</v>
      </c>
      <c r="G385" s="90">
        <v>369</v>
      </c>
      <c r="H385" s="100">
        <v>-4.3607225862155756E-2</v>
      </c>
      <c r="I385" s="100">
        <v>-8.0681088720713195E-2</v>
      </c>
    </row>
    <row r="386" spans="1:9">
      <c r="A386" s="90">
        <v>370</v>
      </c>
      <c r="B386" s="110">
        <v>1.1321380286616574</v>
      </c>
      <c r="C386" s="110">
        <v>1.0546641839274429</v>
      </c>
      <c r="G386" s="90">
        <v>370</v>
      </c>
      <c r="H386" s="100">
        <v>-7.0885498610976691E-2</v>
      </c>
      <c r="I386" s="100">
        <v>-8.0642104571329254E-2</v>
      </c>
    </row>
    <row r="387" spans="1:9">
      <c r="A387" s="90">
        <v>371</v>
      </c>
      <c r="B387" s="110">
        <v>1.1076353708979023</v>
      </c>
      <c r="C387" s="110">
        <v>1.0573056390988904</v>
      </c>
      <c r="G387" s="90">
        <v>371</v>
      </c>
      <c r="H387" s="100">
        <v>-4.6503624294561598E-2</v>
      </c>
      <c r="I387" s="100">
        <v>-8.0605591627490009E-2</v>
      </c>
    </row>
    <row r="388" spans="1:9">
      <c r="A388" s="90">
        <v>372</v>
      </c>
      <c r="B388" s="110">
        <v>1.1193208933494443</v>
      </c>
      <c r="C388" s="110">
        <v>1.0605885856607258</v>
      </c>
      <c r="G388" s="90">
        <v>372</v>
      </c>
      <c r="H388" s="100">
        <v>-5.3898132671518703E-2</v>
      </c>
      <c r="I388" s="100">
        <v>-8.054498356438064E-2</v>
      </c>
    </row>
    <row r="389" spans="1:9">
      <c r="A389" s="90">
        <v>373</v>
      </c>
      <c r="B389" s="110">
        <v>1.1057222530663182</v>
      </c>
      <c r="C389" s="110">
        <v>1.0537880136066522</v>
      </c>
      <c r="G389" s="90">
        <v>373</v>
      </c>
      <c r="H389" s="100">
        <v>-4.8107439855579609E-2</v>
      </c>
      <c r="I389" s="100">
        <v>-8.0498874394079517E-2</v>
      </c>
    </row>
    <row r="390" spans="1:9">
      <c r="A390" s="90">
        <v>374</v>
      </c>
      <c r="B390" s="110">
        <v>1.1331770927217297</v>
      </c>
      <c r="C390" s="110">
        <v>1.0578355749330643</v>
      </c>
      <c r="G390" s="90">
        <v>374</v>
      </c>
      <c r="H390" s="100">
        <v>-6.8800363945203044E-2</v>
      </c>
      <c r="I390" s="100">
        <v>-8.0436424772064849E-2</v>
      </c>
    </row>
    <row r="391" spans="1:9">
      <c r="A391" s="90">
        <v>375</v>
      </c>
      <c r="B391" s="110">
        <v>1.142250344513779</v>
      </c>
      <c r="C391" s="110">
        <v>1.048325444348936</v>
      </c>
      <c r="G391" s="90">
        <v>375</v>
      </c>
      <c r="H391" s="100">
        <v>-8.5806226878341996E-2</v>
      </c>
      <c r="I391" s="100">
        <v>-8.0348015402742876E-2</v>
      </c>
    </row>
    <row r="392" spans="1:9">
      <c r="A392" s="90">
        <v>376</v>
      </c>
      <c r="B392" s="110">
        <v>1.1044455645792632</v>
      </c>
      <c r="C392" s="110">
        <v>1.0634429344444329</v>
      </c>
      <c r="G392" s="90">
        <v>376</v>
      </c>
      <c r="H392" s="100">
        <v>-3.7831761576118762E-2</v>
      </c>
      <c r="I392" s="100">
        <v>-8.0323443109518861E-2</v>
      </c>
    </row>
    <row r="393" spans="1:9">
      <c r="A393" s="90">
        <v>377</v>
      </c>
      <c r="B393" s="110">
        <v>1.1261453931034058</v>
      </c>
      <c r="C393" s="110">
        <v>1.0639917933527492</v>
      </c>
      <c r="G393" s="90">
        <v>377</v>
      </c>
      <c r="H393" s="100">
        <v>-5.6772967044059E-2</v>
      </c>
      <c r="I393" s="100">
        <v>-8.0316126576686964E-2</v>
      </c>
    </row>
    <row r="394" spans="1:9">
      <c r="A394" s="90">
        <v>378</v>
      </c>
      <c r="B394" s="110">
        <v>1.1216452626921183</v>
      </c>
      <c r="C394" s="110">
        <v>1.0341830922178501</v>
      </c>
      <c r="G394" s="90">
        <v>378</v>
      </c>
      <c r="H394" s="100">
        <v>-8.1184759762925357E-2</v>
      </c>
      <c r="I394" s="100">
        <v>-8.0280600718635756E-2</v>
      </c>
    </row>
    <row r="395" spans="1:9">
      <c r="A395" s="90">
        <v>379</v>
      </c>
      <c r="B395" s="110">
        <v>1.1308994482085908</v>
      </c>
      <c r="C395" s="110">
        <v>1.0772412674097476</v>
      </c>
      <c r="G395" s="90">
        <v>379</v>
      </c>
      <c r="H395" s="100">
        <v>-4.8609896864643419E-2</v>
      </c>
      <c r="I395" s="100">
        <v>-8.0161973754021884E-2</v>
      </c>
    </row>
    <row r="396" spans="1:9">
      <c r="A396" s="90">
        <v>380</v>
      </c>
      <c r="B396" s="110">
        <v>1.1189611479569119</v>
      </c>
      <c r="C396" s="110">
        <v>1.0669476147132357</v>
      </c>
      <c r="G396" s="90">
        <v>380</v>
      </c>
      <c r="H396" s="100">
        <v>-4.7598833152057346E-2</v>
      </c>
      <c r="I396" s="100">
        <v>-8.0140454612754389E-2</v>
      </c>
    </row>
    <row r="397" spans="1:9">
      <c r="A397" s="90">
        <v>381</v>
      </c>
      <c r="B397" s="110">
        <v>1.1068610544892286</v>
      </c>
      <c r="C397" s="110">
        <v>1.0581529846260347</v>
      </c>
      <c r="G397" s="90">
        <v>381</v>
      </c>
      <c r="H397" s="100">
        <v>-4.5003209554191646E-2</v>
      </c>
      <c r="I397" s="100">
        <v>-8.0117884770349895E-2</v>
      </c>
    </row>
    <row r="398" spans="1:9">
      <c r="A398" s="90">
        <v>382</v>
      </c>
      <c r="B398" s="110">
        <v>1.1381740953752548</v>
      </c>
      <c r="C398" s="110">
        <v>1.0587023219089362</v>
      </c>
      <c r="G398" s="90">
        <v>382</v>
      </c>
      <c r="H398" s="100">
        <v>-7.2381374102470891E-2</v>
      </c>
      <c r="I398" s="100">
        <v>-8.0108564053830059E-2</v>
      </c>
    </row>
    <row r="399" spans="1:9">
      <c r="A399" s="90">
        <v>383</v>
      </c>
      <c r="B399" s="110">
        <v>1.1334033134882497</v>
      </c>
      <c r="C399" s="110">
        <v>1.0503124895608666</v>
      </c>
      <c r="G399" s="90">
        <v>383</v>
      </c>
      <c r="H399" s="100">
        <v>-7.613715924502687E-2</v>
      </c>
      <c r="I399" s="100">
        <v>-8.0100735084679506E-2</v>
      </c>
    </row>
    <row r="400" spans="1:9">
      <c r="A400" s="90">
        <v>384</v>
      </c>
      <c r="B400" s="110">
        <v>1.1040126784484052</v>
      </c>
      <c r="C400" s="110">
        <v>1.0582199127493612</v>
      </c>
      <c r="G400" s="90">
        <v>384</v>
      </c>
      <c r="H400" s="100">
        <v>-4.236326301296809E-2</v>
      </c>
      <c r="I400" s="100">
        <v>-8.0081720362866066E-2</v>
      </c>
    </row>
    <row r="401" spans="1:9">
      <c r="A401" s="90">
        <v>385</v>
      </c>
      <c r="B401" s="110">
        <v>1.121221861022931</v>
      </c>
      <c r="C401" s="110">
        <v>1.0559503627779374</v>
      </c>
      <c r="G401" s="90">
        <v>385</v>
      </c>
      <c r="H401" s="100">
        <v>-5.9977858764135854E-2</v>
      </c>
      <c r="I401" s="100">
        <v>-7.9935983844126118E-2</v>
      </c>
    </row>
    <row r="402" spans="1:9">
      <c r="A402" s="90">
        <v>386</v>
      </c>
      <c r="B402" s="110">
        <v>1.1127759423925438</v>
      </c>
      <c r="C402" s="110">
        <v>1.0358779179348803</v>
      </c>
      <c r="G402" s="90">
        <v>386</v>
      </c>
      <c r="H402" s="100">
        <v>-7.1608445345114222E-2</v>
      </c>
      <c r="I402" s="100">
        <v>-7.9904073782230481E-2</v>
      </c>
    </row>
    <row r="403" spans="1:9">
      <c r="A403" s="90">
        <v>387</v>
      </c>
      <c r="B403" s="110">
        <v>1.1156475416988456</v>
      </c>
      <c r="C403" s="110">
        <v>1.0486798942777835</v>
      </c>
      <c r="G403" s="90">
        <v>387</v>
      </c>
      <c r="H403" s="100">
        <v>-6.1902861595335423E-2</v>
      </c>
      <c r="I403" s="100">
        <v>-7.989419465374796E-2</v>
      </c>
    </row>
    <row r="404" spans="1:9">
      <c r="A404" s="90">
        <v>388</v>
      </c>
      <c r="B404" s="110">
        <v>1.1038038166138235</v>
      </c>
      <c r="C404" s="110">
        <v>1.0536925898331184</v>
      </c>
      <c r="G404" s="90">
        <v>388</v>
      </c>
      <c r="H404" s="100">
        <v>-4.6461482643333045E-2</v>
      </c>
      <c r="I404" s="100">
        <v>-7.9883341566160282E-2</v>
      </c>
    </row>
    <row r="405" spans="1:9">
      <c r="A405" s="90">
        <v>389</v>
      </c>
      <c r="B405" s="110">
        <v>1.1432522228646187</v>
      </c>
      <c r="C405" s="110">
        <v>1.0371283647854397</v>
      </c>
      <c r="G405" s="90">
        <v>389</v>
      </c>
      <c r="H405" s="100">
        <v>-9.7421321555921273E-2</v>
      </c>
      <c r="I405" s="100">
        <v>-7.9863168624511718E-2</v>
      </c>
    </row>
    <row r="406" spans="1:9">
      <c r="A406" s="90">
        <v>390</v>
      </c>
      <c r="B406" s="110">
        <v>1.0970910202808144</v>
      </c>
      <c r="C406" s="110">
        <v>1.0451190076161658</v>
      </c>
      <c r="G406" s="90">
        <v>390</v>
      </c>
      <c r="H406" s="100">
        <v>-4.8531388029309667E-2</v>
      </c>
      <c r="I406" s="100">
        <v>-7.9797902011502386E-2</v>
      </c>
    </row>
    <row r="407" spans="1:9">
      <c r="A407" s="90">
        <v>391</v>
      </c>
      <c r="B407" s="110">
        <v>1.1074365383651794</v>
      </c>
      <c r="C407" s="110">
        <v>1.0678065127778398</v>
      </c>
      <c r="G407" s="90">
        <v>391</v>
      </c>
      <c r="H407" s="100">
        <v>-3.644136327935743E-2</v>
      </c>
      <c r="I407" s="100">
        <v>-7.9669370680590934E-2</v>
      </c>
    </row>
    <row r="408" spans="1:9">
      <c r="A408" s="90">
        <v>392</v>
      </c>
      <c r="B408" s="110">
        <v>1.1237239200176901</v>
      </c>
      <c r="C408" s="110">
        <v>1.0535974615797108</v>
      </c>
      <c r="G408" s="90">
        <v>392</v>
      </c>
      <c r="H408" s="100">
        <v>-6.4437636379929331E-2</v>
      </c>
      <c r="I408" s="100">
        <v>-7.9636494190494095E-2</v>
      </c>
    </row>
    <row r="409" spans="1:9">
      <c r="A409" s="90">
        <v>393</v>
      </c>
      <c r="B409" s="110">
        <v>1.1274946632978897</v>
      </c>
      <c r="C409" s="110">
        <v>1.0426137048275923</v>
      </c>
      <c r="G409" s="90">
        <v>393</v>
      </c>
      <c r="H409" s="100">
        <v>-7.8267321044372756E-2</v>
      </c>
      <c r="I409" s="100">
        <v>-7.9556411596910306E-2</v>
      </c>
    </row>
    <row r="410" spans="1:9">
      <c r="A410" s="90">
        <v>394</v>
      </c>
      <c r="B410" s="110">
        <v>1.1315335317169812</v>
      </c>
      <c r="C410" s="110">
        <v>1.0341878423997084</v>
      </c>
      <c r="G410" s="90">
        <v>394</v>
      </c>
      <c r="H410" s="100">
        <v>-8.9957395049266101E-2</v>
      </c>
      <c r="I410" s="100">
        <v>-7.9521462419768846E-2</v>
      </c>
    </row>
    <row r="411" spans="1:9">
      <c r="A411" s="90">
        <v>395</v>
      </c>
      <c r="B411" s="110">
        <v>1.1116668685251572</v>
      </c>
      <c r="C411" s="110">
        <v>1.0457823705291323</v>
      </c>
      <c r="G411" s="90">
        <v>395</v>
      </c>
      <c r="H411" s="100">
        <v>-6.1095287053368266E-2</v>
      </c>
      <c r="I411" s="100">
        <v>-7.9514956536071948E-2</v>
      </c>
    </row>
    <row r="412" spans="1:9">
      <c r="A412" s="90">
        <v>396</v>
      </c>
      <c r="B412" s="110">
        <v>1.1079003786538877</v>
      </c>
      <c r="C412" s="110">
        <v>1.0657234003580587</v>
      </c>
      <c r="G412" s="90">
        <v>396</v>
      </c>
      <c r="H412" s="100">
        <v>-3.8812855582080828E-2</v>
      </c>
      <c r="I412" s="100">
        <v>-7.945629329140376E-2</v>
      </c>
    </row>
    <row r="413" spans="1:9">
      <c r="A413" s="90">
        <v>397</v>
      </c>
      <c r="B413" s="110">
        <v>1.1240050460615265</v>
      </c>
      <c r="C413" s="110">
        <v>1.0498672080115743</v>
      </c>
      <c r="G413" s="90">
        <v>397</v>
      </c>
      <c r="H413" s="100">
        <v>-6.8234553228800551E-2</v>
      </c>
      <c r="I413" s="100">
        <v>-7.9436898617250021E-2</v>
      </c>
    </row>
    <row r="414" spans="1:9">
      <c r="A414" s="90">
        <v>398</v>
      </c>
      <c r="B414" s="110">
        <v>1.0949676437139879</v>
      </c>
      <c r="C414" s="110">
        <v>1.0499044753230722</v>
      </c>
      <c r="G414" s="90">
        <v>398</v>
      </c>
      <c r="H414" s="100">
        <v>-4.2025629564147543E-2</v>
      </c>
      <c r="I414" s="100">
        <v>-7.9419466468420935E-2</v>
      </c>
    </row>
    <row r="415" spans="1:9">
      <c r="A415" s="90">
        <v>399</v>
      </c>
      <c r="B415" s="110">
        <v>1.0851766639883877</v>
      </c>
      <c r="C415" s="110">
        <v>1.0566471170348193</v>
      </c>
      <c r="G415" s="90">
        <v>399</v>
      </c>
      <c r="H415" s="100">
        <v>-2.6641999869420886E-2</v>
      </c>
      <c r="I415" s="100">
        <v>-7.9391902346985982E-2</v>
      </c>
    </row>
    <row r="416" spans="1:9">
      <c r="A416" s="90">
        <v>400</v>
      </c>
      <c r="B416" s="110">
        <v>1.0623092474813194</v>
      </c>
      <c r="C416" s="110">
        <v>1.0512744216501235</v>
      </c>
      <c r="G416" s="90">
        <v>400</v>
      </c>
      <c r="H416" s="100">
        <v>-1.0441910822822325E-2</v>
      </c>
      <c r="I416" s="100">
        <v>-7.9386770234096446E-2</v>
      </c>
    </row>
    <row r="417" spans="1:9">
      <c r="A417" s="90">
        <v>401</v>
      </c>
      <c r="B417" s="110">
        <v>1.1422370056446172</v>
      </c>
      <c r="C417" s="110">
        <v>1.0534190221773589</v>
      </c>
      <c r="G417" s="90">
        <v>401</v>
      </c>
      <c r="H417" s="100">
        <v>-8.0947539501675658E-2</v>
      </c>
      <c r="I417" s="100">
        <v>-7.938044426567871E-2</v>
      </c>
    </row>
    <row r="418" spans="1:9">
      <c r="A418" s="90">
        <v>402</v>
      </c>
      <c r="B418" s="110">
        <v>1.0957691048758944</v>
      </c>
      <c r="C418" s="110">
        <v>1.0555663641890261</v>
      </c>
      <c r="G418" s="90">
        <v>402</v>
      </c>
      <c r="H418" s="100">
        <v>-3.7379034622080101E-2</v>
      </c>
      <c r="I418" s="100">
        <v>-7.9350114724204349E-2</v>
      </c>
    </row>
    <row r="419" spans="1:9">
      <c r="A419" s="90">
        <v>403</v>
      </c>
      <c r="B419" s="110">
        <v>1.1096598556961645</v>
      </c>
      <c r="C419" s="110">
        <v>1.0692897501669438</v>
      </c>
      <c r="G419" s="90">
        <v>403</v>
      </c>
      <c r="H419" s="100">
        <v>-3.7058888872902304E-2</v>
      </c>
      <c r="I419" s="100">
        <v>-7.9273802686947115E-2</v>
      </c>
    </row>
    <row r="420" spans="1:9">
      <c r="A420" s="90">
        <v>404</v>
      </c>
      <c r="B420" s="110">
        <v>1.119994477750736</v>
      </c>
      <c r="C420" s="110">
        <v>1.0491644140007561</v>
      </c>
      <c r="G420" s="90">
        <v>404</v>
      </c>
      <c r="H420" s="100">
        <v>-6.5329703549350415E-2</v>
      </c>
      <c r="I420" s="100">
        <v>-7.9264759487543163E-2</v>
      </c>
    </row>
    <row r="421" spans="1:9">
      <c r="A421" s="90">
        <v>405</v>
      </c>
      <c r="B421" s="110">
        <v>1.1338554190065033</v>
      </c>
      <c r="C421" s="110">
        <v>1.0526111288718993</v>
      </c>
      <c r="G421" s="90">
        <v>405</v>
      </c>
      <c r="H421" s="100">
        <v>-7.4349834083129451E-2</v>
      </c>
      <c r="I421" s="100">
        <v>-7.9246176795503942E-2</v>
      </c>
    </row>
    <row r="422" spans="1:9">
      <c r="A422" s="90">
        <v>406</v>
      </c>
      <c r="B422" s="110">
        <v>1.1099654456064443</v>
      </c>
      <c r="C422" s="110">
        <v>1.0484651091622423</v>
      </c>
      <c r="G422" s="90">
        <v>406</v>
      </c>
      <c r="H422" s="100">
        <v>-5.7001590856990844E-2</v>
      </c>
      <c r="I422" s="100">
        <v>-7.9232601154873572E-2</v>
      </c>
    </row>
    <row r="423" spans="1:9">
      <c r="A423" s="90">
        <v>407</v>
      </c>
      <c r="B423" s="110">
        <v>1.1420370079730719</v>
      </c>
      <c r="C423" s="110">
        <v>1.0791315903520318</v>
      </c>
      <c r="G423" s="90">
        <v>407</v>
      </c>
      <c r="H423" s="100">
        <v>-5.6656882309283854E-2</v>
      </c>
      <c r="I423" s="100">
        <v>-7.9205240585302872E-2</v>
      </c>
    </row>
    <row r="424" spans="1:9">
      <c r="A424" s="90">
        <v>408</v>
      </c>
      <c r="B424" s="110">
        <v>1.0760489298377349</v>
      </c>
      <c r="C424" s="110">
        <v>1.0458931195469576</v>
      </c>
      <c r="G424" s="90">
        <v>408</v>
      </c>
      <c r="H424" s="100">
        <v>-2.8424754276030847E-2</v>
      </c>
      <c r="I424" s="100">
        <v>-7.9187850712274133E-2</v>
      </c>
    </row>
    <row r="425" spans="1:9">
      <c r="A425" s="90">
        <v>409</v>
      </c>
      <c r="B425" s="110">
        <v>1.1385264366296901</v>
      </c>
      <c r="C425" s="110">
        <v>1.0403712180130362</v>
      </c>
      <c r="G425" s="90">
        <v>409</v>
      </c>
      <c r="H425" s="100">
        <v>-9.0157236969139021E-2</v>
      </c>
      <c r="I425" s="100">
        <v>-7.9184582550717475E-2</v>
      </c>
    </row>
    <row r="426" spans="1:9">
      <c r="A426" s="90">
        <v>410</v>
      </c>
      <c r="B426" s="110">
        <v>1.0724462386909792</v>
      </c>
      <c r="C426" s="110">
        <v>1.0398087202629058</v>
      </c>
      <c r="G426" s="90">
        <v>410</v>
      </c>
      <c r="H426" s="100">
        <v>-3.090547005569657E-2</v>
      </c>
      <c r="I426" s="100">
        <v>-7.9157650630163237E-2</v>
      </c>
    </row>
    <row r="427" spans="1:9">
      <c r="A427" s="90">
        <v>411</v>
      </c>
      <c r="B427" s="110">
        <v>1.1168139840438556</v>
      </c>
      <c r="C427" s="110">
        <v>1.0531542487133265</v>
      </c>
      <c r="G427" s="90">
        <v>411</v>
      </c>
      <c r="H427" s="100">
        <v>-5.8690267044952844E-2</v>
      </c>
      <c r="I427" s="100">
        <v>-7.9150456843774988E-2</v>
      </c>
    </row>
    <row r="428" spans="1:9">
      <c r="A428" s="90">
        <v>412</v>
      </c>
      <c r="B428" s="110">
        <v>1.0879029460529204</v>
      </c>
      <c r="C428" s="110">
        <v>1.0515300029120656</v>
      </c>
      <c r="G428" s="90">
        <v>412</v>
      </c>
      <c r="H428" s="100">
        <v>-3.4005691265903519E-2</v>
      </c>
      <c r="I428" s="100">
        <v>-7.9142371830854499E-2</v>
      </c>
    </row>
    <row r="429" spans="1:9">
      <c r="A429" s="90">
        <v>413</v>
      </c>
      <c r="B429" s="110">
        <v>1.115385611378821</v>
      </c>
      <c r="C429" s="110">
        <v>1.0512032712567818</v>
      </c>
      <c r="G429" s="90">
        <v>413</v>
      </c>
      <c r="H429" s="100">
        <v>-5.9264704255386241E-2</v>
      </c>
      <c r="I429" s="100">
        <v>-7.9140751474978635E-2</v>
      </c>
    </row>
    <row r="430" spans="1:9">
      <c r="A430" s="90">
        <v>414</v>
      </c>
      <c r="B430" s="110">
        <v>1.0932049823237007</v>
      </c>
      <c r="C430" s="110">
        <v>1.0323739893810997</v>
      </c>
      <c r="G430" s="90">
        <v>414</v>
      </c>
      <c r="H430" s="100">
        <v>-5.7252738398475708E-2</v>
      </c>
      <c r="I430" s="100">
        <v>-7.9131909790467969E-2</v>
      </c>
    </row>
    <row r="431" spans="1:9">
      <c r="A431" s="90">
        <v>415</v>
      </c>
      <c r="B431" s="110">
        <v>1.1105513081084364</v>
      </c>
      <c r="C431" s="110">
        <v>1.0549494585809169</v>
      </c>
      <c r="G431" s="90">
        <v>415</v>
      </c>
      <c r="H431" s="100">
        <v>-5.1363706772014149E-2</v>
      </c>
      <c r="I431" s="100">
        <v>-7.9104192753695818E-2</v>
      </c>
    </row>
    <row r="432" spans="1:9">
      <c r="A432" s="90">
        <v>416</v>
      </c>
      <c r="B432" s="110">
        <v>1.0856369258391689</v>
      </c>
      <c r="C432" s="110">
        <v>1.0446942695667163</v>
      </c>
      <c r="G432" s="90">
        <v>416</v>
      </c>
      <c r="H432" s="100">
        <v>-3.844256557847979E-2</v>
      </c>
      <c r="I432" s="100">
        <v>-7.9069591927694763E-2</v>
      </c>
    </row>
    <row r="433" spans="1:9">
      <c r="A433" s="90">
        <v>417</v>
      </c>
      <c r="B433" s="110">
        <v>1.1282130139052928</v>
      </c>
      <c r="C433" s="110">
        <v>1.0378822149407867</v>
      </c>
      <c r="G433" s="90">
        <v>417</v>
      </c>
      <c r="H433" s="100">
        <v>-8.3452672139014875E-2</v>
      </c>
      <c r="I433" s="100">
        <v>-7.9062995414509396E-2</v>
      </c>
    </row>
    <row r="434" spans="1:9">
      <c r="A434" s="90">
        <v>418</v>
      </c>
      <c r="B434" s="110">
        <v>1.121058009744254</v>
      </c>
      <c r="C434" s="110">
        <v>1.0703188764340175</v>
      </c>
      <c r="G434" s="90">
        <v>418</v>
      </c>
      <c r="H434" s="100">
        <v>-4.6316271526930117E-2</v>
      </c>
      <c r="I434" s="100">
        <v>-7.9062187564652622E-2</v>
      </c>
    </row>
    <row r="435" spans="1:9">
      <c r="A435" s="90">
        <v>419</v>
      </c>
      <c r="B435" s="110">
        <v>1.1061831756635971</v>
      </c>
      <c r="C435" s="110">
        <v>1.0537103636160721</v>
      </c>
      <c r="G435" s="90">
        <v>419</v>
      </c>
      <c r="H435" s="100">
        <v>-4.859789430841481E-2</v>
      </c>
      <c r="I435" s="100">
        <v>-7.9060204884759608E-2</v>
      </c>
    </row>
    <row r="436" spans="1:9">
      <c r="A436" s="90">
        <v>420</v>
      </c>
      <c r="B436" s="110">
        <v>1.0937146769722674</v>
      </c>
      <c r="C436" s="110">
        <v>1.0409599897324078</v>
      </c>
      <c r="G436" s="90">
        <v>420</v>
      </c>
      <c r="H436" s="100">
        <v>-4.9436508389270654E-2</v>
      </c>
      <c r="I436" s="100">
        <v>-7.9008014068588886E-2</v>
      </c>
    </row>
    <row r="437" spans="1:9">
      <c r="A437" s="90">
        <v>421</v>
      </c>
      <c r="B437" s="110">
        <v>1.1071099294893991</v>
      </c>
      <c r="C437" s="110">
        <v>1.0670549994557417</v>
      </c>
      <c r="G437" s="90">
        <v>421</v>
      </c>
      <c r="H437" s="100">
        <v>-3.6850435888474899E-2</v>
      </c>
      <c r="I437" s="100">
        <v>-7.9005240204540209E-2</v>
      </c>
    </row>
    <row r="438" spans="1:9">
      <c r="A438" s="90">
        <v>422</v>
      </c>
      <c r="B438" s="110">
        <v>1.0980036182322186</v>
      </c>
      <c r="C438" s="110">
        <v>1.0599440431703298</v>
      </c>
      <c r="G438" s="90">
        <v>422</v>
      </c>
      <c r="H438" s="100">
        <v>-3.5277521106758934E-2</v>
      </c>
      <c r="I438" s="100">
        <v>-7.8978123320177951E-2</v>
      </c>
    </row>
    <row r="439" spans="1:9">
      <c r="A439" s="90">
        <v>423</v>
      </c>
      <c r="B439" s="110">
        <v>1.1232733596987949</v>
      </c>
      <c r="C439" s="110">
        <v>1.0700424087422393</v>
      </c>
      <c r="G439" s="90">
        <v>423</v>
      </c>
      <c r="H439" s="100">
        <v>-4.8548783251810418E-2</v>
      </c>
      <c r="I439" s="100">
        <v>-7.8963720914469557E-2</v>
      </c>
    </row>
    <row r="440" spans="1:9">
      <c r="A440" s="90">
        <v>424</v>
      </c>
      <c r="B440" s="110">
        <v>1.1260682627111425</v>
      </c>
      <c r="C440" s="110">
        <v>1.0528768349854485</v>
      </c>
      <c r="G440" s="90">
        <v>424</v>
      </c>
      <c r="H440" s="100">
        <v>-6.720589147230685E-2</v>
      </c>
      <c r="I440" s="100">
        <v>-7.8952505129443157E-2</v>
      </c>
    </row>
    <row r="441" spans="1:9">
      <c r="A441" s="90">
        <v>425</v>
      </c>
      <c r="B441" s="110">
        <v>1.1264662721835561</v>
      </c>
      <c r="C441" s="110">
        <v>1.0807834273583716</v>
      </c>
      <c r="G441" s="90">
        <v>425</v>
      </c>
      <c r="H441" s="100">
        <v>-4.139936621511122E-2</v>
      </c>
      <c r="I441" s="100">
        <v>-7.8938796924718946E-2</v>
      </c>
    </row>
    <row r="442" spans="1:9">
      <c r="A442" s="90">
        <v>426</v>
      </c>
      <c r="B442" s="110">
        <v>1.1181309172712457</v>
      </c>
      <c r="C442" s="110">
        <v>1.0373150230191868</v>
      </c>
      <c r="G442" s="90">
        <v>426</v>
      </c>
      <c r="H442" s="100">
        <v>-7.5022801243215628E-2</v>
      </c>
      <c r="I442" s="100">
        <v>-7.8929459044134315E-2</v>
      </c>
    </row>
    <row r="443" spans="1:9">
      <c r="A443" s="90">
        <v>427</v>
      </c>
      <c r="B443" s="110">
        <v>1.1400768610801848</v>
      </c>
      <c r="C443" s="110">
        <v>1.0332499821276975</v>
      </c>
      <c r="G443" s="90">
        <v>427</v>
      </c>
      <c r="H443" s="100">
        <v>-9.8386525021272347E-2</v>
      </c>
      <c r="I443" s="100">
        <v>-7.8928675685075264E-2</v>
      </c>
    </row>
    <row r="444" spans="1:9">
      <c r="A444" s="90">
        <v>428</v>
      </c>
      <c r="B444" s="110">
        <v>1.1510184647609707</v>
      </c>
      <c r="C444" s="110">
        <v>1.0770265751908896</v>
      </c>
      <c r="G444" s="90">
        <v>428</v>
      </c>
      <c r="H444" s="100">
        <v>-6.6443098904795689E-2</v>
      </c>
      <c r="I444" s="100">
        <v>-7.8917640275504353E-2</v>
      </c>
    </row>
    <row r="445" spans="1:9">
      <c r="A445" s="90">
        <v>429</v>
      </c>
      <c r="B445" s="110">
        <v>1.0810483710966834</v>
      </c>
      <c r="C445" s="110">
        <v>1.0724496264867269</v>
      </c>
      <c r="G445" s="90">
        <v>429</v>
      </c>
      <c r="H445" s="100">
        <v>-7.9858818701544782E-3</v>
      </c>
      <c r="I445" s="100">
        <v>-7.891041673558763E-2</v>
      </c>
    </row>
    <row r="446" spans="1:9">
      <c r="A446" s="90">
        <v>430</v>
      </c>
      <c r="B446" s="110">
        <v>1.1174639251029126</v>
      </c>
      <c r="C446" s="110">
        <v>1.0334969382466834</v>
      </c>
      <c r="G446" s="90">
        <v>430</v>
      </c>
      <c r="H446" s="100">
        <v>-7.8113627571374689E-2</v>
      </c>
      <c r="I446" s="100">
        <v>-7.8905373959355832E-2</v>
      </c>
    </row>
    <row r="447" spans="1:9">
      <c r="A447" s="90">
        <v>431</v>
      </c>
      <c r="B447" s="110">
        <v>1.117760425817903</v>
      </c>
      <c r="C447" s="110">
        <v>1.0716312614747094</v>
      </c>
      <c r="G447" s="90">
        <v>431</v>
      </c>
      <c r="H447" s="100">
        <v>-4.2145032621163245E-2</v>
      </c>
      <c r="I447" s="100">
        <v>-7.8902194325458558E-2</v>
      </c>
    </row>
    <row r="448" spans="1:9">
      <c r="A448" s="90">
        <v>432</v>
      </c>
      <c r="B448" s="110">
        <v>1.1425183983286977</v>
      </c>
      <c r="C448" s="110">
        <v>1.0526544961019875</v>
      </c>
      <c r="G448" s="90">
        <v>432</v>
      </c>
      <c r="H448" s="100">
        <v>-8.1919881779090362E-2</v>
      </c>
      <c r="I448" s="100">
        <v>-7.8895249557550118E-2</v>
      </c>
    </row>
    <row r="449" spans="1:9">
      <c r="A449" s="90">
        <v>433</v>
      </c>
      <c r="B449" s="110">
        <v>1.1191370114132744</v>
      </c>
      <c r="C449" s="110">
        <v>1.066891311477687</v>
      </c>
      <c r="G449" s="90">
        <v>433</v>
      </c>
      <c r="H449" s="100">
        <v>-4.7808759301885849E-2</v>
      </c>
      <c r="I449" s="100">
        <v>-7.8855871622031726E-2</v>
      </c>
    </row>
    <row r="450" spans="1:9">
      <c r="A450" s="90">
        <v>434</v>
      </c>
      <c r="B450" s="110">
        <v>1.0838852374844048</v>
      </c>
      <c r="C450" s="110">
        <v>1.0720688528176414</v>
      </c>
      <c r="G450" s="90">
        <v>434</v>
      </c>
      <c r="H450" s="100">
        <v>-1.0961738972832214E-2</v>
      </c>
      <c r="I450" s="100">
        <v>-7.878880633824914E-2</v>
      </c>
    </row>
    <row r="451" spans="1:9">
      <c r="A451" s="90">
        <v>435</v>
      </c>
      <c r="B451" s="110">
        <v>1.1189426044030306</v>
      </c>
      <c r="C451" s="110">
        <v>1.0515837364111464</v>
      </c>
      <c r="G451" s="90">
        <v>435</v>
      </c>
      <c r="H451" s="100">
        <v>-6.2086787960953953E-2</v>
      </c>
      <c r="I451" s="100">
        <v>-7.8772290960083841E-2</v>
      </c>
    </row>
    <row r="452" spans="1:9">
      <c r="A452" s="90">
        <v>436</v>
      </c>
      <c r="B452" s="110">
        <v>1.1069690802121597</v>
      </c>
      <c r="C452" s="110">
        <v>1.0521939417727848</v>
      </c>
      <c r="G452" s="90">
        <v>436</v>
      </c>
      <c r="H452" s="100">
        <v>-5.0748269560597997E-2</v>
      </c>
      <c r="I452" s="100">
        <v>-7.8732403438128748E-2</v>
      </c>
    </row>
    <row r="453" spans="1:9">
      <c r="A453" s="90">
        <v>437</v>
      </c>
      <c r="B453" s="110">
        <v>1.0948295382478463</v>
      </c>
      <c r="C453" s="110">
        <v>1.0596641129941915</v>
      </c>
      <c r="G453" s="90">
        <v>437</v>
      </c>
      <c r="H453" s="100">
        <v>-3.2646694942323168E-2</v>
      </c>
      <c r="I453" s="100">
        <v>-7.8714522242203683E-2</v>
      </c>
    </row>
    <row r="454" spans="1:9">
      <c r="A454" s="90">
        <v>438</v>
      </c>
      <c r="B454" s="110">
        <v>1.1331020685775368</v>
      </c>
      <c r="C454" s="110">
        <v>1.0584664415863063</v>
      </c>
      <c r="G454" s="90">
        <v>438</v>
      </c>
      <c r="H454" s="100">
        <v>-6.8137957648472275E-2</v>
      </c>
      <c r="I454" s="100">
        <v>-7.8710173823467608E-2</v>
      </c>
    </row>
    <row r="455" spans="1:9">
      <c r="A455" s="90">
        <v>439</v>
      </c>
      <c r="B455" s="110">
        <v>1.1131529878958013</v>
      </c>
      <c r="C455" s="110">
        <v>1.0730411583797859</v>
      </c>
      <c r="G455" s="90">
        <v>439</v>
      </c>
      <c r="H455" s="100">
        <v>-3.669969713729479E-2</v>
      </c>
      <c r="I455" s="100">
        <v>-7.870933180137886E-2</v>
      </c>
    </row>
    <row r="456" spans="1:9">
      <c r="A456" s="90">
        <v>440</v>
      </c>
      <c r="B456" s="110">
        <v>1.1010363797421041</v>
      </c>
      <c r="C456" s="110">
        <v>1.0675423793022893</v>
      </c>
      <c r="G456" s="90">
        <v>440</v>
      </c>
      <c r="H456" s="100">
        <v>-3.0892734735646198E-2</v>
      </c>
      <c r="I456" s="100">
        <v>-7.8704325740192441E-2</v>
      </c>
    </row>
    <row r="457" spans="1:9">
      <c r="A457" s="90">
        <v>441</v>
      </c>
      <c r="B457" s="110">
        <v>1.1159524708390032</v>
      </c>
      <c r="C457" s="110">
        <v>1.0526320061414647</v>
      </c>
      <c r="G457" s="90">
        <v>441</v>
      </c>
      <c r="H457" s="100">
        <v>-5.8414573976388773E-2</v>
      </c>
      <c r="I457" s="100">
        <v>-7.869679959071231E-2</v>
      </c>
    </row>
    <row r="458" spans="1:9">
      <c r="A458" s="90">
        <v>442</v>
      </c>
      <c r="B458" s="110">
        <v>1.0928007563036839</v>
      </c>
      <c r="C458" s="110">
        <v>1.0427660601487028</v>
      </c>
      <c r="G458" s="90">
        <v>442</v>
      </c>
      <c r="H458" s="100">
        <v>-4.6867046211649818E-2</v>
      </c>
      <c r="I458" s="100">
        <v>-7.8671392340568663E-2</v>
      </c>
    </row>
    <row r="459" spans="1:9">
      <c r="A459" s="90">
        <v>443</v>
      </c>
      <c r="B459" s="110">
        <v>1.1318729846718092</v>
      </c>
      <c r="C459" s="110">
        <v>1.0442811829950218</v>
      </c>
      <c r="G459" s="90">
        <v>443</v>
      </c>
      <c r="H459" s="100">
        <v>-8.054498356438064E-2</v>
      </c>
      <c r="I459" s="100">
        <v>-7.8658795925611147E-2</v>
      </c>
    </row>
    <row r="460" spans="1:9">
      <c r="A460" s="90">
        <v>444</v>
      </c>
      <c r="B460" s="110">
        <v>1.0861907543947036</v>
      </c>
      <c r="C460" s="110">
        <v>1.0552105429901861</v>
      </c>
      <c r="G460" s="90">
        <v>444</v>
      </c>
      <c r="H460" s="100">
        <v>-2.8936540868675358E-2</v>
      </c>
      <c r="I460" s="100">
        <v>-7.8656448880259605E-2</v>
      </c>
    </row>
    <row r="461" spans="1:9">
      <c r="A461" s="90">
        <v>445</v>
      </c>
      <c r="B461" s="110">
        <v>1.1063227606379267</v>
      </c>
      <c r="C461" s="110">
        <v>1.0717399260317546</v>
      </c>
      <c r="G461" s="90">
        <v>445</v>
      </c>
      <c r="H461" s="100">
        <v>-3.1758260603890594E-2</v>
      </c>
      <c r="I461" s="100">
        <v>-7.8626510860885249E-2</v>
      </c>
    </row>
    <row r="462" spans="1:9">
      <c r="A462" s="90">
        <v>446</v>
      </c>
      <c r="B462" s="110">
        <v>1.095570860354373</v>
      </c>
      <c r="C462" s="110">
        <v>1.0543867602541961</v>
      </c>
      <c r="G462" s="90">
        <v>446</v>
      </c>
      <c r="H462" s="100">
        <v>-3.8316233054296482E-2</v>
      </c>
      <c r="I462" s="100">
        <v>-7.860900136037316E-2</v>
      </c>
    </row>
    <row r="463" spans="1:9">
      <c r="A463" s="90">
        <v>447</v>
      </c>
      <c r="B463" s="110">
        <v>1.110362442125904</v>
      </c>
      <c r="C463" s="110">
        <v>1.0491993472621681</v>
      </c>
      <c r="G463" s="90">
        <v>447</v>
      </c>
      <c r="H463" s="100">
        <v>-5.6659139583184595E-2</v>
      </c>
      <c r="I463" s="100">
        <v>-7.8574747381430304E-2</v>
      </c>
    </row>
    <row r="464" spans="1:9">
      <c r="A464" s="90">
        <v>448</v>
      </c>
      <c r="B464" s="110">
        <v>1.104586210540333</v>
      </c>
      <c r="C464" s="110">
        <v>1.0483438202896704</v>
      </c>
      <c r="G464" s="90">
        <v>448</v>
      </c>
      <c r="H464" s="100">
        <v>-5.2259189848808334E-2</v>
      </c>
      <c r="I464" s="100">
        <v>-7.8493415033544733E-2</v>
      </c>
    </row>
    <row r="465" spans="1:9">
      <c r="A465" s="90">
        <v>449</v>
      </c>
      <c r="B465" s="110">
        <v>1.1447568514708393</v>
      </c>
      <c r="C465" s="110">
        <v>1.0442953712767178</v>
      </c>
      <c r="G465" s="90">
        <v>449</v>
      </c>
      <c r="H465" s="100">
        <v>-9.184988553705789E-2</v>
      </c>
      <c r="I465" s="100">
        <v>-7.848906802157686E-2</v>
      </c>
    </row>
    <row r="466" spans="1:9">
      <c r="A466" s="90">
        <v>450</v>
      </c>
      <c r="B466" s="110">
        <v>1.1211670417702277</v>
      </c>
      <c r="C466" s="110">
        <v>1.0505589147216978</v>
      </c>
      <c r="G466" s="90">
        <v>450</v>
      </c>
      <c r="H466" s="100">
        <v>-6.5047822097613145E-2</v>
      </c>
      <c r="I466" s="100">
        <v>-7.839342185677145E-2</v>
      </c>
    </row>
    <row r="467" spans="1:9">
      <c r="A467" s="90">
        <v>451</v>
      </c>
      <c r="B467" s="110">
        <v>1.1319340062099232</v>
      </c>
      <c r="C467" s="110">
        <v>1.0455543627380468</v>
      </c>
      <c r="G467" s="90">
        <v>451</v>
      </c>
      <c r="H467" s="100">
        <v>-7.938044426567871E-2</v>
      </c>
      <c r="I467" s="100">
        <v>-7.8390217336775647E-2</v>
      </c>
    </row>
    <row r="468" spans="1:9">
      <c r="A468" s="90">
        <v>452</v>
      </c>
      <c r="B468" s="110">
        <v>1.1283796390196239</v>
      </c>
      <c r="C468" s="110">
        <v>1.0409164917411839</v>
      </c>
      <c r="G468" s="90">
        <v>452</v>
      </c>
      <c r="H468" s="100">
        <v>-8.0681088720713195E-2</v>
      </c>
      <c r="I468" s="100">
        <v>-7.838967689371544E-2</v>
      </c>
    </row>
    <row r="469" spans="1:9">
      <c r="A469" s="90">
        <v>453</v>
      </c>
      <c r="B469" s="110">
        <v>1.0894348513906549</v>
      </c>
      <c r="C469" s="110">
        <v>1.0496952454461592</v>
      </c>
      <c r="G469" s="90">
        <v>453</v>
      </c>
      <c r="H469" s="100">
        <v>-3.7159197209827098E-2</v>
      </c>
      <c r="I469" s="100">
        <v>-7.8360583669111014E-2</v>
      </c>
    </row>
    <row r="470" spans="1:9">
      <c r="A470" s="90">
        <v>454</v>
      </c>
      <c r="B470" s="110">
        <v>1.1025128917153229</v>
      </c>
      <c r="C470" s="110">
        <v>1.0742066787003615</v>
      </c>
      <c r="G470" s="90">
        <v>454</v>
      </c>
      <c r="H470" s="100">
        <v>-2.6009605595027699E-2</v>
      </c>
      <c r="I470" s="100">
        <v>-7.8345108352294524E-2</v>
      </c>
    </row>
    <row r="471" spans="1:9">
      <c r="A471" s="90">
        <v>455</v>
      </c>
      <c r="B471" s="110">
        <v>1.111331322654503</v>
      </c>
      <c r="C471" s="110">
        <v>1.0402350344248403</v>
      </c>
      <c r="G471" s="90">
        <v>455</v>
      </c>
      <c r="H471" s="100">
        <v>-6.6112004150149214E-2</v>
      </c>
      <c r="I471" s="100">
        <v>-7.8294464475434131E-2</v>
      </c>
    </row>
    <row r="472" spans="1:9">
      <c r="A472" s="90">
        <v>456</v>
      </c>
      <c r="B472" s="110">
        <v>1.0808269325952904</v>
      </c>
      <c r="C472" s="110">
        <v>1.0343367529887126</v>
      </c>
      <c r="G472" s="90">
        <v>456</v>
      </c>
      <c r="H472" s="100">
        <v>-4.3966023545904009E-2</v>
      </c>
      <c r="I472" s="100">
        <v>-7.8267321044372756E-2</v>
      </c>
    </row>
    <row r="473" spans="1:9">
      <c r="A473" s="90">
        <v>457</v>
      </c>
      <c r="B473" s="110">
        <v>1.1075986783379301</v>
      </c>
      <c r="C473" s="110">
        <v>1.054475420869059</v>
      </c>
      <c r="G473" s="90">
        <v>457</v>
      </c>
      <c r="H473" s="100">
        <v>-4.9150907183606249E-2</v>
      </c>
      <c r="I473" s="100">
        <v>-7.8228696349262078E-2</v>
      </c>
    </row>
    <row r="474" spans="1:9">
      <c r="A474" s="90">
        <v>458</v>
      </c>
      <c r="B474" s="110">
        <v>1.1371083391474939</v>
      </c>
      <c r="C474" s="110">
        <v>1.063628078140231</v>
      </c>
      <c r="G474" s="90">
        <v>458</v>
      </c>
      <c r="H474" s="100">
        <v>-6.6802716126896658E-2</v>
      </c>
      <c r="I474" s="100">
        <v>-7.8207575751870526E-2</v>
      </c>
    </row>
    <row r="475" spans="1:9">
      <c r="A475" s="90">
        <v>459</v>
      </c>
      <c r="B475" s="110">
        <v>1.1095917522530387</v>
      </c>
      <c r="C475" s="110">
        <v>1.0508552715675163</v>
      </c>
      <c r="G475" s="90">
        <v>459</v>
      </c>
      <c r="H475" s="100">
        <v>-5.4387779951369834E-2</v>
      </c>
      <c r="I475" s="100">
        <v>-7.8198199063883658E-2</v>
      </c>
    </row>
    <row r="476" spans="1:9">
      <c r="A476" s="90">
        <v>460</v>
      </c>
      <c r="B476" s="110">
        <v>1.0995679409009755</v>
      </c>
      <c r="C476" s="110">
        <v>1.045105596199543</v>
      </c>
      <c r="G476" s="90">
        <v>460</v>
      </c>
      <c r="H476" s="100">
        <v>-5.0799392340103562E-2</v>
      </c>
      <c r="I476" s="100">
        <v>-7.8179988348872173E-2</v>
      </c>
    </row>
    <row r="477" spans="1:9">
      <c r="A477" s="90">
        <v>461</v>
      </c>
      <c r="B477" s="110">
        <v>1.0976295262422653</v>
      </c>
      <c r="C477" s="110">
        <v>1.0521950993236822</v>
      </c>
      <c r="G477" s="90">
        <v>461</v>
      </c>
      <c r="H477" s="100">
        <v>-4.227432560696736E-2</v>
      </c>
      <c r="I477" s="100">
        <v>-7.8129563616111189E-2</v>
      </c>
    </row>
    <row r="478" spans="1:9">
      <c r="A478" s="90">
        <v>462</v>
      </c>
      <c r="B478" s="110">
        <v>1.1155285736392426</v>
      </c>
      <c r="C478" s="110">
        <v>1.0480528969096838</v>
      </c>
      <c r="G478" s="90">
        <v>462</v>
      </c>
      <c r="H478" s="100">
        <v>-6.2394290882544522E-2</v>
      </c>
      <c r="I478" s="100">
        <v>-7.8118536717772982E-2</v>
      </c>
    </row>
    <row r="479" spans="1:9">
      <c r="A479" s="90">
        <v>463</v>
      </c>
      <c r="B479" s="110">
        <v>1.1329477986539622</v>
      </c>
      <c r="C479" s="110">
        <v>1.0236481492635847</v>
      </c>
      <c r="G479" s="90">
        <v>463</v>
      </c>
      <c r="H479" s="100">
        <v>-0.10145004408511804</v>
      </c>
      <c r="I479" s="100">
        <v>-7.8113627571374689E-2</v>
      </c>
    </row>
    <row r="480" spans="1:9">
      <c r="A480" s="90">
        <v>464</v>
      </c>
      <c r="B480" s="110">
        <v>1.1071164750851707</v>
      </c>
      <c r="C480" s="110">
        <v>1.0732378940039324</v>
      </c>
      <c r="G480" s="90">
        <v>464</v>
      </c>
      <c r="H480" s="100">
        <v>-3.1078716765863691E-2</v>
      </c>
      <c r="I480" s="100">
        <v>-7.8111909671436344E-2</v>
      </c>
    </row>
    <row r="481" spans="1:9">
      <c r="A481" s="90">
        <v>465</v>
      </c>
      <c r="B481" s="110">
        <v>1.1141232106956116</v>
      </c>
      <c r="C481" s="110">
        <v>1.0314199485471851</v>
      </c>
      <c r="G481" s="90">
        <v>465</v>
      </c>
      <c r="H481" s="100">
        <v>-7.7131293769660617E-2</v>
      </c>
      <c r="I481" s="100">
        <v>-7.8100682235808822E-2</v>
      </c>
    </row>
    <row r="482" spans="1:9">
      <c r="A482" s="90">
        <v>466</v>
      </c>
      <c r="B482" s="110">
        <v>1.1410036678495743</v>
      </c>
      <c r="C482" s="110">
        <v>1.0603499971418928</v>
      </c>
      <c r="G482" s="90">
        <v>466</v>
      </c>
      <c r="H482" s="100">
        <v>-7.3309245859363339E-2</v>
      </c>
      <c r="I482" s="100">
        <v>-7.8095997011308121E-2</v>
      </c>
    </row>
    <row r="483" spans="1:9">
      <c r="A483" s="90">
        <v>467</v>
      </c>
      <c r="B483" s="110">
        <v>1.1081864035833486</v>
      </c>
      <c r="C483" s="110">
        <v>1.0234746378996127</v>
      </c>
      <c r="G483" s="90">
        <v>467</v>
      </c>
      <c r="H483" s="100">
        <v>-7.9521462419768846E-2</v>
      </c>
      <c r="I483" s="100">
        <v>-7.8029132917714461E-2</v>
      </c>
    </row>
    <row r="484" spans="1:9">
      <c r="A484" s="90">
        <v>468</v>
      </c>
      <c r="B484" s="110">
        <v>1.1205267288977045</v>
      </c>
      <c r="C484" s="110">
        <v>1.0716892367933089</v>
      </c>
      <c r="G484" s="90">
        <v>468</v>
      </c>
      <c r="H484" s="100">
        <v>-4.4562738841206283E-2</v>
      </c>
      <c r="I484" s="100">
        <v>-7.8022974446071619E-2</v>
      </c>
    </row>
    <row r="485" spans="1:9">
      <c r="A485" s="90">
        <v>469</v>
      </c>
      <c r="B485" s="110">
        <v>1.1124666101538838</v>
      </c>
      <c r="C485" s="110">
        <v>1.0569384295882374</v>
      </c>
      <c r="G485" s="90">
        <v>469</v>
      </c>
      <c r="H485" s="100">
        <v>-5.1203266224570131E-2</v>
      </c>
      <c r="I485" s="100">
        <v>-7.7973777869509125E-2</v>
      </c>
    </row>
    <row r="486" spans="1:9">
      <c r="A486" s="90">
        <v>470</v>
      </c>
      <c r="B486" s="110">
        <v>1.1069048738304634</v>
      </c>
      <c r="C486" s="110">
        <v>1.0616322510575487</v>
      </c>
      <c r="G486" s="90">
        <v>470</v>
      </c>
      <c r="H486" s="100">
        <v>-4.1760135290755666E-2</v>
      </c>
      <c r="I486" s="100">
        <v>-7.7951915159404542E-2</v>
      </c>
    </row>
    <row r="487" spans="1:9">
      <c r="A487" s="90">
        <v>471</v>
      </c>
      <c r="B487" s="110">
        <v>1.1114673282106877</v>
      </c>
      <c r="C487" s="110">
        <v>1.0665289169898649</v>
      </c>
      <c r="G487" s="90">
        <v>471</v>
      </c>
      <c r="H487" s="100">
        <v>-4.127168719148433E-2</v>
      </c>
      <c r="I487" s="100">
        <v>-7.791948644905837E-2</v>
      </c>
    </row>
    <row r="488" spans="1:9">
      <c r="A488" s="90">
        <v>472</v>
      </c>
      <c r="B488" s="110">
        <v>1.1207226318477035</v>
      </c>
      <c r="C488" s="110">
        <v>1.0529378607476785</v>
      </c>
      <c r="G488" s="90">
        <v>472</v>
      </c>
      <c r="H488" s="100">
        <v>-6.2389464482378296E-2</v>
      </c>
      <c r="I488" s="100">
        <v>-7.79006885968202E-2</v>
      </c>
    </row>
    <row r="489" spans="1:9">
      <c r="A489" s="90">
        <v>473</v>
      </c>
      <c r="B489" s="110">
        <v>1.1224333031870575</v>
      </c>
      <c r="C489" s="110">
        <v>1.0545210650910286</v>
      </c>
      <c r="G489" s="90">
        <v>473</v>
      </c>
      <c r="H489" s="100">
        <v>-6.2412223657212135E-2</v>
      </c>
      <c r="I489" s="100">
        <v>-7.7891803846435431E-2</v>
      </c>
    </row>
    <row r="490" spans="1:9">
      <c r="A490" s="90">
        <v>474</v>
      </c>
      <c r="B490" s="110">
        <v>1.1362945791453443</v>
      </c>
      <c r="C490" s="110">
        <v>1.0680168559008985</v>
      </c>
      <c r="G490" s="90">
        <v>474</v>
      </c>
      <c r="H490" s="100">
        <v>-6.1969076218993432E-2</v>
      </c>
      <c r="I490" s="100">
        <v>-7.7883341087205543E-2</v>
      </c>
    </row>
    <row r="491" spans="1:9">
      <c r="A491" s="90">
        <v>475</v>
      </c>
      <c r="B491" s="110">
        <v>1.1102918544412859</v>
      </c>
      <c r="C491" s="110">
        <v>1.052544990424934</v>
      </c>
      <c r="G491" s="90">
        <v>475</v>
      </c>
      <c r="H491" s="100">
        <v>-5.3411880785014562E-2</v>
      </c>
      <c r="I491" s="100">
        <v>-7.7877660211551972E-2</v>
      </c>
    </row>
    <row r="492" spans="1:9">
      <c r="A492" s="90">
        <v>476</v>
      </c>
      <c r="B492" s="110">
        <v>1.1264271390165832</v>
      </c>
      <c r="C492" s="110">
        <v>1.052792660387589</v>
      </c>
      <c r="G492" s="90">
        <v>476</v>
      </c>
      <c r="H492" s="100">
        <v>-6.7604489670293824E-2</v>
      </c>
      <c r="I492" s="100">
        <v>-7.7848718753337709E-2</v>
      </c>
    </row>
    <row r="493" spans="1:9">
      <c r="A493" s="90">
        <v>477</v>
      </c>
      <c r="B493" s="110">
        <v>1.1220772968236745</v>
      </c>
      <c r="C493" s="110">
        <v>1.048456694793179</v>
      </c>
      <c r="G493" s="90">
        <v>477</v>
      </c>
      <c r="H493" s="100">
        <v>-6.7862428277439393E-2</v>
      </c>
      <c r="I493" s="100">
        <v>-7.7843193977293446E-2</v>
      </c>
    </row>
    <row r="494" spans="1:9">
      <c r="A494" s="90">
        <v>478</v>
      </c>
      <c r="B494" s="110">
        <v>1.1597265201416325</v>
      </c>
      <c r="C494" s="110">
        <v>1.0804050632291953</v>
      </c>
      <c r="G494" s="90">
        <v>478</v>
      </c>
      <c r="H494" s="100">
        <v>-7.0848189459472341E-2</v>
      </c>
      <c r="I494" s="100">
        <v>-7.7810664858728937E-2</v>
      </c>
    </row>
    <row r="495" spans="1:9">
      <c r="A495" s="90">
        <v>479</v>
      </c>
      <c r="B495" s="110">
        <v>1.084867748166884</v>
      </c>
      <c r="C495" s="110">
        <v>1.0751971867352828</v>
      </c>
      <c r="G495" s="90">
        <v>479</v>
      </c>
      <c r="H495" s="100">
        <v>-8.9540141929890359E-3</v>
      </c>
      <c r="I495" s="100">
        <v>-7.7801784222524623E-2</v>
      </c>
    </row>
    <row r="496" spans="1:9">
      <c r="A496" s="90">
        <v>480</v>
      </c>
      <c r="B496" s="110">
        <v>1.146403415900014</v>
      </c>
      <c r="C496" s="110">
        <v>1.0685593929178974</v>
      </c>
      <c r="G496" s="90">
        <v>480</v>
      </c>
      <c r="H496" s="100">
        <v>-7.0318197647391112E-2</v>
      </c>
      <c r="I496" s="100">
        <v>-7.7796435493142135E-2</v>
      </c>
    </row>
    <row r="497" spans="1:9">
      <c r="A497" s="90">
        <v>481</v>
      </c>
      <c r="B497" s="110">
        <v>1.106897362758295</v>
      </c>
      <c r="C497" s="110">
        <v>1.0694052511535823</v>
      </c>
      <c r="G497" s="90">
        <v>481</v>
      </c>
      <c r="H497" s="100">
        <v>-3.4458278965124628E-2</v>
      </c>
      <c r="I497" s="100">
        <v>-7.7770643751804022E-2</v>
      </c>
    </row>
    <row r="498" spans="1:9">
      <c r="A498" s="90">
        <v>482</v>
      </c>
      <c r="B498" s="110">
        <v>1.0957224027267325</v>
      </c>
      <c r="C498" s="110">
        <v>1.0411003823253442</v>
      </c>
      <c r="G498" s="90">
        <v>482</v>
      </c>
      <c r="H498" s="100">
        <v>-5.1135660530228604E-2</v>
      </c>
      <c r="I498" s="100">
        <v>-7.7752338231447393E-2</v>
      </c>
    </row>
    <row r="499" spans="1:9">
      <c r="A499" s="90">
        <v>483</v>
      </c>
      <c r="B499" s="110">
        <v>1.1286860450810527</v>
      </c>
      <c r="C499" s="110">
        <v>1.0697018689765971</v>
      </c>
      <c r="G499" s="90">
        <v>483</v>
      </c>
      <c r="H499" s="100">
        <v>-5.3674181668091396E-2</v>
      </c>
      <c r="I499" s="100">
        <v>-7.7749406786016328E-2</v>
      </c>
    </row>
    <row r="500" spans="1:9">
      <c r="A500" s="90">
        <v>484</v>
      </c>
      <c r="B500" s="110">
        <v>1.1513949406157722</v>
      </c>
      <c r="C500" s="110">
        <v>1.0459511579419158</v>
      </c>
      <c r="G500" s="90">
        <v>484</v>
      </c>
      <c r="H500" s="100">
        <v>-9.6047528710390837E-2</v>
      </c>
      <c r="I500" s="100">
        <v>-7.7737096831213062E-2</v>
      </c>
    </row>
    <row r="501" spans="1:9">
      <c r="A501" s="90">
        <v>485</v>
      </c>
      <c r="B501" s="110">
        <v>1.0951903422674572</v>
      </c>
      <c r="C501" s="110">
        <v>1.065412479301771</v>
      </c>
      <c r="G501" s="90">
        <v>485</v>
      </c>
      <c r="H501" s="100">
        <v>-2.7566148029724402E-2</v>
      </c>
      <c r="I501" s="100">
        <v>-7.7689729633088636E-2</v>
      </c>
    </row>
    <row r="502" spans="1:9">
      <c r="A502" s="90">
        <v>486</v>
      </c>
      <c r="B502" s="110">
        <v>1.0940409088368439</v>
      </c>
      <c r="C502" s="110">
        <v>1.0724885554854298</v>
      </c>
      <c r="G502" s="90">
        <v>486</v>
      </c>
      <c r="H502" s="100">
        <v>-1.989639623156951E-2</v>
      </c>
      <c r="I502" s="100">
        <v>-7.7668350729558258E-2</v>
      </c>
    </row>
    <row r="503" spans="1:9">
      <c r="A503" s="90">
        <v>487</v>
      </c>
      <c r="B503" s="110">
        <v>1.1110641398262402</v>
      </c>
      <c r="C503" s="110">
        <v>1.0527262808274442</v>
      </c>
      <c r="G503" s="90">
        <v>487</v>
      </c>
      <c r="H503" s="100">
        <v>-5.3934983481011167E-2</v>
      </c>
      <c r="I503" s="100">
        <v>-7.7651422358590225E-2</v>
      </c>
    </row>
    <row r="504" spans="1:9">
      <c r="A504" s="90">
        <v>488</v>
      </c>
      <c r="B504" s="110">
        <v>1.1189735006917136</v>
      </c>
      <c r="C504" s="110">
        <v>1.0594272339135264</v>
      </c>
      <c r="G504" s="90">
        <v>488</v>
      </c>
      <c r="H504" s="100">
        <v>-5.4683331088522573E-2</v>
      </c>
      <c r="I504" s="100">
        <v>-7.7639404645694063E-2</v>
      </c>
    </row>
    <row r="505" spans="1:9">
      <c r="A505" s="90">
        <v>489</v>
      </c>
      <c r="B505" s="110">
        <v>1.1501187029403899</v>
      </c>
      <c r="C505" s="110">
        <v>1.0404337379142985</v>
      </c>
      <c r="G505" s="90">
        <v>489</v>
      </c>
      <c r="H505" s="100">
        <v>-0.10022747509995497</v>
      </c>
      <c r="I505" s="100">
        <v>-7.7636138662025012E-2</v>
      </c>
    </row>
    <row r="506" spans="1:9">
      <c r="A506" s="90">
        <v>490</v>
      </c>
      <c r="B506" s="110">
        <v>1.1035414611573249</v>
      </c>
      <c r="C506" s="110">
        <v>1.056391481100494</v>
      </c>
      <c r="G506" s="90">
        <v>490</v>
      </c>
      <c r="H506" s="100">
        <v>-4.3665681098228264E-2</v>
      </c>
      <c r="I506" s="100">
        <v>-7.7634280310202905E-2</v>
      </c>
    </row>
    <row r="507" spans="1:9">
      <c r="A507" s="90">
        <v>491</v>
      </c>
      <c r="B507" s="110">
        <v>1.0879114196689659</v>
      </c>
      <c r="C507" s="110">
        <v>1.0457588544332133</v>
      </c>
      <c r="G507" s="90">
        <v>491</v>
      </c>
      <c r="H507" s="100">
        <v>-3.9516931004558054E-2</v>
      </c>
      <c r="I507" s="100">
        <v>-7.7617344337169852E-2</v>
      </c>
    </row>
    <row r="508" spans="1:9">
      <c r="A508" s="90">
        <v>492</v>
      </c>
      <c r="B508" s="110">
        <v>1.1087501275505693</v>
      </c>
      <c r="C508" s="110">
        <v>1.0661122734190482</v>
      </c>
      <c r="G508" s="90">
        <v>492</v>
      </c>
      <c r="H508" s="100">
        <v>-3.9214727327248428E-2</v>
      </c>
      <c r="I508" s="100">
        <v>-7.7601346205941238E-2</v>
      </c>
    </row>
    <row r="509" spans="1:9">
      <c r="A509" s="90">
        <v>493</v>
      </c>
      <c r="B509" s="110">
        <v>1.1153543316543537</v>
      </c>
      <c r="C509" s="110">
        <v>1.0508070304593518</v>
      </c>
      <c r="G509" s="90">
        <v>493</v>
      </c>
      <c r="H509" s="100">
        <v>-5.9613671280963537E-2</v>
      </c>
      <c r="I509" s="100">
        <v>-7.7601123329745336E-2</v>
      </c>
    </row>
    <row r="510" spans="1:9">
      <c r="A510" s="90">
        <v>494</v>
      </c>
      <c r="B510" s="110">
        <v>1.0876680453891543</v>
      </c>
      <c r="C510" s="110">
        <v>1.0531897813482636</v>
      </c>
      <c r="G510" s="90">
        <v>494</v>
      </c>
      <c r="H510" s="100">
        <v>-3.2212550425658598E-2</v>
      </c>
      <c r="I510" s="100">
        <v>-7.7600879580671439E-2</v>
      </c>
    </row>
    <row r="511" spans="1:9">
      <c r="A511" s="90">
        <v>495</v>
      </c>
      <c r="B511" s="110">
        <v>1.1142169792508159</v>
      </c>
      <c r="C511" s="110">
        <v>1.0204254057307198</v>
      </c>
      <c r="G511" s="90">
        <v>495</v>
      </c>
      <c r="H511" s="100">
        <v>-8.7932292659026037E-2</v>
      </c>
      <c r="I511" s="100">
        <v>-7.7575750937636537E-2</v>
      </c>
    </row>
    <row r="512" spans="1:9">
      <c r="A512" s="90">
        <v>496</v>
      </c>
      <c r="B512" s="110">
        <v>1.1107811835142054</v>
      </c>
      <c r="C512" s="110">
        <v>1.0452058555968575</v>
      </c>
      <c r="G512" s="90">
        <v>496</v>
      </c>
      <c r="H512" s="100">
        <v>-6.0849679708361346E-2</v>
      </c>
      <c r="I512" s="100">
        <v>-7.7563127262730888E-2</v>
      </c>
    </row>
    <row r="513" spans="1:9">
      <c r="A513" s="90">
        <v>497</v>
      </c>
      <c r="B513" s="110">
        <v>1.1523639579441902</v>
      </c>
      <c r="C513" s="110">
        <v>1.0335375422291786</v>
      </c>
      <c r="G513" s="90">
        <v>497</v>
      </c>
      <c r="H513" s="100">
        <v>-0.1088280232814231</v>
      </c>
      <c r="I513" s="100">
        <v>-7.7560414989945231E-2</v>
      </c>
    </row>
    <row r="514" spans="1:9">
      <c r="A514" s="90">
        <v>498</v>
      </c>
      <c r="B514" s="110">
        <v>1.1321526605496626</v>
      </c>
      <c r="C514" s="110">
        <v>1.0382836212335518</v>
      </c>
      <c r="G514" s="90">
        <v>498</v>
      </c>
      <c r="H514" s="100">
        <v>-8.6551844227570188E-2</v>
      </c>
      <c r="I514" s="100">
        <v>-7.754597459325456E-2</v>
      </c>
    </row>
    <row r="515" spans="1:9">
      <c r="A515" s="90">
        <v>499</v>
      </c>
      <c r="B515" s="110">
        <v>1.1518117231831182</v>
      </c>
      <c r="C515" s="110">
        <v>1.0687331190996769</v>
      </c>
      <c r="G515" s="90">
        <v>499</v>
      </c>
      <c r="H515" s="100">
        <v>-7.4862168030274567E-2</v>
      </c>
      <c r="I515" s="100">
        <v>-7.7498574561023645E-2</v>
      </c>
    </row>
    <row r="516" spans="1:9">
      <c r="A516" s="90">
        <v>500</v>
      </c>
      <c r="B516" s="110">
        <v>1.115048302477168</v>
      </c>
      <c r="C516" s="110">
        <v>1.0368870715430982</v>
      </c>
      <c r="G516" s="90">
        <v>500</v>
      </c>
      <c r="H516" s="100">
        <v>-7.2674700450637383E-2</v>
      </c>
      <c r="I516" s="100">
        <v>-7.749476699358851E-2</v>
      </c>
    </row>
    <row r="517" spans="1:9">
      <c r="A517" s="90">
        <v>501</v>
      </c>
      <c r="B517" s="110">
        <v>1.0961299582492483</v>
      </c>
      <c r="C517" s="110">
        <v>1.0452529523943472</v>
      </c>
      <c r="G517" s="90">
        <v>501</v>
      </c>
      <c r="H517" s="100">
        <v>-4.7526840708733975E-2</v>
      </c>
      <c r="I517" s="100">
        <v>-7.747954341692069E-2</v>
      </c>
    </row>
    <row r="518" spans="1:9">
      <c r="A518" s="90">
        <v>502</v>
      </c>
      <c r="B518" s="110">
        <v>1.0921690279395095</v>
      </c>
      <c r="C518" s="110">
        <v>1.0551473220956558</v>
      </c>
      <c r="G518" s="90">
        <v>502</v>
      </c>
      <c r="H518" s="100">
        <v>-3.4485253858907307E-2</v>
      </c>
      <c r="I518" s="100">
        <v>-7.7468578834978499E-2</v>
      </c>
    </row>
    <row r="519" spans="1:9">
      <c r="A519" s="90">
        <v>503</v>
      </c>
      <c r="B519" s="110">
        <v>1.1221674895625904</v>
      </c>
      <c r="C519" s="110">
        <v>1.0585304232994808</v>
      </c>
      <c r="G519" s="90">
        <v>503</v>
      </c>
      <c r="H519" s="100">
        <v>-5.838052056655247E-2</v>
      </c>
      <c r="I519" s="100">
        <v>-7.744929909813339E-2</v>
      </c>
    </row>
    <row r="520" spans="1:9">
      <c r="A520" s="90">
        <v>504</v>
      </c>
      <c r="B520" s="110">
        <v>1.1303913131692258</v>
      </c>
      <c r="C520" s="110">
        <v>1.0574564262413728</v>
      </c>
      <c r="G520" s="90">
        <v>504</v>
      </c>
      <c r="H520" s="100">
        <v>-6.6697441028569532E-2</v>
      </c>
      <c r="I520" s="100">
        <v>-7.7418528437600567E-2</v>
      </c>
    </row>
    <row r="521" spans="1:9">
      <c r="A521" s="90">
        <v>505</v>
      </c>
      <c r="B521" s="110">
        <v>1.1072938179627614</v>
      </c>
      <c r="C521" s="110">
        <v>1.0546834165856462</v>
      </c>
      <c r="G521" s="90">
        <v>505</v>
      </c>
      <c r="H521" s="100">
        <v>-4.8678393893633959E-2</v>
      </c>
      <c r="I521" s="100">
        <v>-7.7374089658730633E-2</v>
      </c>
    </row>
    <row r="522" spans="1:9">
      <c r="A522" s="90">
        <v>506</v>
      </c>
      <c r="B522" s="110">
        <v>1.1044616779970959</v>
      </c>
      <c r="C522" s="110">
        <v>1.059021116250987</v>
      </c>
      <c r="G522" s="90">
        <v>506</v>
      </c>
      <c r="H522" s="100">
        <v>-4.2013040807727178E-2</v>
      </c>
      <c r="I522" s="100">
        <v>-7.7338020688170583E-2</v>
      </c>
    </row>
    <row r="523" spans="1:9">
      <c r="A523" s="90">
        <v>507</v>
      </c>
      <c r="B523" s="110">
        <v>1.131016621527476</v>
      </c>
      <c r="C523" s="110">
        <v>1.0428215838013848</v>
      </c>
      <c r="G523" s="90">
        <v>507</v>
      </c>
      <c r="H523" s="100">
        <v>-8.118679254376733E-2</v>
      </c>
      <c r="I523" s="100">
        <v>-7.7335540198376934E-2</v>
      </c>
    </row>
    <row r="524" spans="1:9">
      <c r="A524" s="90">
        <v>508</v>
      </c>
      <c r="B524" s="110">
        <v>1.0947122756457974</v>
      </c>
      <c r="C524" s="110">
        <v>1.0638889201693638</v>
      </c>
      <c r="G524" s="90">
        <v>508</v>
      </c>
      <c r="H524" s="100">
        <v>-2.8560579640678801E-2</v>
      </c>
      <c r="I524" s="100">
        <v>-7.7329896143717991E-2</v>
      </c>
    </row>
    <row r="525" spans="1:9">
      <c r="A525" s="90">
        <v>509</v>
      </c>
      <c r="B525" s="110">
        <v>1.0812013380933567</v>
      </c>
      <c r="C525" s="110">
        <v>1.0673348516876637</v>
      </c>
      <c r="G525" s="90">
        <v>509</v>
      </c>
      <c r="H525" s="100">
        <v>-1.290802454612751E-2</v>
      </c>
      <c r="I525" s="100">
        <v>-7.7232439434643113E-2</v>
      </c>
    </row>
    <row r="526" spans="1:9">
      <c r="A526" s="90">
        <v>510</v>
      </c>
      <c r="B526" s="110">
        <v>1.1249204387850602</v>
      </c>
      <c r="C526" s="110">
        <v>1.0496036218012077</v>
      </c>
      <c r="G526" s="90">
        <v>510</v>
      </c>
      <c r="H526" s="100">
        <v>-6.9299722224832883E-2</v>
      </c>
      <c r="I526" s="100">
        <v>-7.716709591811613E-2</v>
      </c>
    </row>
    <row r="527" spans="1:9">
      <c r="A527" s="90">
        <v>511</v>
      </c>
      <c r="B527" s="110">
        <v>1.1129871197397077</v>
      </c>
      <c r="C527" s="110">
        <v>1.0511620456480015</v>
      </c>
      <c r="G527" s="90">
        <v>511</v>
      </c>
      <c r="H527" s="100">
        <v>-5.7151237307357008E-2</v>
      </c>
      <c r="I527" s="100">
        <v>-7.7145656191969642E-2</v>
      </c>
    </row>
    <row r="528" spans="1:9">
      <c r="A528" s="90">
        <v>512</v>
      </c>
      <c r="B528" s="110">
        <v>1.1218056508616532</v>
      </c>
      <c r="C528" s="110">
        <v>1.0431020794824359</v>
      </c>
      <c r="G528" s="90">
        <v>512</v>
      </c>
      <c r="H528" s="100">
        <v>-7.2740533138114141E-2</v>
      </c>
      <c r="I528" s="100">
        <v>-7.7131293769660617E-2</v>
      </c>
    </row>
    <row r="529" spans="1:9">
      <c r="A529" s="90">
        <v>513</v>
      </c>
      <c r="B529" s="110">
        <v>1.0990508869014486</v>
      </c>
      <c r="C529" s="110">
        <v>1.0578172890859161</v>
      </c>
      <c r="G529" s="90">
        <v>513</v>
      </c>
      <c r="H529" s="100">
        <v>-3.8239353365708002E-2</v>
      </c>
      <c r="I529" s="100">
        <v>-7.7075735612528118E-2</v>
      </c>
    </row>
    <row r="530" spans="1:9">
      <c r="A530" s="90">
        <v>514</v>
      </c>
      <c r="B530" s="110">
        <v>1.0941825880004483</v>
      </c>
      <c r="C530" s="110">
        <v>1.0512700094377903</v>
      </c>
      <c r="G530" s="90">
        <v>514</v>
      </c>
      <c r="H530" s="100">
        <v>-4.0008623453754256E-2</v>
      </c>
      <c r="I530" s="100">
        <v>-7.706206499833694E-2</v>
      </c>
    </row>
    <row r="531" spans="1:9">
      <c r="A531" s="90">
        <v>515</v>
      </c>
      <c r="B531" s="110">
        <v>1.0953884891187526</v>
      </c>
      <c r="C531" s="110">
        <v>1.0752214204465851</v>
      </c>
      <c r="G531" s="90">
        <v>515</v>
      </c>
      <c r="H531" s="100">
        <v>-1.8582472051978903E-2</v>
      </c>
      <c r="I531" s="100">
        <v>-7.7035554640390705E-2</v>
      </c>
    </row>
    <row r="532" spans="1:9">
      <c r="A532" s="90">
        <v>516</v>
      </c>
      <c r="B532" s="110">
        <v>1.1182036276725016</v>
      </c>
      <c r="C532" s="110">
        <v>1.0431895287474966</v>
      </c>
      <c r="G532" s="90">
        <v>516</v>
      </c>
      <c r="H532" s="100">
        <v>-6.9440619299497075E-2</v>
      </c>
      <c r="I532" s="100">
        <v>-7.7023685302852057E-2</v>
      </c>
    </row>
    <row r="533" spans="1:9">
      <c r="A533" s="90">
        <v>517</v>
      </c>
      <c r="B533" s="110">
        <v>1.0879815366270593</v>
      </c>
      <c r="C533" s="110">
        <v>1.0600327294609608</v>
      </c>
      <c r="G533" s="90">
        <v>517</v>
      </c>
      <c r="H533" s="100">
        <v>-2.602439378060584E-2</v>
      </c>
      <c r="I533" s="100">
        <v>-7.7011831919592558E-2</v>
      </c>
    </row>
    <row r="534" spans="1:9">
      <c r="A534" s="90">
        <v>518</v>
      </c>
      <c r="B534" s="110">
        <v>1.1370372492206009</v>
      </c>
      <c r="C534" s="110">
        <v>1.0427011798587353</v>
      </c>
      <c r="G534" s="90">
        <v>518</v>
      </c>
      <c r="H534" s="100">
        <v>-8.6611340845090395E-2</v>
      </c>
      <c r="I534" s="100">
        <v>-7.7009214102756809E-2</v>
      </c>
    </row>
    <row r="535" spans="1:9">
      <c r="A535" s="90">
        <v>519</v>
      </c>
      <c r="B535" s="110">
        <v>1.1183655600223692</v>
      </c>
      <c r="C535" s="110">
        <v>1.0616728332085597</v>
      </c>
      <c r="G535" s="90">
        <v>519</v>
      </c>
      <c r="H535" s="100">
        <v>-5.202248935299008E-2</v>
      </c>
      <c r="I535" s="100">
        <v>-7.6959047014428086E-2</v>
      </c>
    </row>
    <row r="536" spans="1:9">
      <c r="A536" s="90">
        <v>520</v>
      </c>
      <c r="B536" s="110">
        <v>1.0981518896091136</v>
      </c>
      <c r="C536" s="110">
        <v>1.0452087777194681</v>
      </c>
      <c r="G536" s="90">
        <v>520</v>
      </c>
      <c r="H536" s="100">
        <v>-4.9412013744241402E-2</v>
      </c>
      <c r="I536" s="100">
        <v>-7.695693756007406E-2</v>
      </c>
    </row>
    <row r="537" spans="1:9">
      <c r="A537" s="90">
        <v>521</v>
      </c>
      <c r="B537" s="110">
        <v>1.1145914805775941</v>
      </c>
      <c r="C537" s="110">
        <v>1.0660077536364756</v>
      </c>
      <c r="G537" s="90">
        <v>521</v>
      </c>
      <c r="H537" s="100">
        <v>-4.4567353347064187E-2</v>
      </c>
      <c r="I537" s="100">
        <v>-7.6934362647771801E-2</v>
      </c>
    </row>
    <row r="538" spans="1:9">
      <c r="A538" s="90">
        <v>522</v>
      </c>
      <c r="B538" s="110">
        <v>1.1056710940189975</v>
      </c>
      <c r="C538" s="110">
        <v>1.0494159978730759</v>
      </c>
      <c r="G538" s="90">
        <v>522</v>
      </c>
      <c r="H538" s="100">
        <v>-5.2218658591478659E-2</v>
      </c>
      <c r="I538" s="100">
        <v>-7.693124589511037E-2</v>
      </c>
    </row>
    <row r="539" spans="1:9">
      <c r="A539" s="90">
        <v>523</v>
      </c>
      <c r="B539" s="110">
        <v>1.0991054049742528</v>
      </c>
      <c r="C539" s="110">
        <v>1.032133283401552</v>
      </c>
      <c r="G539" s="90">
        <v>523</v>
      </c>
      <c r="H539" s="100">
        <v>-6.2868771414052227E-2</v>
      </c>
      <c r="I539" s="100">
        <v>-7.6924696020318539E-2</v>
      </c>
    </row>
    <row r="540" spans="1:9">
      <c r="A540" s="90">
        <v>524</v>
      </c>
      <c r="B540" s="110">
        <v>1.1048825269906004</v>
      </c>
      <c r="C540" s="110">
        <v>1.0361501109705238</v>
      </c>
      <c r="G540" s="90">
        <v>524</v>
      </c>
      <c r="H540" s="100">
        <v>-6.4226990802364742E-2</v>
      </c>
      <c r="I540" s="100">
        <v>-7.6890956031072419E-2</v>
      </c>
    </row>
    <row r="541" spans="1:9">
      <c r="A541" s="90">
        <v>525</v>
      </c>
      <c r="B541" s="110">
        <v>1.0589211659365212</v>
      </c>
      <c r="C541" s="110">
        <v>1.0483146633770046</v>
      </c>
      <c r="G541" s="90">
        <v>525</v>
      </c>
      <c r="H541" s="100">
        <v>-1.0066829715658374E-2</v>
      </c>
      <c r="I541" s="100">
        <v>-7.6890692635181584E-2</v>
      </c>
    </row>
    <row r="542" spans="1:9">
      <c r="A542" s="90">
        <v>526</v>
      </c>
      <c r="B542" s="110">
        <v>1.1195803664768891</v>
      </c>
      <c r="C542" s="110">
        <v>1.059006245870886</v>
      </c>
      <c r="G542" s="90">
        <v>526</v>
      </c>
      <c r="H542" s="100">
        <v>-5.5622977814171623E-2</v>
      </c>
      <c r="I542" s="100">
        <v>-7.6884688060753395E-2</v>
      </c>
    </row>
    <row r="543" spans="1:9">
      <c r="A543" s="90">
        <v>527</v>
      </c>
      <c r="B543" s="110">
        <v>1.1172628041934931</v>
      </c>
      <c r="C543" s="110">
        <v>1.0470489195741171</v>
      </c>
      <c r="G543" s="90">
        <v>527</v>
      </c>
      <c r="H543" s="100">
        <v>-6.4906114857502598E-2</v>
      </c>
      <c r="I543" s="100">
        <v>-7.68441725256028E-2</v>
      </c>
    </row>
    <row r="544" spans="1:9">
      <c r="A544" s="90">
        <v>528</v>
      </c>
      <c r="B544" s="110">
        <v>1.138657074511414</v>
      </c>
      <c r="C544" s="110">
        <v>1.0596159742886537</v>
      </c>
      <c r="G544" s="90">
        <v>528</v>
      </c>
      <c r="H544" s="100">
        <v>-7.1943009124051868E-2</v>
      </c>
      <c r="I544" s="100">
        <v>-7.6777213180460241E-2</v>
      </c>
    </row>
    <row r="545" spans="1:9">
      <c r="A545" s="90">
        <v>529</v>
      </c>
      <c r="B545" s="110">
        <v>1.123366872510059</v>
      </c>
      <c r="C545" s="110">
        <v>1.0352111916584008</v>
      </c>
      <c r="G545" s="90">
        <v>529</v>
      </c>
      <c r="H545" s="100">
        <v>-8.1724856270855573E-2</v>
      </c>
      <c r="I545" s="100">
        <v>-7.6723264278423881E-2</v>
      </c>
    </row>
    <row r="546" spans="1:9">
      <c r="A546" s="90">
        <v>530</v>
      </c>
      <c r="B546" s="110">
        <v>1.1308485859989366</v>
      </c>
      <c r="C546" s="110">
        <v>1.0486544353760014</v>
      </c>
      <c r="G546" s="90">
        <v>530</v>
      </c>
      <c r="H546" s="100">
        <v>-7.546045971437737E-2</v>
      </c>
      <c r="I546" s="100">
        <v>-7.6718160557979198E-2</v>
      </c>
    </row>
    <row r="547" spans="1:9">
      <c r="A547" s="90">
        <v>531</v>
      </c>
      <c r="B547" s="110">
        <v>1.119599766630776</v>
      </c>
      <c r="C547" s="110">
        <v>1.0534984264006726</v>
      </c>
      <c r="G547" s="90">
        <v>531</v>
      </c>
      <c r="H547" s="100">
        <v>-6.0854809645396336E-2</v>
      </c>
      <c r="I547" s="100">
        <v>-7.6682834454936108E-2</v>
      </c>
    </row>
    <row r="548" spans="1:9">
      <c r="A548" s="90">
        <v>532</v>
      </c>
      <c r="B548" s="110">
        <v>1.0862884612388228</v>
      </c>
      <c r="C548" s="110">
        <v>1.0375078726874762</v>
      </c>
      <c r="G548" s="90">
        <v>532</v>
      </c>
      <c r="H548" s="100">
        <v>-4.5945243098702807E-2</v>
      </c>
      <c r="I548" s="100">
        <v>-7.6663138777789408E-2</v>
      </c>
    </row>
    <row r="549" spans="1:9">
      <c r="A549" s="90">
        <v>533</v>
      </c>
      <c r="B549" s="110">
        <v>1.1093822142630154</v>
      </c>
      <c r="C549" s="110">
        <v>1.0461905088622236</v>
      </c>
      <c r="G549" s="90">
        <v>533</v>
      </c>
      <c r="H549" s="100">
        <v>-5.86478167557982E-2</v>
      </c>
      <c r="I549" s="100">
        <v>-7.6643231501111006E-2</v>
      </c>
    </row>
    <row r="550" spans="1:9">
      <c r="A550" s="90">
        <v>534</v>
      </c>
      <c r="B550" s="110">
        <v>1.1060643115202529</v>
      </c>
      <c r="C550" s="110">
        <v>1.0450832052676615</v>
      </c>
      <c r="G550" s="90">
        <v>534</v>
      </c>
      <c r="H550" s="100">
        <v>-5.6711544745157619E-2</v>
      </c>
      <c r="I550" s="100">
        <v>-7.6581697742285612E-2</v>
      </c>
    </row>
    <row r="551" spans="1:9">
      <c r="A551" s="90">
        <v>535</v>
      </c>
      <c r="B551" s="110">
        <v>1.071867804643956</v>
      </c>
      <c r="C551" s="110">
        <v>1.0687239519527874</v>
      </c>
      <c r="G551" s="90">
        <v>535</v>
      </c>
      <c r="H551" s="100">
        <v>-2.9373699510401156E-3</v>
      </c>
      <c r="I551" s="100">
        <v>-7.6578723498790344E-2</v>
      </c>
    </row>
    <row r="552" spans="1:9">
      <c r="A552" s="90">
        <v>536</v>
      </c>
      <c r="B552" s="110">
        <v>1.1156429337401998</v>
      </c>
      <c r="C552" s="110">
        <v>1.0501342076417017</v>
      </c>
      <c r="G552" s="90">
        <v>536</v>
      </c>
      <c r="H552" s="100">
        <v>-6.0512888114726673E-2</v>
      </c>
      <c r="I552" s="100">
        <v>-7.6566730865605254E-2</v>
      </c>
    </row>
    <row r="553" spans="1:9">
      <c r="A553" s="90">
        <v>537</v>
      </c>
      <c r="B553" s="110">
        <v>1.1145933787859905</v>
      </c>
      <c r="C553" s="110">
        <v>1.0582826459195844</v>
      </c>
      <c r="G553" s="90">
        <v>537</v>
      </c>
      <c r="H553" s="100">
        <v>-5.1842206785707369E-2</v>
      </c>
      <c r="I553" s="100">
        <v>-7.6546042892589941E-2</v>
      </c>
    </row>
    <row r="554" spans="1:9">
      <c r="A554" s="90">
        <v>538</v>
      </c>
      <c r="B554" s="110">
        <v>1.1143902806148596</v>
      </c>
      <c r="C554" s="110">
        <v>1.0590231495956175</v>
      </c>
      <c r="G554" s="90">
        <v>538</v>
      </c>
      <c r="H554" s="100">
        <v>-5.0960495570817839E-2</v>
      </c>
      <c r="I554" s="100">
        <v>-7.6543224830667431E-2</v>
      </c>
    </row>
    <row r="555" spans="1:9">
      <c r="A555" s="90">
        <v>539</v>
      </c>
      <c r="B555" s="110">
        <v>1.1247564189355714</v>
      </c>
      <c r="C555" s="110">
        <v>1.0627811801437885</v>
      </c>
      <c r="G555" s="90">
        <v>539</v>
      </c>
      <c r="H555" s="100">
        <v>-5.6677268770846084E-2</v>
      </c>
      <c r="I555" s="100">
        <v>-7.6514570701094686E-2</v>
      </c>
    </row>
    <row r="556" spans="1:9">
      <c r="A556" s="90">
        <v>540</v>
      </c>
      <c r="B556" s="110">
        <v>1.1154955945216483</v>
      </c>
      <c r="C556" s="110">
        <v>1.0668436969493695</v>
      </c>
      <c r="G556" s="90">
        <v>540</v>
      </c>
      <c r="H556" s="100">
        <v>-4.459431229520066E-2</v>
      </c>
      <c r="I556" s="100">
        <v>-7.6507228104000014E-2</v>
      </c>
    </row>
    <row r="557" spans="1:9">
      <c r="A557" s="90">
        <v>541</v>
      </c>
      <c r="B557" s="110">
        <v>1.144007638317732</v>
      </c>
      <c r="C557" s="110">
        <v>1.034417894486261</v>
      </c>
      <c r="G557" s="90">
        <v>541</v>
      </c>
      <c r="H557" s="100">
        <v>-0.10069872207326581</v>
      </c>
      <c r="I557" s="100">
        <v>-7.6499787068283878E-2</v>
      </c>
    </row>
    <row r="558" spans="1:9">
      <c r="A558" s="90">
        <v>542</v>
      </c>
      <c r="B558" s="110">
        <v>1.103592526819233</v>
      </c>
      <c r="C558" s="110">
        <v>1.0357824425787325</v>
      </c>
      <c r="G558" s="90">
        <v>542</v>
      </c>
      <c r="H558" s="100">
        <v>-6.3413667425245873E-2</v>
      </c>
      <c r="I558" s="100">
        <v>-7.6441674255058073E-2</v>
      </c>
    </row>
    <row r="559" spans="1:9">
      <c r="A559" s="90">
        <v>543</v>
      </c>
      <c r="B559" s="110">
        <v>1.1216822907548629</v>
      </c>
      <c r="C559" s="110">
        <v>1.0419580675919096</v>
      </c>
      <c r="G559" s="90">
        <v>543</v>
      </c>
      <c r="H559" s="100">
        <v>-7.3727903394932445E-2</v>
      </c>
      <c r="I559" s="100">
        <v>-7.6432767200213192E-2</v>
      </c>
    </row>
    <row r="560" spans="1:9">
      <c r="A560" s="90">
        <v>544</v>
      </c>
      <c r="B560" s="110">
        <v>1.0995347684668666</v>
      </c>
      <c r="C560" s="110">
        <v>1.0745431867490898</v>
      </c>
      <c r="G560" s="90">
        <v>544</v>
      </c>
      <c r="H560" s="100">
        <v>-2.2991523876567343E-2</v>
      </c>
      <c r="I560" s="100">
        <v>-7.643147713442823E-2</v>
      </c>
    </row>
    <row r="561" spans="1:9">
      <c r="A561" s="90">
        <v>545</v>
      </c>
      <c r="B561" s="110">
        <v>1.1107658040961084</v>
      </c>
      <c r="C561" s="110">
        <v>1.0482947439065839</v>
      </c>
      <c r="G561" s="90">
        <v>545</v>
      </c>
      <c r="H561" s="100">
        <v>-5.7884900500567993E-2</v>
      </c>
      <c r="I561" s="100">
        <v>-7.638987574750318E-2</v>
      </c>
    </row>
    <row r="562" spans="1:9">
      <c r="A562" s="90">
        <v>546</v>
      </c>
      <c r="B562" s="110">
        <v>1.0538985372139149</v>
      </c>
      <c r="C562" s="110">
        <v>1.0564017979759581</v>
      </c>
      <c r="G562" s="90">
        <v>546</v>
      </c>
      <c r="H562" s="100">
        <v>2.3724224409301946E-3</v>
      </c>
      <c r="I562" s="100">
        <v>-7.6361203741014363E-2</v>
      </c>
    </row>
    <row r="563" spans="1:9">
      <c r="A563" s="90">
        <v>547</v>
      </c>
      <c r="B563" s="110">
        <v>1.1201976147517239</v>
      </c>
      <c r="C563" s="110">
        <v>1.0352157529275652</v>
      </c>
      <c r="G563" s="90">
        <v>547</v>
      </c>
      <c r="H563" s="100">
        <v>-7.8895249557550118E-2</v>
      </c>
      <c r="I563" s="100">
        <v>-7.6295563800345384E-2</v>
      </c>
    </row>
    <row r="564" spans="1:9">
      <c r="A564" s="90">
        <v>548</v>
      </c>
      <c r="B564" s="110">
        <v>1.1122567104621213</v>
      </c>
      <c r="C564" s="110">
        <v>1.0654197096402769</v>
      </c>
      <c r="G564" s="90">
        <v>548</v>
      </c>
      <c r="H564" s="100">
        <v>-4.3022208831797276E-2</v>
      </c>
      <c r="I564" s="100">
        <v>-7.6246545086040174E-2</v>
      </c>
    </row>
    <row r="565" spans="1:9">
      <c r="A565" s="90">
        <v>549</v>
      </c>
      <c r="B565" s="110">
        <v>1.0973762996100624</v>
      </c>
      <c r="C565" s="110">
        <v>1.0671885098149043</v>
      </c>
      <c r="G565" s="90">
        <v>549</v>
      </c>
      <c r="H565" s="100">
        <v>-2.7894519097307155E-2</v>
      </c>
      <c r="I565" s="100">
        <v>-7.6233984198926713E-2</v>
      </c>
    </row>
    <row r="566" spans="1:9">
      <c r="A566" s="90">
        <v>550</v>
      </c>
      <c r="B566" s="110">
        <v>1.1108777408997896</v>
      </c>
      <c r="C566" s="110">
        <v>1.0251125844074203</v>
      </c>
      <c r="G566" s="90">
        <v>550</v>
      </c>
      <c r="H566" s="100">
        <v>-8.0348015402742876E-2</v>
      </c>
      <c r="I566" s="100">
        <v>-7.6207529112678696E-2</v>
      </c>
    </row>
    <row r="567" spans="1:9">
      <c r="A567" s="90">
        <v>551</v>
      </c>
      <c r="B567" s="110">
        <v>1.0896793709033969</v>
      </c>
      <c r="C567" s="110">
        <v>1.026678964139411</v>
      </c>
      <c r="G567" s="90">
        <v>551</v>
      </c>
      <c r="H567" s="100">
        <v>-5.955421153094162E-2</v>
      </c>
      <c r="I567" s="100">
        <v>-7.6199768495743503E-2</v>
      </c>
    </row>
    <row r="568" spans="1:9">
      <c r="A568" s="90">
        <v>552</v>
      </c>
      <c r="B568" s="110">
        <v>1.1116896771233273</v>
      </c>
      <c r="C568" s="110">
        <v>1.0463343314829865</v>
      </c>
      <c r="G568" s="90">
        <v>552</v>
      </c>
      <c r="H568" s="100">
        <v>-6.0588146405495626E-2</v>
      </c>
      <c r="I568" s="100">
        <v>-7.6193879496229383E-2</v>
      </c>
    </row>
    <row r="569" spans="1:9">
      <c r="A569" s="90">
        <v>553</v>
      </c>
      <c r="B569" s="110">
        <v>1.1459769975962839</v>
      </c>
      <c r="C569" s="110">
        <v>1.0579378220090223</v>
      </c>
      <c r="G569" s="90">
        <v>553</v>
      </c>
      <c r="H569" s="100">
        <v>-7.9935983844126118E-2</v>
      </c>
      <c r="I569" s="100">
        <v>-7.6160462814681529E-2</v>
      </c>
    </row>
    <row r="570" spans="1:9">
      <c r="A570" s="90">
        <v>554</v>
      </c>
      <c r="B570" s="110">
        <v>1.1294801430468324</v>
      </c>
      <c r="C570" s="110">
        <v>1.0458948015016019</v>
      </c>
      <c r="G570" s="90">
        <v>554</v>
      </c>
      <c r="H570" s="100">
        <v>-7.6884688060753395E-2</v>
      </c>
      <c r="I570" s="100">
        <v>-7.613715924502687E-2</v>
      </c>
    </row>
    <row r="571" spans="1:9">
      <c r="A571" s="90">
        <v>555</v>
      </c>
      <c r="B571" s="110">
        <v>1.1411375698431732</v>
      </c>
      <c r="C571" s="110">
        <v>1.0812345602113531</v>
      </c>
      <c r="G571" s="90">
        <v>555</v>
      </c>
      <c r="H571" s="100">
        <v>-5.3922133561609242E-2</v>
      </c>
      <c r="I571" s="100">
        <v>-7.6108487979930653E-2</v>
      </c>
    </row>
    <row r="572" spans="1:9">
      <c r="A572" s="90">
        <v>556</v>
      </c>
      <c r="B572" s="110">
        <v>1.1354550857566259</v>
      </c>
      <c r="C572" s="110">
        <v>1.05553933900564</v>
      </c>
      <c r="G572" s="90">
        <v>556</v>
      </c>
      <c r="H572" s="100">
        <v>-7.2981669080536035E-2</v>
      </c>
      <c r="I572" s="100">
        <v>-7.6073408623956423E-2</v>
      </c>
    </row>
    <row r="573" spans="1:9">
      <c r="A573" s="90">
        <v>557</v>
      </c>
      <c r="B573" s="110">
        <v>1.1388917885608918</v>
      </c>
      <c r="C573" s="110">
        <v>1.0534101883077982</v>
      </c>
      <c r="G573" s="90">
        <v>557</v>
      </c>
      <c r="H573" s="100">
        <v>-7.8022974446071619E-2</v>
      </c>
      <c r="I573" s="100">
        <v>-7.6061590662064402E-2</v>
      </c>
    </row>
    <row r="574" spans="1:9">
      <c r="A574" s="90">
        <v>558</v>
      </c>
      <c r="B574" s="110">
        <v>1.0833396401315771</v>
      </c>
      <c r="C574" s="110">
        <v>1.0560506999864852</v>
      </c>
      <c r="G574" s="90">
        <v>558</v>
      </c>
      <c r="H574" s="100">
        <v>-2.5512333834108027E-2</v>
      </c>
      <c r="I574" s="100">
        <v>-7.6058685671149776E-2</v>
      </c>
    </row>
    <row r="575" spans="1:9">
      <c r="A575" s="90">
        <v>559</v>
      </c>
      <c r="B575" s="110">
        <v>1.1131906437345602</v>
      </c>
      <c r="C575" s="110">
        <v>1.0387762071046782</v>
      </c>
      <c r="G575" s="90">
        <v>559</v>
      </c>
      <c r="H575" s="100">
        <v>-6.9187049464226325E-2</v>
      </c>
      <c r="I575" s="100">
        <v>-7.6044357353981296E-2</v>
      </c>
    </row>
    <row r="576" spans="1:9">
      <c r="A576" s="90">
        <v>560</v>
      </c>
      <c r="B576" s="110">
        <v>1.0960049919560784</v>
      </c>
      <c r="C576" s="110">
        <v>1.0534972812804155</v>
      </c>
      <c r="G576" s="90">
        <v>560</v>
      </c>
      <c r="H576" s="100">
        <v>-3.9556369615690624E-2</v>
      </c>
      <c r="I576" s="100">
        <v>-7.6037289803953634E-2</v>
      </c>
    </row>
    <row r="577" spans="1:9">
      <c r="A577" s="90">
        <v>561</v>
      </c>
      <c r="B577" s="110">
        <v>1.0973544198435305</v>
      </c>
      <c r="C577" s="110">
        <v>1.0507064707435387</v>
      </c>
      <c r="G577" s="90">
        <v>561</v>
      </c>
      <c r="H577" s="100">
        <v>-4.3439442900539402E-2</v>
      </c>
      <c r="I577" s="100">
        <v>-7.601916716783097E-2</v>
      </c>
    </row>
    <row r="578" spans="1:9">
      <c r="A578" s="90">
        <v>562</v>
      </c>
      <c r="B578" s="110">
        <v>1.1184700740382105</v>
      </c>
      <c r="C578" s="110">
        <v>1.0599383386206926</v>
      </c>
      <c r="G578" s="90">
        <v>562</v>
      </c>
      <c r="H578" s="100">
        <v>-5.3751010828775418E-2</v>
      </c>
      <c r="I578" s="100">
        <v>-7.5997027385713678E-2</v>
      </c>
    </row>
    <row r="579" spans="1:9">
      <c r="A579" s="90">
        <v>563</v>
      </c>
      <c r="B579" s="110">
        <v>1.1397224476026391</v>
      </c>
      <c r="C579" s="110">
        <v>1.0585927067222327</v>
      </c>
      <c r="G579" s="90">
        <v>563</v>
      </c>
      <c r="H579" s="100">
        <v>-7.3844374880382577E-2</v>
      </c>
      <c r="I579" s="100">
        <v>-7.5945159181798255E-2</v>
      </c>
    </row>
    <row r="580" spans="1:9">
      <c r="A580" s="90">
        <v>564</v>
      </c>
      <c r="B580" s="110">
        <v>1.1207000204931341</v>
      </c>
      <c r="C580" s="110">
        <v>1.0386630332649966</v>
      </c>
      <c r="G580" s="90">
        <v>564</v>
      </c>
      <c r="H580" s="100">
        <v>-7.601916716783097E-2</v>
      </c>
      <c r="I580" s="100">
        <v>-7.5943716504839193E-2</v>
      </c>
    </row>
    <row r="581" spans="1:9">
      <c r="A581" s="90">
        <v>565</v>
      </c>
      <c r="B581" s="110">
        <v>1.1003246422472386</v>
      </c>
      <c r="C581" s="110">
        <v>1.0242951417557302</v>
      </c>
      <c r="G581" s="90">
        <v>565</v>
      </c>
      <c r="H581" s="100">
        <v>-7.160055611842471E-2</v>
      </c>
      <c r="I581" s="100">
        <v>-7.5935948007857579E-2</v>
      </c>
    </row>
    <row r="582" spans="1:9">
      <c r="A582" s="90">
        <v>566</v>
      </c>
      <c r="B582" s="110">
        <v>1.124103357972043</v>
      </c>
      <c r="C582" s="110">
        <v>1.0533007111938957</v>
      </c>
      <c r="G582" s="90">
        <v>566</v>
      </c>
      <c r="H582" s="100">
        <v>-6.5056934669417033E-2</v>
      </c>
      <c r="I582" s="100">
        <v>-7.590628480985627E-2</v>
      </c>
    </row>
    <row r="583" spans="1:9">
      <c r="A583" s="90">
        <v>567</v>
      </c>
      <c r="B583" s="110">
        <v>1.0741013310988532</v>
      </c>
      <c r="C583" s="110">
        <v>1.0423938750746977</v>
      </c>
      <c r="G583" s="90">
        <v>567</v>
      </c>
      <c r="H583" s="100">
        <v>-2.996446987061235E-2</v>
      </c>
      <c r="I583" s="100">
        <v>-7.5899024660818007E-2</v>
      </c>
    </row>
    <row r="584" spans="1:9">
      <c r="A584" s="90">
        <v>568</v>
      </c>
      <c r="B584" s="110">
        <v>1.1257916382118363</v>
      </c>
      <c r="C584" s="110">
        <v>1.0601607410170502</v>
      </c>
      <c r="G584" s="90">
        <v>568</v>
      </c>
      <c r="H584" s="100">
        <v>-6.0065927505001761E-2</v>
      </c>
      <c r="I584" s="100">
        <v>-7.5897959036278564E-2</v>
      </c>
    </row>
    <row r="585" spans="1:9">
      <c r="A585" s="90">
        <v>569</v>
      </c>
      <c r="B585" s="110">
        <v>1.1096990202485779</v>
      </c>
      <c r="C585" s="110">
        <v>1.0470279126476629</v>
      </c>
      <c r="G585" s="90">
        <v>569</v>
      </c>
      <c r="H585" s="100">
        <v>-5.8133234449016434E-2</v>
      </c>
      <c r="I585" s="100">
        <v>-7.5887449544166319E-2</v>
      </c>
    </row>
    <row r="586" spans="1:9">
      <c r="A586" s="90">
        <v>570</v>
      </c>
      <c r="B586" s="110">
        <v>1.093636482492083</v>
      </c>
      <c r="C586" s="110">
        <v>1.0317177740350507</v>
      </c>
      <c r="G586" s="90">
        <v>570</v>
      </c>
      <c r="H586" s="100">
        <v>-5.8283210981499939E-2</v>
      </c>
      <c r="I586" s="100">
        <v>-7.587973453955292E-2</v>
      </c>
    </row>
    <row r="587" spans="1:9">
      <c r="A587" s="90">
        <v>571</v>
      </c>
      <c r="B587" s="110">
        <v>1.105571067169915</v>
      </c>
      <c r="C587" s="110">
        <v>1.0377689138226693</v>
      </c>
      <c r="G587" s="90">
        <v>571</v>
      </c>
      <c r="H587" s="100">
        <v>-6.3288870758118093E-2</v>
      </c>
      <c r="I587" s="100">
        <v>-7.58759126152415E-2</v>
      </c>
    </row>
    <row r="588" spans="1:9">
      <c r="A588" s="90">
        <v>572</v>
      </c>
      <c r="B588" s="110">
        <v>1.1015734732168558</v>
      </c>
      <c r="C588" s="110">
        <v>1.046866490487921</v>
      </c>
      <c r="G588" s="90">
        <v>572</v>
      </c>
      <c r="H588" s="100">
        <v>-5.0938180401654459E-2</v>
      </c>
      <c r="I588" s="100">
        <v>-7.5868818954117748E-2</v>
      </c>
    </row>
    <row r="589" spans="1:9">
      <c r="A589" s="90">
        <v>573</v>
      </c>
      <c r="B589" s="110">
        <v>1.1180923806558996</v>
      </c>
      <c r="C589" s="110">
        <v>1.0461615150304031</v>
      </c>
      <c r="G589" s="90">
        <v>573</v>
      </c>
      <c r="H589" s="100">
        <v>-6.649623580440249E-2</v>
      </c>
      <c r="I589" s="100">
        <v>-7.5862180815425825E-2</v>
      </c>
    </row>
    <row r="590" spans="1:9">
      <c r="A590" s="90">
        <v>574</v>
      </c>
      <c r="B590" s="110">
        <v>1.1374860057678986</v>
      </c>
      <c r="C590" s="110">
        <v>1.0496923550381019</v>
      </c>
      <c r="G590" s="90">
        <v>574</v>
      </c>
      <c r="H590" s="100">
        <v>-8.0323443109518861E-2</v>
      </c>
      <c r="I590" s="100">
        <v>-7.5860741951416191E-2</v>
      </c>
    </row>
    <row r="591" spans="1:9">
      <c r="A591" s="90">
        <v>575</v>
      </c>
      <c r="B591" s="110">
        <v>1.1353599361601736</v>
      </c>
      <c r="C591" s="110">
        <v>1.0681446803646673</v>
      </c>
      <c r="G591" s="90">
        <v>575</v>
      </c>
      <c r="H591" s="100">
        <v>-6.1026525161041935E-2</v>
      </c>
      <c r="I591" s="100">
        <v>-7.5821584608761428E-2</v>
      </c>
    </row>
    <row r="592" spans="1:9">
      <c r="A592" s="90">
        <v>576</v>
      </c>
      <c r="B592" s="110">
        <v>1.1049147932437162</v>
      </c>
      <c r="C592" s="110">
        <v>1.0571922296553571</v>
      </c>
      <c r="G592" s="90">
        <v>576</v>
      </c>
      <c r="H592" s="100">
        <v>-4.4151668017624601E-2</v>
      </c>
      <c r="I592" s="100">
        <v>-7.5811215596069403E-2</v>
      </c>
    </row>
    <row r="593" spans="1:9">
      <c r="A593" s="90">
        <v>577</v>
      </c>
      <c r="B593" s="110">
        <v>1.1094708763955647</v>
      </c>
      <c r="C593" s="110">
        <v>1.0837450087368823</v>
      </c>
      <c r="G593" s="90">
        <v>577</v>
      </c>
      <c r="H593" s="100">
        <v>-2.3460570186935009E-2</v>
      </c>
      <c r="I593" s="100">
        <v>-7.5799387654597136E-2</v>
      </c>
    </row>
    <row r="594" spans="1:9">
      <c r="A594" s="90">
        <v>578</v>
      </c>
      <c r="B594" s="110">
        <v>1.10221765744583</v>
      </c>
      <c r="C594" s="110">
        <v>1.0468384992184165</v>
      </c>
      <c r="G594" s="90">
        <v>578</v>
      </c>
      <c r="H594" s="100">
        <v>-5.154953351657425E-2</v>
      </c>
      <c r="I594" s="100">
        <v>-7.5710056219628799E-2</v>
      </c>
    </row>
    <row r="595" spans="1:9">
      <c r="A595" s="90">
        <v>579</v>
      </c>
      <c r="B595" s="110">
        <v>1.1042775917050789</v>
      </c>
      <c r="C595" s="110">
        <v>1.0320304960159239</v>
      </c>
      <c r="G595" s="90">
        <v>579</v>
      </c>
      <c r="H595" s="100">
        <v>-6.7663140984775091E-2</v>
      </c>
      <c r="I595" s="100">
        <v>-7.5706426197391471E-2</v>
      </c>
    </row>
    <row r="596" spans="1:9">
      <c r="A596" s="90">
        <v>580</v>
      </c>
      <c r="B596" s="110">
        <v>1.094711692446138</v>
      </c>
      <c r="C596" s="110">
        <v>1.0463016185387399</v>
      </c>
      <c r="G596" s="90">
        <v>580</v>
      </c>
      <c r="H596" s="100">
        <v>-4.5229355710452633E-2</v>
      </c>
      <c r="I596" s="100">
        <v>-7.568874136554006E-2</v>
      </c>
    </row>
    <row r="597" spans="1:9">
      <c r="A597" s="90">
        <v>581</v>
      </c>
      <c r="B597" s="110">
        <v>1.0761945671519328</v>
      </c>
      <c r="C597" s="110">
        <v>1.0451859607537595</v>
      </c>
      <c r="G597" s="90">
        <v>581</v>
      </c>
      <c r="H597" s="100">
        <v>-2.9236447424008223E-2</v>
      </c>
      <c r="I597" s="100">
        <v>-7.5677529719338998E-2</v>
      </c>
    </row>
    <row r="598" spans="1:9">
      <c r="A598" s="90">
        <v>582</v>
      </c>
      <c r="B598" s="110">
        <v>1.1100044719515445</v>
      </c>
      <c r="C598" s="110">
        <v>1.0502325268417039</v>
      </c>
      <c r="G598" s="90">
        <v>582</v>
      </c>
      <c r="H598" s="100">
        <v>-5.5352450314261788E-2</v>
      </c>
      <c r="I598" s="100">
        <v>-7.5662917912569697E-2</v>
      </c>
    </row>
    <row r="599" spans="1:9">
      <c r="A599" s="90">
        <v>583</v>
      </c>
      <c r="B599" s="110">
        <v>1.1372757518556023</v>
      </c>
      <c r="C599" s="110">
        <v>1.0452401786340866</v>
      </c>
      <c r="G599" s="90">
        <v>583</v>
      </c>
      <c r="H599" s="100">
        <v>-8.4389016160234462E-2</v>
      </c>
      <c r="I599" s="100">
        <v>-7.5651836629785585E-2</v>
      </c>
    </row>
    <row r="600" spans="1:9">
      <c r="A600" s="90">
        <v>584</v>
      </c>
      <c r="B600" s="110">
        <v>1.1238211122698205</v>
      </c>
      <c r="C600" s="110">
        <v>1.0576137943099255</v>
      </c>
      <c r="G600" s="90">
        <v>584</v>
      </c>
      <c r="H600" s="100">
        <v>-6.0719352958947127E-2</v>
      </c>
      <c r="I600" s="100">
        <v>-7.5648255772601675E-2</v>
      </c>
    </row>
    <row r="601" spans="1:9">
      <c r="A601" s="90">
        <v>585</v>
      </c>
      <c r="B601" s="110">
        <v>1.1130555393782249</v>
      </c>
      <c r="C601" s="110">
        <v>1.0579575762148905</v>
      </c>
      <c r="G601" s="90">
        <v>585</v>
      </c>
      <c r="H601" s="100">
        <v>-5.07687371211894E-2</v>
      </c>
      <c r="I601" s="100">
        <v>-7.563961071783934E-2</v>
      </c>
    </row>
    <row r="602" spans="1:9">
      <c r="A602" s="90">
        <v>586</v>
      </c>
      <c r="B602" s="110">
        <v>1.1219410517985915</v>
      </c>
      <c r="C602" s="110">
        <v>1.0657881169509031</v>
      </c>
      <c r="G602" s="90">
        <v>586</v>
      </c>
      <c r="H602" s="100">
        <v>-5.1345725815420219E-2</v>
      </c>
      <c r="I602" s="100">
        <v>-7.5594545797621884E-2</v>
      </c>
    </row>
    <row r="603" spans="1:9">
      <c r="A603" s="90">
        <v>587</v>
      </c>
      <c r="B603" s="110">
        <v>1.1177381215217419</v>
      </c>
      <c r="C603" s="110">
        <v>1.0633152178254306</v>
      </c>
      <c r="G603" s="90">
        <v>587</v>
      </c>
      <c r="H603" s="100">
        <v>-4.9915517486461849E-2</v>
      </c>
      <c r="I603" s="100">
        <v>-7.5583087440768984E-2</v>
      </c>
    </row>
    <row r="604" spans="1:9">
      <c r="A604" s="90">
        <v>588</v>
      </c>
      <c r="B604" s="110">
        <v>1.1176418919814</v>
      </c>
      <c r="C604" s="110">
        <v>1.0675972540275707</v>
      </c>
      <c r="G604" s="90">
        <v>588</v>
      </c>
      <c r="H604" s="100">
        <v>-4.5810445689169935E-2</v>
      </c>
      <c r="I604" s="100">
        <v>-7.5572511335240913E-2</v>
      </c>
    </row>
    <row r="605" spans="1:9">
      <c r="A605" s="90">
        <v>589</v>
      </c>
      <c r="B605" s="110">
        <v>1.1204103064705497</v>
      </c>
      <c r="C605" s="110">
        <v>1.0433160381419129</v>
      </c>
      <c r="G605" s="90">
        <v>589</v>
      </c>
      <c r="H605" s="100">
        <v>-7.1290824396257696E-2</v>
      </c>
      <c r="I605" s="100">
        <v>-7.5566539980212052E-2</v>
      </c>
    </row>
    <row r="606" spans="1:9">
      <c r="A606" s="90">
        <v>590</v>
      </c>
      <c r="B606" s="110">
        <v>1.1108494076694759</v>
      </c>
      <c r="C606" s="110">
        <v>1.0580143615224724</v>
      </c>
      <c r="G606" s="90">
        <v>590</v>
      </c>
      <c r="H606" s="100">
        <v>-4.8731047256261761E-2</v>
      </c>
      <c r="I606" s="100">
        <v>-7.5545144494703606E-2</v>
      </c>
    </row>
    <row r="607" spans="1:9">
      <c r="A607" s="90">
        <v>591</v>
      </c>
      <c r="B607" s="110">
        <v>1.068440513195672</v>
      </c>
      <c r="C607" s="110">
        <v>1.0727055016434104</v>
      </c>
      <c r="G607" s="90">
        <v>591</v>
      </c>
      <c r="H607" s="100">
        <v>3.9838423526290514E-3</v>
      </c>
      <c r="I607" s="100">
        <v>-7.5544978942627627E-2</v>
      </c>
    </row>
    <row r="608" spans="1:9">
      <c r="A608" s="90">
        <v>592</v>
      </c>
      <c r="B608" s="110">
        <v>1.1186389751844592</v>
      </c>
      <c r="C608" s="110">
        <v>1.0470791605687235</v>
      </c>
      <c r="G608" s="90">
        <v>592</v>
      </c>
      <c r="H608" s="100">
        <v>-6.6108209555451602E-2</v>
      </c>
      <c r="I608" s="100">
        <v>-7.552299440768076E-2</v>
      </c>
    </row>
    <row r="609" spans="1:9">
      <c r="A609" s="90">
        <v>593</v>
      </c>
      <c r="B609" s="110">
        <v>1.1183133623345016</v>
      </c>
      <c r="C609" s="110">
        <v>1.0597163603679676</v>
      </c>
      <c r="G609" s="90">
        <v>593</v>
      </c>
      <c r="H609" s="100">
        <v>-5.3820336014665342E-2</v>
      </c>
      <c r="I609" s="100">
        <v>-7.5508172116271505E-2</v>
      </c>
    </row>
    <row r="610" spans="1:9">
      <c r="A610" s="90">
        <v>594</v>
      </c>
      <c r="B610" s="110">
        <v>1.077299033261125</v>
      </c>
      <c r="C610" s="110">
        <v>1.0475715417461333</v>
      </c>
      <c r="G610" s="90">
        <v>594</v>
      </c>
      <c r="H610" s="100">
        <v>-2.7982345453935114E-2</v>
      </c>
      <c r="I610" s="100">
        <v>-7.5505731022657466E-2</v>
      </c>
    </row>
    <row r="611" spans="1:9">
      <c r="A611" s="90">
        <v>595</v>
      </c>
      <c r="B611" s="110">
        <v>1.0943749375828098</v>
      </c>
      <c r="C611" s="110">
        <v>1.057414271001796</v>
      </c>
      <c r="G611" s="90">
        <v>595</v>
      </c>
      <c r="H611" s="100">
        <v>-3.4356805981878624E-2</v>
      </c>
      <c r="I611" s="100">
        <v>-7.5489659903843362E-2</v>
      </c>
    </row>
    <row r="612" spans="1:9">
      <c r="A612" s="90">
        <v>596</v>
      </c>
      <c r="B612" s="110">
        <v>1.1360676065052251</v>
      </c>
      <c r="C612" s="110">
        <v>1.04540443936822</v>
      </c>
      <c r="G612" s="90">
        <v>596</v>
      </c>
      <c r="H612" s="100">
        <v>-8.316899743539051E-2</v>
      </c>
      <c r="I612" s="100">
        <v>-7.5469126495596908E-2</v>
      </c>
    </row>
    <row r="613" spans="1:9">
      <c r="A613" s="90">
        <v>597</v>
      </c>
      <c r="B613" s="110">
        <v>1.1194884436217647</v>
      </c>
      <c r="C613" s="110">
        <v>1.0429625306895489</v>
      </c>
      <c r="G613" s="90">
        <v>597</v>
      </c>
      <c r="H613" s="100">
        <v>-7.0806583381414698E-2</v>
      </c>
      <c r="I613" s="100">
        <v>-7.546045971437737E-2</v>
      </c>
    </row>
    <row r="614" spans="1:9">
      <c r="A614" s="90">
        <v>598</v>
      </c>
      <c r="B614" s="110">
        <v>1.1260962459745292</v>
      </c>
      <c r="C614" s="110">
        <v>1.0533936431904751</v>
      </c>
      <c r="G614" s="90">
        <v>598</v>
      </c>
      <c r="H614" s="100">
        <v>-6.6740008578200588E-2</v>
      </c>
      <c r="I614" s="100">
        <v>-7.5459829006753423E-2</v>
      </c>
    </row>
    <row r="615" spans="1:9">
      <c r="A615" s="90">
        <v>599</v>
      </c>
      <c r="B615" s="110">
        <v>1.103382010046204</v>
      </c>
      <c r="C615" s="110">
        <v>1.0425125543198139</v>
      </c>
      <c r="G615" s="90">
        <v>599</v>
      </c>
      <c r="H615" s="100">
        <v>-5.6746300483027576E-2</v>
      </c>
      <c r="I615" s="100">
        <v>-7.5430832494787395E-2</v>
      </c>
    </row>
    <row r="616" spans="1:9">
      <c r="A616" s="90">
        <v>600</v>
      </c>
      <c r="B616" s="110">
        <v>1.094480724055819</v>
      </c>
      <c r="C616" s="110">
        <v>1.0806629844092996</v>
      </c>
      <c r="G616" s="90">
        <v>600</v>
      </c>
      <c r="H616" s="100">
        <v>-1.2705298936518219E-2</v>
      </c>
      <c r="I616" s="100">
        <v>-7.5423428691485231E-2</v>
      </c>
    </row>
    <row r="617" spans="1:9">
      <c r="A617" s="90">
        <v>601</v>
      </c>
      <c r="B617" s="110">
        <v>1.1037313417385595</v>
      </c>
      <c r="C617" s="110">
        <v>1.0736332053794837</v>
      </c>
      <c r="G617" s="90">
        <v>601</v>
      </c>
      <c r="H617" s="100">
        <v>-2.7648152604301417E-2</v>
      </c>
      <c r="I617" s="100">
        <v>-7.5360755686548583E-2</v>
      </c>
    </row>
    <row r="618" spans="1:9">
      <c r="A618" s="90">
        <v>602</v>
      </c>
      <c r="B618" s="110">
        <v>1.1116994442591284</v>
      </c>
      <c r="C618" s="110">
        <v>1.0536847726838787</v>
      </c>
      <c r="G618" s="90">
        <v>602</v>
      </c>
      <c r="H618" s="100">
        <v>-5.3596547118810428E-2</v>
      </c>
      <c r="I618" s="100">
        <v>-7.5340915528334301E-2</v>
      </c>
    </row>
    <row r="619" spans="1:9">
      <c r="A619" s="90">
        <v>603</v>
      </c>
      <c r="B619" s="110">
        <v>1.1151530529537907</v>
      </c>
      <c r="C619" s="110">
        <v>1.0698654430400321</v>
      </c>
      <c r="G619" s="90">
        <v>603</v>
      </c>
      <c r="H619" s="100">
        <v>-4.1458776317027476E-2</v>
      </c>
      <c r="I619" s="100">
        <v>-7.5338818560683571E-2</v>
      </c>
    </row>
    <row r="620" spans="1:9">
      <c r="A620" s="90">
        <v>604</v>
      </c>
      <c r="B620" s="110">
        <v>1.105511506887918</v>
      </c>
      <c r="C620" s="110">
        <v>1.0623121249027365</v>
      </c>
      <c r="G620" s="90">
        <v>604</v>
      </c>
      <c r="H620" s="100">
        <v>-3.9860347464232969E-2</v>
      </c>
      <c r="I620" s="100">
        <v>-7.5332133897597298E-2</v>
      </c>
    </row>
    <row r="621" spans="1:9">
      <c r="A621" s="90">
        <v>605</v>
      </c>
      <c r="B621" s="110">
        <v>1.1266322679817529</v>
      </c>
      <c r="C621" s="110">
        <v>1.0489453930574215</v>
      </c>
      <c r="G621" s="90">
        <v>605</v>
      </c>
      <c r="H621" s="100">
        <v>-7.1447617113696252E-2</v>
      </c>
      <c r="I621" s="100">
        <v>-7.5316402202133537E-2</v>
      </c>
    </row>
    <row r="622" spans="1:9">
      <c r="A622" s="90">
        <v>606</v>
      </c>
      <c r="B622" s="110">
        <v>1.1211109471764946</v>
      </c>
      <c r="C622" s="110">
        <v>1.0548999509547483</v>
      </c>
      <c r="G622" s="90">
        <v>606</v>
      </c>
      <c r="H622" s="100">
        <v>-6.0874181591331067E-2</v>
      </c>
      <c r="I622" s="100">
        <v>-7.5293890722741841E-2</v>
      </c>
    </row>
    <row r="623" spans="1:9">
      <c r="A623" s="90">
        <v>607</v>
      </c>
      <c r="B623" s="110">
        <v>1.0786441430884084</v>
      </c>
      <c r="C623" s="110">
        <v>1.0597874584881932</v>
      </c>
      <c r="G623" s="90">
        <v>607</v>
      </c>
      <c r="H623" s="100">
        <v>-1.7636452207337863E-2</v>
      </c>
      <c r="I623" s="100">
        <v>-7.5257818053367578E-2</v>
      </c>
    </row>
    <row r="624" spans="1:9">
      <c r="A624" s="90">
        <v>608</v>
      </c>
      <c r="B624" s="110">
        <v>1.1075600114697053</v>
      </c>
      <c r="C624" s="110">
        <v>1.039541910701963</v>
      </c>
      <c r="G624" s="90">
        <v>608</v>
      </c>
      <c r="H624" s="100">
        <v>-6.3379262258967048E-2</v>
      </c>
      <c r="I624" s="100">
        <v>-7.5254271360320132E-2</v>
      </c>
    </row>
    <row r="625" spans="1:9">
      <c r="A625" s="90">
        <v>609</v>
      </c>
      <c r="B625" s="110">
        <v>1.1296263633169048</v>
      </c>
      <c r="C625" s="110">
        <v>1.0654045642198962</v>
      </c>
      <c r="G625" s="90">
        <v>609</v>
      </c>
      <c r="H625" s="100">
        <v>-5.8532326579863903E-2</v>
      </c>
      <c r="I625" s="100">
        <v>-7.5229759094582849E-2</v>
      </c>
    </row>
    <row r="626" spans="1:9">
      <c r="A626" s="90">
        <v>610</v>
      </c>
      <c r="B626" s="110">
        <v>1.1405274169768662</v>
      </c>
      <c r="C626" s="110">
        <v>1.0462195626691839</v>
      </c>
      <c r="G626" s="90">
        <v>610</v>
      </c>
      <c r="H626" s="100">
        <v>-8.6307551324601467E-2</v>
      </c>
      <c r="I626" s="100">
        <v>-7.5222740172315505E-2</v>
      </c>
    </row>
    <row r="627" spans="1:9">
      <c r="A627" s="90">
        <v>611</v>
      </c>
      <c r="B627" s="110">
        <v>1.0953491527074473</v>
      </c>
      <c r="C627" s="110">
        <v>1.0555536749625505</v>
      </c>
      <c r="G627" s="90">
        <v>611</v>
      </c>
      <c r="H627" s="100">
        <v>-3.700773370890522E-2</v>
      </c>
      <c r="I627" s="100">
        <v>-7.5193951167198125E-2</v>
      </c>
    </row>
    <row r="628" spans="1:9">
      <c r="A628" s="90">
        <v>612</v>
      </c>
      <c r="B628" s="110">
        <v>1.1140287613687536</v>
      </c>
      <c r="C628" s="110">
        <v>1.059935012149962</v>
      </c>
      <c r="G628" s="90">
        <v>612</v>
      </c>
      <c r="H628" s="100">
        <v>-4.9775362324620903E-2</v>
      </c>
      <c r="I628" s="100">
        <v>-7.5190066355543345E-2</v>
      </c>
    </row>
    <row r="629" spans="1:9">
      <c r="A629" s="90">
        <v>613</v>
      </c>
      <c r="B629" s="110">
        <v>1.0956419139219407</v>
      </c>
      <c r="C629" s="110">
        <v>1.0577314741679744</v>
      </c>
      <c r="G629" s="90">
        <v>613</v>
      </c>
      <c r="H629" s="100">
        <v>-3.5213918178894979E-2</v>
      </c>
      <c r="I629" s="100">
        <v>-7.5183016416417683E-2</v>
      </c>
    </row>
    <row r="630" spans="1:9">
      <c r="A630" s="90">
        <v>614</v>
      </c>
      <c r="B630" s="110">
        <v>1.094032214255477</v>
      </c>
      <c r="C630" s="110">
        <v>1.0459758408820548</v>
      </c>
      <c r="G630" s="90">
        <v>614</v>
      </c>
      <c r="H630" s="100">
        <v>-4.4919881164327838E-2</v>
      </c>
      <c r="I630" s="100">
        <v>-7.5172736615731928E-2</v>
      </c>
    </row>
    <row r="631" spans="1:9">
      <c r="A631" s="90">
        <v>615</v>
      </c>
      <c r="B631" s="110">
        <v>1.0920212006448167</v>
      </c>
      <c r="C631" s="110">
        <v>1.0936163971398318</v>
      </c>
      <c r="G631" s="90">
        <v>615</v>
      </c>
      <c r="H631" s="100">
        <v>1.4597083980243978E-3</v>
      </c>
      <c r="I631" s="100">
        <v>-7.5162190849581312E-2</v>
      </c>
    </row>
    <row r="632" spans="1:9">
      <c r="A632" s="90">
        <v>616</v>
      </c>
      <c r="B632" s="110">
        <v>1.139310353225909</v>
      </c>
      <c r="C632" s="110">
        <v>1.0627783607427017</v>
      </c>
      <c r="G632" s="90">
        <v>616</v>
      </c>
      <c r="H632" s="100">
        <v>-6.9536551952402936E-2</v>
      </c>
      <c r="I632" s="100">
        <v>-7.5138238272730723E-2</v>
      </c>
    </row>
    <row r="633" spans="1:9">
      <c r="A633" s="90">
        <v>617</v>
      </c>
      <c r="B633" s="110">
        <v>1.1398472305974272</v>
      </c>
      <c r="C633" s="110">
        <v>1.0590552176775527</v>
      </c>
      <c r="G633" s="90">
        <v>617</v>
      </c>
      <c r="H633" s="100">
        <v>-7.351703858009194E-2</v>
      </c>
      <c r="I633" s="100">
        <v>-7.5125296651853593E-2</v>
      </c>
    </row>
    <row r="634" spans="1:9">
      <c r="A634" s="90">
        <v>618</v>
      </c>
      <c r="B634" s="110">
        <v>1.084923640580661</v>
      </c>
      <c r="C634" s="110">
        <v>1.0318390286357038</v>
      </c>
      <c r="G634" s="90">
        <v>618</v>
      </c>
      <c r="H634" s="100">
        <v>-5.0166932281746519E-2</v>
      </c>
      <c r="I634" s="100">
        <v>-7.5106128544571632E-2</v>
      </c>
    </row>
    <row r="635" spans="1:9">
      <c r="A635" s="90">
        <v>619</v>
      </c>
      <c r="B635" s="110">
        <v>1.1350535179285266</v>
      </c>
      <c r="C635" s="110">
        <v>1.0815630487251693</v>
      </c>
      <c r="G635" s="90">
        <v>619</v>
      </c>
      <c r="H635" s="100">
        <v>-4.82725399894115E-2</v>
      </c>
      <c r="I635" s="100">
        <v>-7.5101099896579121E-2</v>
      </c>
    </row>
    <row r="636" spans="1:9">
      <c r="A636" s="90">
        <v>620</v>
      </c>
      <c r="B636" s="110">
        <v>1.1172034003897573</v>
      </c>
      <c r="C636" s="110">
        <v>1.0359362470508113</v>
      </c>
      <c r="G636" s="90">
        <v>620</v>
      </c>
      <c r="H636" s="100">
        <v>-7.552299440768076E-2</v>
      </c>
      <c r="I636" s="100">
        <v>-7.5097444331246113E-2</v>
      </c>
    </row>
    <row r="637" spans="1:9">
      <c r="A637" s="90">
        <v>621</v>
      </c>
      <c r="B637" s="110">
        <v>1.0752957940535408</v>
      </c>
      <c r="C637" s="110">
        <v>1.0554778145475219</v>
      </c>
      <c r="G637" s="90">
        <v>621</v>
      </c>
      <c r="H637" s="100">
        <v>-1.8602211807922563E-2</v>
      </c>
      <c r="I637" s="100">
        <v>-7.5054662788188384E-2</v>
      </c>
    </row>
    <row r="638" spans="1:9">
      <c r="A638" s="90">
        <v>622</v>
      </c>
      <c r="B638" s="110">
        <v>1.1117722111638173</v>
      </c>
      <c r="C638" s="110">
        <v>1.0393610049622366</v>
      </c>
      <c r="G638" s="90">
        <v>622</v>
      </c>
      <c r="H638" s="100">
        <v>-6.7349222753403257E-2</v>
      </c>
      <c r="I638" s="100">
        <v>-7.5022801243215628E-2</v>
      </c>
    </row>
    <row r="639" spans="1:9">
      <c r="A639" s="90">
        <v>623</v>
      </c>
      <c r="B639" s="110">
        <v>1.0848419546602248</v>
      </c>
      <c r="C639" s="110">
        <v>1.0478991583193489</v>
      </c>
      <c r="G639" s="90">
        <v>623</v>
      </c>
      <c r="H639" s="100">
        <v>-3.464695418337646E-2</v>
      </c>
      <c r="I639" s="100">
        <v>-7.5011488172889051E-2</v>
      </c>
    </row>
    <row r="640" spans="1:9">
      <c r="A640" s="90">
        <v>624</v>
      </c>
      <c r="B640" s="110">
        <v>1.1104775191960397</v>
      </c>
      <c r="C640" s="110">
        <v>1.059725169941828</v>
      </c>
      <c r="G640" s="90">
        <v>624</v>
      </c>
      <c r="H640" s="100">
        <v>-4.6780519422779526E-2</v>
      </c>
      <c r="I640" s="100">
        <v>-7.500854807022006E-2</v>
      </c>
    </row>
    <row r="641" spans="1:9">
      <c r="A641" s="90">
        <v>625</v>
      </c>
      <c r="B641" s="110">
        <v>1.0831372847046934</v>
      </c>
      <c r="C641" s="110">
        <v>1.0440631554259132</v>
      </c>
      <c r="G641" s="90">
        <v>625</v>
      </c>
      <c r="H641" s="100">
        <v>-3.6741741998201308E-2</v>
      </c>
      <c r="I641" s="100">
        <v>-7.4997628132822527E-2</v>
      </c>
    </row>
    <row r="642" spans="1:9">
      <c r="A642" s="90">
        <v>626</v>
      </c>
      <c r="B642" s="110">
        <v>1.1199459347665681</v>
      </c>
      <c r="C642" s="110">
        <v>1.0253302730200511</v>
      </c>
      <c r="G642" s="90">
        <v>626</v>
      </c>
      <c r="H642" s="100">
        <v>-8.8265633342024072E-2</v>
      </c>
      <c r="I642" s="100">
        <v>-7.4965807884266239E-2</v>
      </c>
    </row>
    <row r="643" spans="1:9">
      <c r="A643" s="90">
        <v>627</v>
      </c>
      <c r="B643" s="110">
        <v>1.1151886553378931</v>
      </c>
      <c r="C643" s="110">
        <v>1.0539689981764646</v>
      </c>
      <c r="G643" s="90">
        <v>627</v>
      </c>
      <c r="H643" s="100">
        <v>-5.6460552020470713E-2</v>
      </c>
      <c r="I643" s="100">
        <v>-7.4953260164842897E-2</v>
      </c>
    </row>
    <row r="644" spans="1:9">
      <c r="A644" s="90">
        <v>628</v>
      </c>
      <c r="B644" s="110">
        <v>1.1257846461657859</v>
      </c>
      <c r="C644" s="110">
        <v>1.0552808389600365</v>
      </c>
      <c r="G644" s="90">
        <v>628</v>
      </c>
      <c r="H644" s="100">
        <v>-6.4673326230400632E-2</v>
      </c>
      <c r="I644" s="100">
        <v>-7.4947943680929371E-2</v>
      </c>
    </row>
    <row r="645" spans="1:9">
      <c r="A645" s="90">
        <v>629</v>
      </c>
      <c r="B645" s="110">
        <v>1.09584067534651</v>
      </c>
      <c r="C645" s="110">
        <v>1.0577707726390881</v>
      </c>
      <c r="G645" s="90">
        <v>629</v>
      </c>
      <c r="H645" s="100">
        <v>-3.5358159809245567E-2</v>
      </c>
      <c r="I645" s="100">
        <v>-7.4932697850114527E-2</v>
      </c>
    </row>
    <row r="646" spans="1:9">
      <c r="A646" s="90">
        <v>630</v>
      </c>
      <c r="B646" s="110">
        <v>1.1321576285959618</v>
      </c>
      <c r="C646" s="110">
        <v>1.0488930208841516</v>
      </c>
      <c r="G646" s="90">
        <v>630</v>
      </c>
      <c r="H646" s="100">
        <v>-7.638987574750318E-2</v>
      </c>
      <c r="I646" s="100">
        <v>-7.4909881339666695E-2</v>
      </c>
    </row>
    <row r="647" spans="1:9">
      <c r="A647" s="90">
        <v>631</v>
      </c>
      <c r="B647" s="110">
        <v>1.1049732680432174</v>
      </c>
      <c r="C647" s="110">
        <v>1.0547121375369171</v>
      </c>
      <c r="G647" s="90">
        <v>631</v>
      </c>
      <c r="H647" s="100">
        <v>-4.6553268580022858E-2</v>
      </c>
      <c r="I647" s="100">
        <v>-7.4909656776004099E-2</v>
      </c>
    </row>
    <row r="648" spans="1:9">
      <c r="A648" s="90">
        <v>632</v>
      </c>
      <c r="B648" s="110">
        <v>1.0895150766821937</v>
      </c>
      <c r="C648" s="110">
        <v>1.081376435718578</v>
      </c>
      <c r="G648" s="90">
        <v>632</v>
      </c>
      <c r="H648" s="100">
        <v>-7.4980062768580259E-3</v>
      </c>
      <c r="I648" s="100">
        <v>-7.4867284456267988E-2</v>
      </c>
    </row>
    <row r="649" spans="1:9">
      <c r="A649" s="90">
        <v>633</v>
      </c>
      <c r="B649" s="110">
        <v>1.1106644077454151</v>
      </c>
      <c r="C649" s="110">
        <v>1.0552864898138752</v>
      </c>
      <c r="G649" s="90">
        <v>633</v>
      </c>
      <c r="H649" s="100">
        <v>-5.1146117401979316E-2</v>
      </c>
      <c r="I649" s="100">
        <v>-7.4862168030274567E-2</v>
      </c>
    </row>
    <row r="650" spans="1:9">
      <c r="A650" s="90">
        <v>634</v>
      </c>
      <c r="B650" s="110">
        <v>1.1137889190088324</v>
      </c>
      <c r="C650" s="110">
        <v>1.0531660103252727</v>
      </c>
      <c r="G650" s="90">
        <v>634</v>
      </c>
      <c r="H650" s="100">
        <v>-5.5966767952483121E-2</v>
      </c>
      <c r="I650" s="100">
        <v>-7.4858421341772882E-2</v>
      </c>
    </row>
    <row r="651" spans="1:9">
      <c r="A651" s="90">
        <v>635</v>
      </c>
      <c r="B651" s="110">
        <v>1.136629451615323</v>
      </c>
      <c r="C651" s="110">
        <v>1.0496227011819321</v>
      </c>
      <c r="G651" s="90">
        <v>635</v>
      </c>
      <c r="H651" s="100">
        <v>-7.9636494190494095E-2</v>
      </c>
      <c r="I651" s="100">
        <v>-7.4818282051662022E-2</v>
      </c>
    </row>
    <row r="652" spans="1:9">
      <c r="A652" s="90">
        <v>636</v>
      </c>
      <c r="B652" s="110">
        <v>1.1040374938271567</v>
      </c>
      <c r="C652" s="110">
        <v>1.0466857379812664</v>
      </c>
      <c r="G652" s="90">
        <v>636</v>
      </c>
      <c r="H652" s="100">
        <v>-5.3345176990913602E-2</v>
      </c>
      <c r="I652" s="100">
        <v>-7.4815139929793342E-2</v>
      </c>
    </row>
    <row r="653" spans="1:9">
      <c r="A653" s="90">
        <v>637</v>
      </c>
      <c r="B653" s="110">
        <v>1.0898218161902267</v>
      </c>
      <c r="C653" s="110">
        <v>1.0485164292622882</v>
      </c>
      <c r="G653" s="90">
        <v>637</v>
      </c>
      <c r="H653" s="100">
        <v>-3.863797095477968E-2</v>
      </c>
      <c r="I653" s="100">
        <v>-7.4804547411250297E-2</v>
      </c>
    </row>
    <row r="654" spans="1:9">
      <c r="A654" s="90">
        <v>638</v>
      </c>
      <c r="B654" s="110">
        <v>1.1112792659412982</v>
      </c>
      <c r="C654" s="110">
        <v>1.0552126123488261</v>
      </c>
      <c r="G654" s="90">
        <v>638</v>
      </c>
      <c r="H654" s="100">
        <v>-5.1769568637693476E-2</v>
      </c>
      <c r="I654" s="100">
        <v>-7.477684498087013E-2</v>
      </c>
    </row>
    <row r="655" spans="1:9">
      <c r="A655" s="90">
        <v>639</v>
      </c>
      <c r="B655" s="110">
        <v>1.0934313248770648</v>
      </c>
      <c r="C655" s="110">
        <v>1.0662331567011369</v>
      </c>
      <c r="G655" s="90">
        <v>639</v>
      </c>
      <c r="H655" s="100">
        <v>-2.5188733187998441E-2</v>
      </c>
      <c r="I655" s="100">
        <v>-7.4775735811436178E-2</v>
      </c>
    </row>
    <row r="656" spans="1:9">
      <c r="A656" s="90">
        <v>640</v>
      </c>
      <c r="B656" s="110">
        <v>1.1223471328068384</v>
      </c>
      <c r="C656" s="110">
        <v>1.0551481434557022</v>
      </c>
      <c r="G656" s="90">
        <v>640</v>
      </c>
      <c r="H656" s="100">
        <v>-6.1740969371253382E-2</v>
      </c>
      <c r="I656" s="100">
        <v>-7.4767114530872758E-2</v>
      </c>
    </row>
    <row r="657" spans="1:9">
      <c r="A657" s="90">
        <v>641</v>
      </c>
      <c r="B657" s="110">
        <v>1.1282156869543443</v>
      </c>
      <c r="C657" s="110">
        <v>1.0704348977081661</v>
      </c>
      <c r="G657" s="90">
        <v>641</v>
      </c>
      <c r="H657" s="100">
        <v>-5.2572334283112608E-2</v>
      </c>
      <c r="I657" s="100">
        <v>-7.4754061073232597E-2</v>
      </c>
    </row>
    <row r="658" spans="1:9">
      <c r="A658" s="90">
        <v>642</v>
      </c>
      <c r="B658" s="110">
        <v>1.1111464434811988</v>
      </c>
      <c r="C658" s="110">
        <v>1.052337790515101</v>
      </c>
      <c r="G658" s="90">
        <v>642</v>
      </c>
      <c r="H658" s="100">
        <v>-5.4378157863804302E-2</v>
      </c>
      <c r="I658" s="100">
        <v>-7.472818624489562E-2</v>
      </c>
    </row>
    <row r="659" spans="1:9">
      <c r="A659" s="90">
        <v>643</v>
      </c>
      <c r="B659" s="110">
        <v>1.1214707231826997</v>
      </c>
      <c r="C659" s="110">
        <v>1.0607217090253056</v>
      </c>
      <c r="G659" s="90">
        <v>643</v>
      </c>
      <c r="H659" s="100">
        <v>-5.5691435567404642E-2</v>
      </c>
      <c r="I659" s="100">
        <v>-7.470117367991283E-2</v>
      </c>
    </row>
    <row r="660" spans="1:9">
      <c r="A660" s="90">
        <v>644</v>
      </c>
      <c r="B660" s="110">
        <v>1.1385095021919422</v>
      </c>
      <c r="C660" s="110">
        <v>1.0460288137590632</v>
      </c>
      <c r="G660" s="90">
        <v>644</v>
      </c>
      <c r="H660" s="100">
        <v>-8.4719040846696056E-2</v>
      </c>
      <c r="I660" s="100">
        <v>-7.4676513929396574E-2</v>
      </c>
    </row>
    <row r="661" spans="1:9">
      <c r="A661" s="90">
        <v>645</v>
      </c>
      <c r="B661" s="110">
        <v>1.1199241996696749</v>
      </c>
      <c r="C661" s="110">
        <v>1.0671642345944476</v>
      </c>
      <c r="G661" s="90">
        <v>645</v>
      </c>
      <c r="H661" s="100">
        <v>-4.8256121843734817E-2</v>
      </c>
      <c r="I661" s="100">
        <v>-7.4583468226021424E-2</v>
      </c>
    </row>
    <row r="662" spans="1:9">
      <c r="A662" s="90">
        <v>646</v>
      </c>
      <c r="B662" s="110">
        <v>1.106793839314371</v>
      </c>
      <c r="C662" s="110">
        <v>1.0361912655346481</v>
      </c>
      <c r="G662" s="90">
        <v>646</v>
      </c>
      <c r="H662" s="100">
        <v>-6.5915656661971453E-2</v>
      </c>
      <c r="I662" s="100">
        <v>-7.4582088842423427E-2</v>
      </c>
    </row>
    <row r="663" spans="1:9">
      <c r="A663" s="90">
        <v>647</v>
      </c>
      <c r="B663" s="110">
        <v>1.1258992150435101</v>
      </c>
      <c r="C663" s="110">
        <v>1.0406773974488752</v>
      </c>
      <c r="G663" s="90">
        <v>647</v>
      </c>
      <c r="H663" s="100">
        <v>-7.8710173823467608E-2</v>
      </c>
      <c r="I663" s="100">
        <v>-7.4575752060453221E-2</v>
      </c>
    </row>
    <row r="664" spans="1:9">
      <c r="A664" s="90">
        <v>648</v>
      </c>
      <c r="B664" s="110">
        <v>1.1156988029909543</v>
      </c>
      <c r="C664" s="110">
        <v>1.0515843099678288</v>
      </c>
      <c r="G664" s="90">
        <v>648</v>
      </c>
      <c r="H664" s="100">
        <v>-5.9183044129292386E-2</v>
      </c>
      <c r="I664" s="100">
        <v>-7.4538543068614932E-2</v>
      </c>
    </row>
    <row r="665" spans="1:9">
      <c r="A665" s="90">
        <v>649</v>
      </c>
      <c r="B665" s="110">
        <v>1.1271822843294395</v>
      </c>
      <c r="C665" s="110">
        <v>1.0498882836069985</v>
      </c>
      <c r="G665" s="90">
        <v>649</v>
      </c>
      <c r="H665" s="100">
        <v>-7.1037203006498392E-2</v>
      </c>
      <c r="I665" s="100">
        <v>-7.4506601267962602E-2</v>
      </c>
    </row>
    <row r="666" spans="1:9">
      <c r="A666" s="90">
        <v>650</v>
      </c>
      <c r="B666" s="110">
        <v>1.0705582496267627</v>
      </c>
      <c r="C666" s="110">
        <v>1.0556504763127701</v>
      </c>
      <c r="G666" s="90">
        <v>650</v>
      </c>
      <c r="H666" s="100">
        <v>-1.4023098888739993E-2</v>
      </c>
      <c r="I666" s="100">
        <v>-7.4495380042687201E-2</v>
      </c>
    </row>
    <row r="667" spans="1:9">
      <c r="A667" s="90">
        <v>651</v>
      </c>
      <c r="B667" s="110">
        <v>1.0994545280522903</v>
      </c>
      <c r="C667" s="110">
        <v>1.0459817565659937</v>
      </c>
      <c r="G667" s="90">
        <v>651</v>
      </c>
      <c r="H667" s="100">
        <v>-4.9858248875434608E-2</v>
      </c>
      <c r="I667" s="100">
        <v>-7.4479652699280391E-2</v>
      </c>
    </row>
    <row r="668" spans="1:9">
      <c r="A668" s="90">
        <v>652</v>
      </c>
      <c r="B668" s="110">
        <v>1.1323503306658713</v>
      </c>
      <c r="C668" s="110">
        <v>1.0571401698516307</v>
      </c>
      <c r="G668" s="90">
        <v>652</v>
      </c>
      <c r="H668" s="100">
        <v>-6.8728102169597335E-2</v>
      </c>
      <c r="I668" s="100">
        <v>-7.4465643591743472E-2</v>
      </c>
    </row>
    <row r="669" spans="1:9">
      <c r="A669" s="90">
        <v>653</v>
      </c>
      <c r="B669" s="110">
        <v>1.1212166465647908</v>
      </c>
      <c r="C669" s="110">
        <v>1.057308413715772</v>
      </c>
      <c r="G669" s="90">
        <v>653</v>
      </c>
      <c r="H669" s="100">
        <v>-5.8687940832853877E-2</v>
      </c>
      <c r="I669" s="100">
        <v>-7.4460917834412069E-2</v>
      </c>
    </row>
    <row r="670" spans="1:9">
      <c r="A670" s="90">
        <v>654</v>
      </c>
      <c r="B670" s="110">
        <v>1.0989147783447726</v>
      </c>
      <c r="C670" s="110">
        <v>1.0613294829534001</v>
      </c>
      <c r="G670" s="90">
        <v>654</v>
      </c>
      <c r="H670" s="100">
        <v>-3.4800776250598887E-2</v>
      </c>
      <c r="I670" s="100">
        <v>-7.4456029199151494E-2</v>
      </c>
    </row>
    <row r="671" spans="1:9">
      <c r="A671" s="90">
        <v>655</v>
      </c>
      <c r="B671" s="110">
        <v>1.0841538829286397</v>
      </c>
      <c r="C671" s="110">
        <v>1.0467475308075642</v>
      </c>
      <c r="G671" s="90">
        <v>655</v>
      </c>
      <c r="H671" s="100">
        <v>-3.5112084362473928E-2</v>
      </c>
      <c r="I671" s="100">
        <v>-7.4439706830014135E-2</v>
      </c>
    </row>
    <row r="672" spans="1:9">
      <c r="A672" s="90">
        <v>656</v>
      </c>
      <c r="B672" s="110">
        <v>1.1019819138237437</v>
      </c>
      <c r="C672" s="110">
        <v>1.0682489048936339</v>
      </c>
      <c r="G672" s="90">
        <v>656</v>
      </c>
      <c r="H672" s="100">
        <v>-3.1089528056931923E-2</v>
      </c>
      <c r="I672" s="100">
        <v>-7.44360673305898E-2</v>
      </c>
    </row>
    <row r="673" spans="1:9">
      <c r="A673" s="90">
        <v>657</v>
      </c>
      <c r="B673" s="110">
        <v>1.1119198339094716</v>
      </c>
      <c r="C673" s="110">
        <v>1.0734772589902277</v>
      </c>
      <c r="G673" s="90">
        <v>657</v>
      </c>
      <c r="H673" s="100">
        <v>-3.5184947296053724E-2</v>
      </c>
      <c r="I673" s="100">
        <v>-7.4425949469036301E-2</v>
      </c>
    </row>
    <row r="674" spans="1:9">
      <c r="A674" s="90">
        <v>658</v>
      </c>
      <c r="B674" s="110">
        <v>1.104724189430772</v>
      </c>
      <c r="C674" s="110">
        <v>1.0375493269982841</v>
      </c>
      <c r="G674" s="90">
        <v>658</v>
      </c>
      <c r="H674" s="100">
        <v>-6.2734185401514778E-2</v>
      </c>
      <c r="I674" s="100">
        <v>-7.4421476141133577E-2</v>
      </c>
    </row>
    <row r="675" spans="1:9">
      <c r="A675" s="90">
        <v>659</v>
      </c>
      <c r="B675" s="110">
        <v>1.1183860146090192</v>
      </c>
      <c r="C675" s="110">
        <v>1.054711666536311</v>
      </c>
      <c r="G675" s="90">
        <v>659</v>
      </c>
      <c r="H675" s="100">
        <v>-5.8619159886007556E-2</v>
      </c>
      <c r="I675" s="100">
        <v>-7.4349834083129451E-2</v>
      </c>
    </row>
    <row r="676" spans="1:9">
      <c r="A676" s="90">
        <v>660</v>
      </c>
      <c r="B676" s="110">
        <v>1.0970064395485184</v>
      </c>
      <c r="C676" s="110">
        <v>1.0642703128834774</v>
      </c>
      <c r="G676" s="90">
        <v>660</v>
      </c>
      <c r="H676" s="100">
        <v>-3.0295639305114141E-2</v>
      </c>
      <c r="I676" s="100">
        <v>-7.4346105243712865E-2</v>
      </c>
    </row>
    <row r="677" spans="1:9">
      <c r="A677" s="90">
        <v>661</v>
      </c>
      <c r="B677" s="110">
        <v>1.1096560506616227</v>
      </c>
      <c r="C677" s="110">
        <v>1.0461639634829347</v>
      </c>
      <c r="G677" s="90">
        <v>661</v>
      </c>
      <c r="H677" s="100">
        <v>-5.8919996827541586E-2</v>
      </c>
      <c r="I677" s="100">
        <v>-7.4332046919480338E-2</v>
      </c>
    </row>
    <row r="678" spans="1:9">
      <c r="A678" s="90">
        <v>662</v>
      </c>
      <c r="B678" s="110">
        <v>1.1101898645979265</v>
      </c>
      <c r="C678" s="110">
        <v>1.0524393332323492</v>
      </c>
      <c r="G678" s="90">
        <v>662</v>
      </c>
      <c r="H678" s="100">
        <v>-5.3420405605553022E-2</v>
      </c>
      <c r="I678" s="100">
        <v>-7.4324133660783706E-2</v>
      </c>
    </row>
    <row r="679" spans="1:9">
      <c r="A679" s="90">
        <v>663</v>
      </c>
      <c r="B679" s="110">
        <v>1.0964209731226224</v>
      </c>
      <c r="C679" s="110">
        <v>1.0587881978623481</v>
      </c>
      <c r="G679" s="90">
        <v>663</v>
      </c>
      <c r="H679" s="100">
        <v>-3.4926169745264704E-2</v>
      </c>
      <c r="I679" s="100">
        <v>-7.4307491386075994E-2</v>
      </c>
    </row>
    <row r="680" spans="1:9">
      <c r="A680" s="90">
        <v>664</v>
      </c>
      <c r="B680" s="110">
        <v>1.1299811834459474</v>
      </c>
      <c r="C680" s="110">
        <v>1.04408486647445</v>
      </c>
      <c r="G680" s="90">
        <v>664</v>
      </c>
      <c r="H680" s="100">
        <v>-7.9060204884759608E-2</v>
      </c>
      <c r="I680" s="100">
        <v>-7.4280108879110726E-2</v>
      </c>
    </row>
    <row r="681" spans="1:9">
      <c r="A681" s="90">
        <v>665</v>
      </c>
      <c r="B681" s="110">
        <v>1.1440559975679481</v>
      </c>
      <c r="C681" s="110">
        <v>1.038744562505735</v>
      </c>
      <c r="G681" s="90">
        <v>665</v>
      </c>
      <c r="H681" s="100">
        <v>-9.6567008160376874E-2</v>
      </c>
      <c r="I681" s="100">
        <v>-7.4276510575678356E-2</v>
      </c>
    </row>
    <row r="682" spans="1:9">
      <c r="A682" s="90">
        <v>666</v>
      </c>
      <c r="B682" s="110">
        <v>1.1249958517861658</v>
      </c>
      <c r="C682" s="110">
        <v>1.0411070116824435</v>
      </c>
      <c r="G682" s="90">
        <v>666</v>
      </c>
      <c r="H682" s="100">
        <v>-7.749476699358851E-2</v>
      </c>
      <c r="I682" s="100">
        <v>-7.4262400942896267E-2</v>
      </c>
    </row>
    <row r="683" spans="1:9">
      <c r="A683" s="90">
        <v>667</v>
      </c>
      <c r="B683" s="110">
        <v>1.1183931379824605</v>
      </c>
      <c r="C683" s="110">
        <v>1.0624191173342947</v>
      </c>
      <c r="G683" s="90">
        <v>667</v>
      </c>
      <c r="H683" s="100">
        <v>-5.1344462855166431E-2</v>
      </c>
      <c r="I683" s="100">
        <v>-7.4230874797551971E-2</v>
      </c>
    </row>
    <row r="684" spans="1:9">
      <c r="A684" s="90">
        <v>668</v>
      </c>
      <c r="B684" s="110">
        <v>1.1135631487691324</v>
      </c>
      <c r="C684" s="110">
        <v>1.0508877766764253</v>
      </c>
      <c r="G684" s="90">
        <v>668</v>
      </c>
      <c r="H684" s="100">
        <v>-5.7929609537824389E-2</v>
      </c>
      <c r="I684" s="100">
        <v>-7.4220614886153086E-2</v>
      </c>
    </row>
    <row r="685" spans="1:9">
      <c r="A685" s="90">
        <v>669</v>
      </c>
      <c r="B685" s="110">
        <v>1.1279978286696639</v>
      </c>
      <c r="C685" s="110">
        <v>1.0648417332727411</v>
      </c>
      <c r="G685" s="90">
        <v>669</v>
      </c>
      <c r="H685" s="100">
        <v>-5.7618047273179186E-2</v>
      </c>
      <c r="I685" s="100">
        <v>-7.4189863885950683E-2</v>
      </c>
    </row>
    <row r="686" spans="1:9">
      <c r="A686" s="90">
        <v>670</v>
      </c>
      <c r="B686" s="110">
        <v>1.1003073661792984</v>
      </c>
      <c r="C686" s="110">
        <v>1.0425603955160685</v>
      </c>
      <c r="G686" s="90">
        <v>670</v>
      </c>
      <c r="H686" s="100">
        <v>-5.3909958210633352E-2</v>
      </c>
      <c r="I686" s="100">
        <v>-7.4164904113310309E-2</v>
      </c>
    </row>
    <row r="687" spans="1:9">
      <c r="A687" s="90">
        <v>671</v>
      </c>
      <c r="B687" s="110">
        <v>1.0942828210936109</v>
      </c>
      <c r="C687" s="110">
        <v>1.0784120407611983</v>
      </c>
      <c r="G687" s="90">
        <v>671</v>
      </c>
      <c r="H687" s="100">
        <v>-1.4609564276599258E-2</v>
      </c>
      <c r="I687" s="100">
        <v>-7.416289737138286E-2</v>
      </c>
    </row>
    <row r="688" spans="1:9">
      <c r="A688" s="90">
        <v>672</v>
      </c>
      <c r="B688" s="110">
        <v>1.0861654815247959</v>
      </c>
      <c r="C688" s="110">
        <v>1.0542936833120449</v>
      </c>
      <c r="G688" s="90">
        <v>672</v>
      </c>
      <c r="H688" s="100">
        <v>-2.9782538772626373E-2</v>
      </c>
      <c r="I688" s="100">
        <v>-7.4131801188646332E-2</v>
      </c>
    </row>
    <row r="689" spans="1:9">
      <c r="A689" s="90">
        <v>673</v>
      </c>
      <c r="B689" s="110">
        <v>1.0954964845985908</v>
      </c>
      <c r="C689" s="110">
        <v>1.0533599384450625</v>
      </c>
      <c r="G689" s="90">
        <v>673</v>
      </c>
      <c r="H689" s="100">
        <v>-3.9222674472065185E-2</v>
      </c>
      <c r="I689" s="100">
        <v>-7.409515670895811E-2</v>
      </c>
    </row>
    <row r="690" spans="1:9">
      <c r="A690" s="90">
        <v>674</v>
      </c>
      <c r="B690" s="110">
        <v>1.145749379797963</v>
      </c>
      <c r="C690" s="110">
        <v>1.0717969242855108</v>
      </c>
      <c r="G690" s="90">
        <v>674</v>
      </c>
      <c r="H690" s="100">
        <v>-6.6722294697891524E-2</v>
      </c>
      <c r="I690" s="100">
        <v>-7.4084121887432824E-2</v>
      </c>
    </row>
    <row r="691" spans="1:9">
      <c r="A691" s="90">
        <v>675</v>
      </c>
      <c r="B691" s="110">
        <v>1.1054267186812448</v>
      </c>
      <c r="C691" s="110">
        <v>1.0587338491476539</v>
      </c>
      <c r="G691" s="90">
        <v>675</v>
      </c>
      <c r="H691" s="100">
        <v>-4.3157718951587182E-2</v>
      </c>
      <c r="I691" s="100">
        <v>-7.4056000114624418E-2</v>
      </c>
    </row>
    <row r="692" spans="1:9">
      <c r="A692" s="90">
        <v>676</v>
      </c>
      <c r="B692" s="110">
        <v>1.1188195014076416</v>
      </c>
      <c r="C692" s="110">
        <v>1.0686344863290709</v>
      </c>
      <c r="G692" s="90">
        <v>676</v>
      </c>
      <c r="H692" s="100">
        <v>-4.5892460380060299E-2</v>
      </c>
      <c r="I692" s="100">
        <v>-7.4027448343513422E-2</v>
      </c>
    </row>
    <row r="693" spans="1:9">
      <c r="A693" s="90">
        <v>677</v>
      </c>
      <c r="B693" s="110">
        <v>1.1184282937179455</v>
      </c>
      <c r="C693" s="110">
        <v>1.053424414368624</v>
      </c>
      <c r="G693" s="90">
        <v>677</v>
      </c>
      <c r="H693" s="100">
        <v>-5.9878186036376214E-2</v>
      </c>
      <c r="I693" s="100">
        <v>-7.402483285721434E-2</v>
      </c>
    </row>
    <row r="694" spans="1:9">
      <c r="A694" s="90">
        <v>678</v>
      </c>
      <c r="B694" s="110">
        <v>1.0874287378011032</v>
      </c>
      <c r="C694" s="110">
        <v>1.0497557542189986</v>
      </c>
      <c r="G694" s="90">
        <v>678</v>
      </c>
      <c r="H694" s="100">
        <v>-3.5258431294028593E-2</v>
      </c>
      <c r="I694" s="100">
        <v>-7.4016613029801934E-2</v>
      </c>
    </row>
    <row r="695" spans="1:9">
      <c r="A695" s="90">
        <v>679</v>
      </c>
      <c r="B695" s="110">
        <v>1.1150863150008243</v>
      </c>
      <c r="C695" s="110">
        <v>1.0689612148673837</v>
      </c>
      <c r="G695" s="90">
        <v>679</v>
      </c>
      <c r="H695" s="100">
        <v>-4.2244464783584908E-2</v>
      </c>
      <c r="I695" s="100">
        <v>-7.4008830065870862E-2</v>
      </c>
    </row>
    <row r="696" spans="1:9">
      <c r="A696" s="90">
        <v>680</v>
      </c>
      <c r="B696" s="110">
        <v>1.1241444360150457</v>
      </c>
      <c r="C696" s="110">
        <v>1.0167709769592748</v>
      </c>
      <c r="G696" s="90">
        <v>680</v>
      </c>
      <c r="H696" s="100">
        <v>-0.10039034803262423</v>
      </c>
      <c r="I696" s="100">
        <v>-7.3956396059357651E-2</v>
      </c>
    </row>
    <row r="697" spans="1:9">
      <c r="A697" s="90">
        <v>681</v>
      </c>
      <c r="B697" s="110">
        <v>1.1084729396797921</v>
      </c>
      <c r="C697" s="110">
        <v>1.0481821801842679</v>
      </c>
      <c r="G697" s="90">
        <v>681</v>
      </c>
      <c r="H697" s="100">
        <v>-5.592593127587682E-2</v>
      </c>
      <c r="I697" s="100">
        <v>-7.3929274932866745E-2</v>
      </c>
    </row>
    <row r="698" spans="1:9">
      <c r="A698" s="90">
        <v>682</v>
      </c>
      <c r="B698" s="110">
        <v>1.1130292671324071</v>
      </c>
      <c r="C698" s="110">
        <v>1.0612168604069514</v>
      </c>
      <c r="G698" s="90">
        <v>682</v>
      </c>
      <c r="H698" s="100">
        <v>-4.7669136451083061E-2</v>
      </c>
      <c r="I698" s="100">
        <v>-7.3929219977065516E-2</v>
      </c>
    </row>
    <row r="699" spans="1:9">
      <c r="A699" s="90">
        <v>683</v>
      </c>
      <c r="B699" s="110">
        <v>1.1154021016778808</v>
      </c>
      <c r="C699" s="110">
        <v>1.0470524348906536</v>
      </c>
      <c r="G699" s="90">
        <v>683</v>
      </c>
      <c r="H699" s="100">
        <v>-6.3235957494196485E-2</v>
      </c>
      <c r="I699" s="100">
        <v>-7.3862624956440123E-2</v>
      </c>
    </row>
    <row r="700" spans="1:9">
      <c r="A700" s="90">
        <v>684</v>
      </c>
      <c r="B700" s="110">
        <v>1.1057138180181429</v>
      </c>
      <c r="C700" s="110">
        <v>1.0465841444812027</v>
      </c>
      <c r="G700" s="90">
        <v>684</v>
      </c>
      <c r="H700" s="100">
        <v>-5.495945027378818E-2</v>
      </c>
      <c r="I700" s="100">
        <v>-7.3853342094104935E-2</v>
      </c>
    </row>
    <row r="701" spans="1:9">
      <c r="A701" s="90">
        <v>685</v>
      </c>
      <c r="B701" s="110">
        <v>1.1145857263765313</v>
      </c>
      <c r="C701" s="110">
        <v>1.0759241185409034</v>
      </c>
      <c r="G701" s="90">
        <v>685</v>
      </c>
      <c r="H701" s="100">
        <v>-3.5302852570497228E-2</v>
      </c>
      <c r="I701" s="100">
        <v>-7.3852384967620768E-2</v>
      </c>
    </row>
    <row r="702" spans="1:9">
      <c r="A702" s="90">
        <v>686</v>
      </c>
      <c r="B702" s="110">
        <v>1.110579375955808</v>
      </c>
      <c r="C702" s="110">
        <v>1.0492979386732288</v>
      </c>
      <c r="G702" s="90">
        <v>686</v>
      </c>
      <c r="H702" s="100">
        <v>-5.6760528769092079E-2</v>
      </c>
      <c r="I702" s="100">
        <v>-7.3852047690083036E-2</v>
      </c>
    </row>
    <row r="703" spans="1:9">
      <c r="A703" s="90">
        <v>687</v>
      </c>
      <c r="B703" s="110">
        <v>1.1170751787571158</v>
      </c>
      <c r="C703" s="110">
        <v>1.052834023406493</v>
      </c>
      <c r="G703" s="90">
        <v>687</v>
      </c>
      <c r="H703" s="100">
        <v>-5.9228223859378093E-2</v>
      </c>
      <c r="I703" s="100">
        <v>-7.3844374880382577E-2</v>
      </c>
    </row>
    <row r="704" spans="1:9">
      <c r="A704" s="90">
        <v>688</v>
      </c>
      <c r="B704" s="110">
        <v>1.1031561517747397</v>
      </c>
      <c r="C704" s="110">
        <v>1.0458810409369654</v>
      </c>
      <c r="G704" s="90">
        <v>688</v>
      </c>
      <c r="H704" s="100">
        <v>-5.3315668728429771E-2</v>
      </c>
      <c r="I704" s="100">
        <v>-7.3843494711294963E-2</v>
      </c>
    </row>
    <row r="705" spans="1:9">
      <c r="A705" s="90">
        <v>689</v>
      </c>
      <c r="B705" s="110">
        <v>1.0999221227889224</v>
      </c>
      <c r="C705" s="110">
        <v>1.048428687376455</v>
      </c>
      <c r="G705" s="90">
        <v>689</v>
      </c>
      <c r="H705" s="100">
        <v>-4.7946824733776101E-2</v>
      </c>
      <c r="I705" s="100">
        <v>-7.3815650888341452E-2</v>
      </c>
    </row>
    <row r="706" spans="1:9">
      <c r="A706" s="90">
        <v>690</v>
      </c>
      <c r="B706" s="110">
        <v>1.1193525089257561</v>
      </c>
      <c r="C706" s="110">
        <v>1.0772786323932853</v>
      </c>
      <c r="G706" s="90">
        <v>690</v>
      </c>
      <c r="H706" s="100">
        <v>-3.8312324788088319E-2</v>
      </c>
      <c r="I706" s="100">
        <v>-7.3809559742888178E-2</v>
      </c>
    </row>
    <row r="707" spans="1:9">
      <c r="A707" s="90">
        <v>691</v>
      </c>
      <c r="B707" s="110">
        <v>1.1195294443390646</v>
      </c>
      <c r="C707" s="110">
        <v>1.0428657616814385</v>
      </c>
      <c r="G707" s="90">
        <v>691</v>
      </c>
      <c r="H707" s="100">
        <v>-7.0935994349997089E-2</v>
      </c>
      <c r="I707" s="100">
        <v>-7.3738118725593785E-2</v>
      </c>
    </row>
    <row r="708" spans="1:9">
      <c r="A708" s="90">
        <v>692</v>
      </c>
      <c r="B708" s="110">
        <v>1.0960740337849633</v>
      </c>
      <c r="C708" s="110">
        <v>1.0493925134093307</v>
      </c>
      <c r="G708" s="90">
        <v>692</v>
      </c>
      <c r="H708" s="100">
        <v>-4.3523297236349609E-2</v>
      </c>
      <c r="I708" s="100">
        <v>-7.3727903394932445E-2</v>
      </c>
    </row>
    <row r="709" spans="1:9">
      <c r="A709" s="90">
        <v>693</v>
      </c>
      <c r="B709" s="110">
        <v>1.0983809049408877</v>
      </c>
      <c r="C709" s="110">
        <v>1.0553045217503614</v>
      </c>
      <c r="G709" s="90">
        <v>693</v>
      </c>
      <c r="H709" s="100">
        <v>-4.0007819402819701E-2</v>
      </c>
      <c r="I709" s="100">
        <v>-7.3623944417524595E-2</v>
      </c>
    </row>
    <row r="710" spans="1:9">
      <c r="A710" s="90">
        <v>694</v>
      </c>
      <c r="B710" s="110">
        <v>1.0940414116895101</v>
      </c>
      <c r="C710" s="110">
        <v>1.0610997830331188</v>
      </c>
      <c r="G710" s="90">
        <v>694</v>
      </c>
      <c r="H710" s="100">
        <v>-3.0572655323429138E-2</v>
      </c>
      <c r="I710" s="100">
        <v>-7.3621463895900782E-2</v>
      </c>
    </row>
    <row r="711" spans="1:9">
      <c r="A711" s="90">
        <v>695</v>
      </c>
      <c r="B711" s="110">
        <v>1.106784749635829</v>
      </c>
      <c r="C711" s="110">
        <v>1.0523643404759582</v>
      </c>
      <c r="G711" s="90">
        <v>695</v>
      </c>
      <c r="H711" s="100">
        <v>-5.0419804438643794E-2</v>
      </c>
      <c r="I711" s="100">
        <v>-7.3606997330733476E-2</v>
      </c>
    </row>
    <row r="712" spans="1:9">
      <c r="A712" s="90">
        <v>696</v>
      </c>
      <c r="B712" s="110">
        <v>1.1053074995868406</v>
      </c>
      <c r="C712" s="110">
        <v>1.0529759864687305</v>
      </c>
      <c r="G712" s="90">
        <v>696</v>
      </c>
      <c r="H712" s="100">
        <v>-4.8503148407255357E-2</v>
      </c>
      <c r="I712" s="100">
        <v>-7.3585423335035552E-2</v>
      </c>
    </row>
    <row r="713" spans="1:9">
      <c r="A713" s="90">
        <v>697</v>
      </c>
      <c r="B713" s="110">
        <v>1.1126980460511919</v>
      </c>
      <c r="C713" s="110">
        <v>1.0307036200143955</v>
      </c>
      <c r="G713" s="90">
        <v>697</v>
      </c>
      <c r="H713" s="100">
        <v>-7.6546042892589941E-2</v>
      </c>
      <c r="I713" s="100">
        <v>-7.3571647124771725E-2</v>
      </c>
    </row>
    <row r="714" spans="1:9">
      <c r="A714" s="90">
        <v>698</v>
      </c>
      <c r="B714" s="110">
        <v>1.1008995643107369</v>
      </c>
      <c r="C714" s="110">
        <v>1.060234103969639</v>
      </c>
      <c r="G714" s="90">
        <v>698</v>
      </c>
      <c r="H714" s="100">
        <v>-3.7637894795663096E-2</v>
      </c>
      <c r="I714" s="100">
        <v>-7.3564157124765966E-2</v>
      </c>
    </row>
    <row r="715" spans="1:9">
      <c r="A715" s="90">
        <v>699</v>
      </c>
      <c r="B715" s="110">
        <v>1.1284970308612976</v>
      </c>
      <c r="C715" s="110">
        <v>1.0537618082379239</v>
      </c>
      <c r="G715" s="90">
        <v>699</v>
      </c>
      <c r="H715" s="100">
        <v>-6.8520250032195223E-2</v>
      </c>
      <c r="I715" s="100">
        <v>-7.3517171751102922E-2</v>
      </c>
    </row>
    <row r="716" spans="1:9">
      <c r="A716" s="90">
        <v>700</v>
      </c>
      <c r="B716" s="110">
        <v>1.0937059573572052</v>
      </c>
      <c r="C716" s="110">
        <v>1.0473652699052045</v>
      </c>
      <c r="G716" s="90">
        <v>700</v>
      </c>
      <c r="H716" s="100">
        <v>-4.3294146393542121E-2</v>
      </c>
      <c r="I716" s="100">
        <v>-7.351703858009194E-2</v>
      </c>
    </row>
    <row r="717" spans="1:9">
      <c r="A717" s="90">
        <v>701</v>
      </c>
      <c r="B717" s="110">
        <v>1.1032727319162128</v>
      </c>
      <c r="C717" s="110">
        <v>1.061119756943887</v>
      </c>
      <c r="G717" s="90">
        <v>701</v>
      </c>
      <c r="H717" s="100">
        <v>-3.8956248428229541E-2</v>
      </c>
      <c r="I717" s="100">
        <v>-7.3513394433935439E-2</v>
      </c>
    </row>
    <row r="718" spans="1:9">
      <c r="A718" s="90">
        <v>702</v>
      </c>
      <c r="B718" s="110">
        <v>1.1156023748391197</v>
      </c>
      <c r="C718" s="110">
        <v>1.0612681965991473</v>
      </c>
      <c r="G718" s="90">
        <v>702</v>
      </c>
      <c r="H718" s="100">
        <v>-4.9929900644368322E-2</v>
      </c>
      <c r="I718" s="100">
        <v>-7.3447235221979795E-2</v>
      </c>
    </row>
    <row r="719" spans="1:9">
      <c r="A719" s="90">
        <v>703</v>
      </c>
      <c r="B719" s="110">
        <v>1.1103633863796405</v>
      </c>
      <c r="C719" s="110">
        <v>1.0817588097391695</v>
      </c>
      <c r="G719" s="90">
        <v>703</v>
      </c>
      <c r="H719" s="100">
        <v>-2.6099092806149221E-2</v>
      </c>
      <c r="I719" s="100">
        <v>-7.3421905707331259E-2</v>
      </c>
    </row>
    <row r="720" spans="1:9">
      <c r="A720" s="90">
        <v>704</v>
      </c>
      <c r="B720" s="110">
        <v>1.1142326695992661</v>
      </c>
      <c r="C720" s="110">
        <v>1.0568806873891072</v>
      </c>
      <c r="G720" s="90">
        <v>704</v>
      </c>
      <c r="H720" s="100">
        <v>-5.2844157318920622E-2</v>
      </c>
      <c r="I720" s="100">
        <v>-7.3420028520970321E-2</v>
      </c>
    </row>
    <row r="721" spans="1:9">
      <c r="A721" s="90">
        <v>705</v>
      </c>
      <c r="B721" s="110">
        <v>1.1089132091417366</v>
      </c>
      <c r="C721" s="110">
        <v>1.0357373217718919</v>
      </c>
      <c r="G721" s="90">
        <v>705</v>
      </c>
      <c r="H721" s="100">
        <v>-6.8266883563675787E-2</v>
      </c>
      <c r="I721" s="100">
        <v>-7.340395503732107E-2</v>
      </c>
    </row>
    <row r="722" spans="1:9">
      <c r="A722" s="90">
        <v>706</v>
      </c>
      <c r="B722" s="110">
        <v>1.0895258438999669</v>
      </c>
      <c r="C722" s="110">
        <v>1.0687819789207393</v>
      </c>
      <c r="G722" s="90">
        <v>706</v>
      </c>
      <c r="H722" s="100">
        <v>-1.9222933383941675E-2</v>
      </c>
      <c r="I722" s="100">
        <v>-7.3341956096204808E-2</v>
      </c>
    </row>
    <row r="723" spans="1:9">
      <c r="A723" s="90">
        <v>707</v>
      </c>
      <c r="B723" s="110">
        <v>1.0964589000766378</v>
      </c>
      <c r="C723" s="110">
        <v>1.0677693861401967</v>
      </c>
      <c r="G723" s="90">
        <v>707</v>
      </c>
      <c r="H723" s="100">
        <v>-2.6514018701764768E-2</v>
      </c>
      <c r="I723" s="100">
        <v>-7.3336848688335662E-2</v>
      </c>
    </row>
    <row r="724" spans="1:9">
      <c r="A724" s="90">
        <v>708</v>
      </c>
      <c r="B724" s="110">
        <v>1.1048557393835086</v>
      </c>
      <c r="C724" s="110">
        <v>1.0670469674302738</v>
      </c>
      <c r="G724" s="90">
        <v>708</v>
      </c>
      <c r="H724" s="100">
        <v>-3.481978429184017E-2</v>
      </c>
      <c r="I724" s="100">
        <v>-7.3326546971516374E-2</v>
      </c>
    </row>
    <row r="725" spans="1:9">
      <c r="A725" s="90">
        <v>709</v>
      </c>
      <c r="B725" s="110">
        <v>1.0888931723841555</v>
      </c>
      <c r="C725" s="110">
        <v>1.0538752642253089</v>
      </c>
      <c r="G725" s="90">
        <v>709</v>
      </c>
      <c r="H725" s="100">
        <v>-3.2687644176198877E-2</v>
      </c>
      <c r="I725" s="100">
        <v>-7.3320903674440302E-2</v>
      </c>
    </row>
    <row r="726" spans="1:9">
      <c r="A726" s="90">
        <v>710</v>
      </c>
      <c r="B726" s="110">
        <v>1.0916019706943307</v>
      </c>
      <c r="C726" s="110">
        <v>1.0322828809851123</v>
      </c>
      <c r="G726" s="90">
        <v>710</v>
      </c>
      <c r="H726" s="100">
        <v>-5.5873576196917789E-2</v>
      </c>
      <c r="I726" s="100">
        <v>-7.3310153361592009E-2</v>
      </c>
    </row>
    <row r="727" spans="1:9">
      <c r="A727" s="90">
        <v>711</v>
      </c>
      <c r="B727" s="110">
        <v>1.1017451695791534</v>
      </c>
      <c r="C727" s="110">
        <v>1.0594151147630841</v>
      </c>
      <c r="G727" s="90">
        <v>711</v>
      </c>
      <c r="H727" s="100">
        <v>-3.9178463100926958E-2</v>
      </c>
      <c r="I727" s="100">
        <v>-7.3309245859363339E-2</v>
      </c>
    </row>
    <row r="728" spans="1:9">
      <c r="A728" s="90">
        <v>712</v>
      </c>
      <c r="B728" s="110">
        <v>1.0960830595552022</v>
      </c>
      <c r="C728" s="110">
        <v>1.0492470660497086</v>
      </c>
      <c r="G728" s="90">
        <v>712</v>
      </c>
      <c r="H728" s="100">
        <v>-4.3670142928067118E-2</v>
      </c>
      <c r="I728" s="100">
        <v>-7.3294125955228023E-2</v>
      </c>
    </row>
    <row r="729" spans="1:9">
      <c r="A729" s="90">
        <v>713</v>
      </c>
      <c r="B729" s="110">
        <v>1.0926732331963744</v>
      </c>
      <c r="C729" s="110">
        <v>1.0587530963069329</v>
      </c>
      <c r="G729" s="90">
        <v>713</v>
      </c>
      <c r="H729" s="100">
        <v>-3.1535309799355114E-2</v>
      </c>
      <c r="I729" s="100">
        <v>-7.3270154779793081E-2</v>
      </c>
    </row>
    <row r="730" spans="1:9">
      <c r="A730" s="90">
        <v>714</v>
      </c>
      <c r="B730" s="110">
        <v>1.1457240906325419</v>
      </c>
      <c r="C730" s="110">
        <v>1.0560534136113693</v>
      </c>
      <c r="G730" s="90">
        <v>714</v>
      </c>
      <c r="H730" s="100">
        <v>-8.1498065618930665E-2</v>
      </c>
      <c r="I730" s="100">
        <v>-7.3227926368355983E-2</v>
      </c>
    </row>
    <row r="731" spans="1:9">
      <c r="A731" s="90">
        <v>715</v>
      </c>
      <c r="B731" s="110">
        <v>1.112664691868742</v>
      </c>
      <c r="C731" s="110">
        <v>1.0820706007566674</v>
      </c>
      <c r="G731" s="90">
        <v>715</v>
      </c>
      <c r="H731" s="100">
        <v>-2.7881333203791769E-2</v>
      </c>
      <c r="I731" s="100">
        <v>-7.3221661502934118E-2</v>
      </c>
    </row>
    <row r="732" spans="1:9">
      <c r="A732" s="90">
        <v>716</v>
      </c>
      <c r="B732" s="110">
        <v>1.1379458643198719</v>
      </c>
      <c r="C732" s="110">
        <v>1.045889639312912</v>
      </c>
      <c r="G732" s="90">
        <v>716</v>
      </c>
      <c r="H732" s="100">
        <v>-8.4356910948779534E-2</v>
      </c>
      <c r="I732" s="100">
        <v>-7.3195064272976659E-2</v>
      </c>
    </row>
    <row r="733" spans="1:9">
      <c r="A733" s="90">
        <v>717</v>
      </c>
      <c r="B733" s="110">
        <v>1.1015875362339218</v>
      </c>
      <c r="C733" s="110">
        <v>1.0620040284293051</v>
      </c>
      <c r="G733" s="90">
        <v>717</v>
      </c>
      <c r="H733" s="100">
        <v>-3.6594638068456344E-2</v>
      </c>
      <c r="I733" s="100">
        <v>-7.31851737971837E-2</v>
      </c>
    </row>
    <row r="734" spans="1:9">
      <c r="A734" s="90">
        <v>718</v>
      </c>
      <c r="B734" s="110">
        <v>1.0899719033804431</v>
      </c>
      <c r="C734" s="110">
        <v>1.0707988789897147</v>
      </c>
      <c r="G734" s="90">
        <v>718</v>
      </c>
      <c r="H734" s="100">
        <v>-1.7746933420566869E-2</v>
      </c>
      <c r="I734" s="100">
        <v>-7.3172590474724131E-2</v>
      </c>
    </row>
    <row r="735" spans="1:9">
      <c r="A735" s="90">
        <v>719</v>
      </c>
      <c r="B735" s="110">
        <v>1.1284483829625893</v>
      </c>
      <c r="C735" s="110">
        <v>1.063275603308834</v>
      </c>
      <c r="G735" s="90">
        <v>719</v>
      </c>
      <c r="H735" s="100">
        <v>-5.9489241623323939E-2</v>
      </c>
      <c r="I735" s="100">
        <v>-7.3165404667272727E-2</v>
      </c>
    </row>
    <row r="736" spans="1:9">
      <c r="A736" s="90">
        <v>720</v>
      </c>
      <c r="B736" s="110">
        <v>1.114707852079178</v>
      </c>
      <c r="C736" s="110">
        <v>1.0555442978032281</v>
      </c>
      <c r="G736" s="90">
        <v>720</v>
      </c>
      <c r="H736" s="100">
        <v>-5.4535798533033045E-2</v>
      </c>
      <c r="I736" s="100">
        <v>-7.3147603856170196E-2</v>
      </c>
    </row>
    <row r="737" spans="1:9">
      <c r="A737" s="90">
        <v>721</v>
      </c>
      <c r="B737" s="110">
        <v>1.0979647474110763</v>
      </c>
      <c r="C737" s="110">
        <v>1.0594386302797232</v>
      </c>
      <c r="G737" s="90">
        <v>721</v>
      </c>
      <c r="H737" s="100">
        <v>-3.5719062625164714E-2</v>
      </c>
      <c r="I737" s="100">
        <v>-7.3111234321653909E-2</v>
      </c>
    </row>
    <row r="738" spans="1:9">
      <c r="A738" s="90">
        <v>722</v>
      </c>
      <c r="B738" s="110">
        <v>1.1094478484657948</v>
      </c>
      <c r="C738" s="110">
        <v>1.0255263662903986</v>
      </c>
      <c r="G738" s="90">
        <v>722</v>
      </c>
      <c r="H738" s="100">
        <v>-7.8656448880259605E-2</v>
      </c>
      <c r="I738" s="100">
        <v>-7.3101225922840893E-2</v>
      </c>
    </row>
    <row r="739" spans="1:9">
      <c r="A739" s="90">
        <v>723</v>
      </c>
      <c r="B739" s="110">
        <v>1.1354876767842088</v>
      </c>
      <c r="C739" s="110">
        <v>1.0605007718842669</v>
      </c>
      <c r="G739" s="90">
        <v>723</v>
      </c>
      <c r="H739" s="100">
        <v>-6.8321006954939201E-2</v>
      </c>
      <c r="I739" s="100">
        <v>-7.3071577283612771E-2</v>
      </c>
    </row>
    <row r="740" spans="1:9">
      <c r="A740" s="90">
        <v>724</v>
      </c>
      <c r="B740" s="110">
        <v>1.1049103969292422</v>
      </c>
      <c r="C740" s="110">
        <v>1.0659294083831461</v>
      </c>
      <c r="G740" s="90">
        <v>724</v>
      </c>
      <c r="H740" s="100">
        <v>-3.5917140408028576E-2</v>
      </c>
      <c r="I740" s="100">
        <v>-7.3063839041114673E-2</v>
      </c>
    </row>
    <row r="741" spans="1:9">
      <c r="A741" s="90">
        <v>725</v>
      </c>
      <c r="B741" s="110">
        <v>1.1033568778148499</v>
      </c>
      <c r="C741" s="110">
        <v>1.0498280069655299</v>
      </c>
      <c r="G741" s="90">
        <v>725</v>
      </c>
      <c r="H741" s="100">
        <v>-4.9730892040107541E-2</v>
      </c>
      <c r="I741" s="100">
        <v>-7.3048178966953176E-2</v>
      </c>
    </row>
    <row r="742" spans="1:9">
      <c r="A742" s="90">
        <v>726</v>
      </c>
      <c r="B742" s="110">
        <v>1.106571259930768</v>
      </c>
      <c r="C742" s="110">
        <v>1.0580698296706075</v>
      </c>
      <c r="G742" s="90">
        <v>726</v>
      </c>
      <c r="H742" s="100">
        <v>-4.4819946800857907E-2</v>
      </c>
      <c r="I742" s="100">
        <v>-7.3014793433065203E-2</v>
      </c>
    </row>
    <row r="743" spans="1:9">
      <c r="A743" s="90">
        <v>727</v>
      </c>
      <c r="B743" s="110">
        <v>1.124385534836726</v>
      </c>
      <c r="C743" s="110">
        <v>1.0387819703952808</v>
      </c>
      <c r="G743" s="90">
        <v>727</v>
      </c>
      <c r="H743" s="100">
        <v>-7.9187850712274133E-2</v>
      </c>
      <c r="I743" s="100">
        <v>-7.2981669080536035E-2</v>
      </c>
    </row>
    <row r="744" spans="1:9">
      <c r="A744" s="90">
        <v>728</v>
      </c>
      <c r="B744" s="110">
        <v>1.0717733485495688</v>
      </c>
      <c r="C744" s="110">
        <v>1.0386938285908944</v>
      </c>
      <c r="G744" s="90">
        <v>728</v>
      </c>
      <c r="H744" s="100">
        <v>-3.1350621942695903E-2</v>
      </c>
      <c r="I744" s="100">
        <v>-7.2966414249329772E-2</v>
      </c>
    </row>
    <row r="745" spans="1:9">
      <c r="A745" s="90">
        <v>729</v>
      </c>
      <c r="B745" s="110">
        <v>1.0869666703398102</v>
      </c>
      <c r="C745" s="110">
        <v>1.0228304238457775</v>
      </c>
      <c r="G745" s="90">
        <v>729</v>
      </c>
      <c r="H745" s="100">
        <v>-6.0817235970518108E-2</v>
      </c>
      <c r="I745" s="100">
        <v>-7.2951231742763092E-2</v>
      </c>
    </row>
    <row r="746" spans="1:9">
      <c r="A746" s="90">
        <v>730</v>
      </c>
      <c r="B746" s="110">
        <v>1.0989373621819618</v>
      </c>
      <c r="C746" s="110">
        <v>1.0284732069356324</v>
      </c>
      <c r="G746" s="90">
        <v>730</v>
      </c>
      <c r="H746" s="100">
        <v>-6.6268299362451363E-2</v>
      </c>
      <c r="I746" s="100">
        <v>-7.2943246787663049E-2</v>
      </c>
    </row>
    <row r="747" spans="1:9">
      <c r="A747" s="90">
        <v>731</v>
      </c>
      <c r="B747" s="110">
        <v>1.1096732118515431</v>
      </c>
      <c r="C747" s="110">
        <v>1.01729711292987</v>
      </c>
      <c r="G747" s="90">
        <v>731</v>
      </c>
      <c r="H747" s="100">
        <v>-8.6916347401261543E-2</v>
      </c>
      <c r="I747" s="100">
        <v>-7.2939584759798975E-2</v>
      </c>
    </row>
    <row r="748" spans="1:9">
      <c r="A748" s="90">
        <v>732</v>
      </c>
      <c r="B748" s="110">
        <v>1.1003132847544888</v>
      </c>
      <c r="C748" s="110">
        <v>1.052560320139333</v>
      </c>
      <c r="G748" s="90">
        <v>732</v>
      </c>
      <c r="H748" s="100">
        <v>-4.436934734908702E-2</v>
      </c>
      <c r="I748" s="100">
        <v>-7.291985682617641E-2</v>
      </c>
    </row>
    <row r="749" spans="1:9">
      <c r="A749" s="90">
        <v>733</v>
      </c>
      <c r="B749" s="110">
        <v>1.1499641668169747</v>
      </c>
      <c r="C749" s="110">
        <v>1.0588983056998948</v>
      </c>
      <c r="G749" s="90">
        <v>733</v>
      </c>
      <c r="H749" s="100">
        <v>-8.2501749203880911E-2</v>
      </c>
      <c r="I749" s="100">
        <v>-7.2904136550585308E-2</v>
      </c>
    </row>
    <row r="750" spans="1:9">
      <c r="A750" s="90">
        <v>734</v>
      </c>
      <c r="B750" s="110">
        <v>1.0913224714765353</v>
      </c>
      <c r="C750" s="110">
        <v>1.0525499872629931</v>
      </c>
      <c r="G750" s="90">
        <v>734</v>
      </c>
      <c r="H750" s="100">
        <v>-3.61744581166085E-2</v>
      </c>
      <c r="I750" s="100">
        <v>-7.2893820463790976E-2</v>
      </c>
    </row>
    <row r="751" spans="1:9">
      <c r="A751" s="90">
        <v>735</v>
      </c>
      <c r="B751" s="110">
        <v>1.1215392590364159</v>
      </c>
      <c r="C751" s="110">
        <v>1.0422605153689042</v>
      </c>
      <c r="G751" s="90">
        <v>735</v>
      </c>
      <c r="H751" s="100">
        <v>-7.3310153361592009E-2</v>
      </c>
      <c r="I751" s="100">
        <v>-7.2892041403659236E-2</v>
      </c>
    </row>
    <row r="752" spans="1:9">
      <c r="A752" s="90">
        <v>736</v>
      </c>
      <c r="B752" s="110">
        <v>1.1044325470856831</v>
      </c>
      <c r="C752" s="110">
        <v>1.0565907781673496</v>
      </c>
      <c r="G752" s="90">
        <v>736</v>
      </c>
      <c r="H752" s="100">
        <v>-4.4284193144899883E-2</v>
      </c>
      <c r="I752" s="100">
        <v>-7.2847169256063563E-2</v>
      </c>
    </row>
    <row r="753" spans="1:9">
      <c r="A753" s="90">
        <v>737</v>
      </c>
      <c r="B753" s="110">
        <v>1.0899705183108397</v>
      </c>
      <c r="C753" s="110">
        <v>1.0363144935873538</v>
      </c>
      <c r="G753" s="90">
        <v>737</v>
      </c>
      <c r="H753" s="100">
        <v>-5.0479985444570968E-2</v>
      </c>
      <c r="I753" s="100">
        <v>-7.2779666629527701E-2</v>
      </c>
    </row>
    <row r="754" spans="1:9">
      <c r="A754" s="90">
        <v>738</v>
      </c>
      <c r="B754" s="110">
        <v>1.0918571817751015</v>
      </c>
      <c r="C754" s="110">
        <v>1.045079177536085</v>
      </c>
      <c r="G754" s="90">
        <v>738</v>
      </c>
      <c r="H754" s="100">
        <v>-4.3787432325611345E-2</v>
      </c>
      <c r="I754" s="100">
        <v>-7.2764042312115779E-2</v>
      </c>
    </row>
    <row r="755" spans="1:9">
      <c r="A755" s="90">
        <v>739</v>
      </c>
      <c r="B755" s="110">
        <v>1.128261610295838</v>
      </c>
      <c r="C755" s="110">
        <v>1.0429145591276046</v>
      </c>
      <c r="G755" s="90">
        <v>739</v>
      </c>
      <c r="H755" s="100">
        <v>-7.8658795925611147E-2</v>
      </c>
      <c r="I755" s="100">
        <v>-7.2755475456870389E-2</v>
      </c>
    </row>
    <row r="756" spans="1:9">
      <c r="A756" s="90">
        <v>740</v>
      </c>
      <c r="B756" s="110">
        <v>1.0931680064868867</v>
      </c>
      <c r="C756" s="110">
        <v>1.0426609169778869</v>
      </c>
      <c r="G756" s="90">
        <v>740</v>
      </c>
      <c r="H756" s="100">
        <v>-4.7303889122596712E-2</v>
      </c>
      <c r="I756" s="100">
        <v>-7.2750382448907136E-2</v>
      </c>
    </row>
    <row r="757" spans="1:9">
      <c r="A757" s="90">
        <v>741</v>
      </c>
      <c r="B757" s="110">
        <v>1.1126956201667524</v>
      </c>
      <c r="C757" s="110">
        <v>1.0298854034490266</v>
      </c>
      <c r="G757" s="90">
        <v>741</v>
      </c>
      <c r="H757" s="100">
        <v>-7.7338020688170583E-2</v>
      </c>
      <c r="I757" s="100">
        <v>-7.2740533138114141E-2</v>
      </c>
    </row>
    <row r="758" spans="1:9">
      <c r="A758" s="90">
        <v>742</v>
      </c>
      <c r="B758" s="110">
        <v>1.0987427736164261</v>
      </c>
      <c r="C758" s="110">
        <v>1.0387274529729582</v>
      </c>
      <c r="G758" s="90">
        <v>742</v>
      </c>
      <c r="H758" s="100">
        <v>-5.6170232052843216E-2</v>
      </c>
      <c r="I758" s="100">
        <v>-7.2737752644635167E-2</v>
      </c>
    </row>
    <row r="759" spans="1:9">
      <c r="A759" s="90">
        <v>743</v>
      </c>
      <c r="B759" s="110">
        <v>1.1488697422660035</v>
      </c>
      <c r="C759" s="110">
        <v>1.0685033372511299</v>
      </c>
      <c r="G759" s="90">
        <v>743</v>
      </c>
      <c r="H759" s="100">
        <v>-7.2519707189184893E-2</v>
      </c>
      <c r="I759" s="100">
        <v>-7.27346416210011E-2</v>
      </c>
    </row>
    <row r="760" spans="1:9">
      <c r="A760" s="90">
        <v>744</v>
      </c>
      <c r="B760" s="110">
        <v>1.0895327765725265</v>
      </c>
      <c r="C760" s="110">
        <v>1.039890399303242</v>
      </c>
      <c r="G760" s="90">
        <v>744</v>
      </c>
      <c r="H760" s="100">
        <v>-4.663363668555106E-2</v>
      </c>
      <c r="I760" s="100">
        <v>-7.268911115529357E-2</v>
      </c>
    </row>
    <row r="761" spans="1:9">
      <c r="A761" s="90">
        <v>745</v>
      </c>
      <c r="B761" s="110">
        <v>1.1399313740854566</v>
      </c>
      <c r="C761" s="110">
        <v>1.0404816198069777</v>
      </c>
      <c r="G761" s="90">
        <v>745</v>
      </c>
      <c r="H761" s="100">
        <v>-9.128436049808486E-2</v>
      </c>
      <c r="I761" s="100">
        <v>-7.2674700450637383E-2</v>
      </c>
    </row>
    <row r="762" spans="1:9">
      <c r="A762" s="90">
        <v>746</v>
      </c>
      <c r="B762" s="110">
        <v>1.1162189833626543</v>
      </c>
      <c r="C762" s="110">
        <v>1.0481005399637118</v>
      </c>
      <c r="G762" s="90">
        <v>746</v>
      </c>
      <c r="H762" s="100">
        <v>-6.296754998404043E-2</v>
      </c>
      <c r="I762" s="100">
        <v>-7.2670990803427246E-2</v>
      </c>
    </row>
    <row r="763" spans="1:9">
      <c r="A763" s="90">
        <v>747</v>
      </c>
      <c r="B763" s="110">
        <v>1.1054192658054682</v>
      </c>
      <c r="C763" s="110">
        <v>1.0424467959114538</v>
      </c>
      <c r="G763" s="90">
        <v>747</v>
      </c>
      <c r="H763" s="100">
        <v>-5.8654050782587466E-2</v>
      </c>
      <c r="I763" s="100">
        <v>-7.2666230456397113E-2</v>
      </c>
    </row>
    <row r="764" spans="1:9">
      <c r="A764" s="90">
        <v>748</v>
      </c>
      <c r="B764" s="110">
        <v>1.0812267450934268</v>
      </c>
      <c r="C764" s="110">
        <v>1.0501496608734129</v>
      </c>
      <c r="G764" s="90">
        <v>748</v>
      </c>
      <c r="H764" s="100">
        <v>-2.9163583427061237E-2</v>
      </c>
      <c r="I764" s="100">
        <v>-7.2641729131924321E-2</v>
      </c>
    </row>
    <row r="765" spans="1:9">
      <c r="A765" s="90">
        <v>749</v>
      </c>
      <c r="B765" s="110">
        <v>1.1164982518862945</v>
      </c>
      <c r="C765" s="110">
        <v>1.0763581796564494</v>
      </c>
      <c r="G765" s="90">
        <v>749</v>
      </c>
      <c r="H765" s="100">
        <v>-3.6613939519496881E-2</v>
      </c>
      <c r="I765" s="100">
        <v>-7.2629799167679698E-2</v>
      </c>
    </row>
    <row r="766" spans="1:9">
      <c r="A766" s="90">
        <v>750</v>
      </c>
      <c r="B766" s="110">
        <v>1.1159050875619123</v>
      </c>
      <c r="C766" s="110">
        <v>1.05911840646536</v>
      </c>
      <c r="G766" s="90">
        <v>750</v>
      </c>
      <c r="H766" s="100">
        <v>-5.2228943292407126E-2</v>
      </c>
      <c r="I766" s="100">
        <v>-7.2578720197267896E-2</v>
      </c>
    </row>
    <row r="767" spans="1:9">
      <c r="A767" s="90">
        <v>751</v>
      </c>
      <c r="B767" s="110">
        <v>1.1041265717146849</v>
      </c>
      <c r="C767" s="110">
        <v>1.0719156398144545</v>
      </c>
      <c r="G767" s="90">
        <v>751</v>
      </c>
      <c r="H767" s="100">
        <v>-2.9607224226452698E-2</v>
      </c>
      <c r="I767" s="100">
        <v>-7.2565236271922212E-2</v>
      </c>
    </row>
    <row r="768" spans="1:9">
      <c r="A768" s="90">
        <v>752</v>
      </c>
      <c r="B768" s="110">
        <v>1.0774016189569575</v>
      </c>
      <c r="C768" s="110">
        <v>1.0521297634580316</v>
      </c>
      <c r="G768" s="90">
        <v>752</v>
      </c>
      <c r="H768" s="100">
        <v>-2.3735777911555914E-2</v>
      </c>
      <c r="I768" s="100">
        <v>-7.2519707189184893E-2</v>
      </c>
    </row>
    <row r="769" spans="1:9">
      <c r="A769" s="90">
        <v>753</v>
      </c>
      <c r="B769" s="110">
        <v>1.1022483383953905</v>
      </c>
      <c r="C769" s="110">
        <v>1.0643793015025083</v>
      </c>
      <c r="G769" s="90">
        <v>753</v>
      </c>
      <c r="H769" s="100">
        <v>-3.4960224020762432E-2</v>
      </c>
      <c r="I769" s="100">
        <v>-7.2502843307046774E-2</v>
      </c>
    </row>
    <row r="770" spans="1:9">
      <c r="A770" s="90">
        <v>754</v>
      </c>
      <c r="B770" s="110">
        <v>1.1009181552266063</v>
      </c>
      <c r="C770" s="110">
        <v>1.0562088142832411</v>
      </c>
      <c r="G770" s="90">
        <v>754</v>
      </c>
      <c r="H770" s="100">
        <v>-4.1458611682394717E-2</v>
      </c>
      <c r="I770" s="100">
        <v>-7.24844095851781E-2</v>
      </c>
    </row>
    <row r="771" spans="1:9">
      <c r="A771" s="90">
        <v>755</v>
      </c>
      <c r="B771" s="110">
        <v>1.0915086551524937</v>
      </c>
      <c r="C771" s="110">
        <v>1.0654421538789758</v>
      </c>
      <c r="G771" s="90">
        <v>755</v>
      </c>
      <c r="H771" s="100">
        <v>-2.4170945606515466E-2</v>
      </c>
      <c r="I771" s="100">
        <v>-7.2480617742291878E-2</v>
      </c>
    </row>
    <row r="772" spans="1:9">
      <c r="A772" s="90">
        <v>756</v>
      </c>
      <c r="B772" s="110">
        <v>1.1359715601433318</v>
      </c>
      <c r="C772" s="110">
        <v>1.0432568180934505</v>
      </c>
      <c r="G772" s="90">
        <v>756</v>
      </c>
      <c r="H772" s="100">
        <v>-8.5140908996462372E-2</v>
      </c>
      <c r="I772" s="100">
        <v>-7.2456930254005195E-2</v>
      </c>
    </row>
    <row r="773" spans="1:9">
      <c r="A773" s="90">
        <v>757</v>
      </c>
      <c r="B773" s="110">
        <v>1.1262782985196411</v>
      </c>
      <c r="C773" s="110">
        <v>1.0298803905855385</v>
      </c>
      <c r="G773" s="90">
        <v>757</v>
      </c>
      <c r="H773" s="100">
        <v>-8.9475986092964407E-2</v>
      </c>
      <c r="I773" s="100">
        <v>-7.2442868154661791E-2</v>
      </c>
    </row>
    <row r="774" spans="1:9">
      <c r="A774" s="90">
        <v>758</v>
      </c>
      <c r="B774" s="110">
        <v>1.0965020107441894</v>
      </c>
      <c r="C774" s="110">
        <v>1.0559747912003354</v>
      </c>
      <c r="G774" s="90">
        <v>758</v>
      </c>
      <c r="H774" s="100">
        <v>-3.7660809628404492E-2</v>
      </c>
      <c r="I774" s="100">
        <v>-7.2425355377050915E-2</v>
      </c>
    </row>
    <row r="775" spans="1:9">
      <c r="A775" s="90">
        <v>759</v>
      </c>
      <c r="B775" s="110">
        <v>1.150066914323447</v>
      </c>
      <c r="C775" s="110">
        <v>1.0685503911379333</v>
      </c>
      <c r="G775" s="90">
        <v>759</v>
      </c>
      <c r="H775" s="100">
        <v>-7.3517171751102922E-2</v>
      </c>
      <c r="I775" s="100">
        <v>-7.2416502046621062E-2</v>
      </c>
    </row>
    <row r="776" spans="1:9">
      <c r="A776" s="90">
        <v>760</v>
      </c>
      <c r="B776" s="110">
        <v>1.1103530692726817</v>
      </c>
      <c r="C776" s="110">
        <v>1.0796571991694259</v>
      </c>
      <c r="G776" s="90">
        <v>760</v>
      </c>
      <c r="H776" s="100">
        <v>-2.8034462598194577E-2</v>
      </c>
      <c r="I776" s="100">
        <v>-7.2395060367531044E-2</v>
      </c>
    </row>
    <row r="777" spans="1:9">
      <c r="A777" s="90">
        <v>761</v>
      </c>
      <c r="B777" s="110">
        <v>1.1297486486990147</v>
      </c>
      <c r="C777" s="110">
        <v>1.0403504089078766</v>
      </c>
      <c r="G777" s="90">
        <v>761</v>
      </c>
      <c r="H777" s="100">
        <v>-8.2437585155580417E-2</v>
      </c>
      <c r="I777" s="100">
        <v>-7.2381374102470891E-2</v>
      </c>
    </row>
    <row r="778" spans="1:9">
      <c r="A778" s="90">
        <v>762</v>
      </c>
      <c r="B778" s="110">
        <v>1.1157808345576741</v>
      </c>
      <c r="C778" s="110">
        <v>1.0370517892246056</v>
      </c>
      <c r="G778" s="90">
        <v>762</v>
      </c>
      <c r="H778" s="100">
        <v>-7.3172590474724131E-2</v>
      </c>
      <c r="I778" s="100">
        <v>-7.2358159802888497E-2</v>
      </c>
    </row>
    <row r="779" spans="1:9">
      <c r="A779" s="90">
        <v>763</v>
      </c>
      <c r="B779" s="110">
        <v>1.0820666497921012</v>
      </c>
      <c r="C779" s="110">
        <v>1.048207449692597</v>
      </c>
      <c r="G779" s="90">
        <v>763</v>
      </c>
      <c r="H779" s="100">
        <v>-3.1791262736314004E-2</v>
      </c>
      <c r="I779" s="100">
        <v>-7.2341735656968137E-2</v>
      </c>
    </row>
    <row r="780" spans="1:9">
      <c r="A780" s="90">
        <v>764</v>
      </c>
      <c r="B780" s="110">
        <v>1.1547807589532713</v>
      </c>
      <c r="C780" s="110">
        <v>1.0685035140160286</v>
      </c>
      <c r="G780" s="90">
        <v>764</v>
      </c>
      <c r="H780" s="100">
        <v>-7.7651422358590225E-2</v>
      </c>
      <c r="I780" s="100">
        <v>-7.2337217817531801E-2</v>
      </c>
    </row>
    <row r="781" spans="1:9">
      <c r="A781" s="90">
        <v>765</v>
      </c>
      <c r="B781" s="110">
        <v>1.1161736058643166</v>
      </c>
      <c r="C781" s="110">
        <v>1.0447858679301383</v>
      </c>
      <c r="G781" s="90">
        <v>765</v>
      </c>
      <c r="H781" s="100">
        <v>-6.6094459323116292E-2</v>
      </c>
      <c r="I781" s="100">
        <v>-7.2298784081971212E-2</v>
      </c>
    </row>
    <row r="782" spans="1:9">
      <c r="A782" s="90">
        <v>766</v>
      </c>
      <c r="B782" s="110">
        <v>1.1278335746677906</v>
      </c>
      <c r="C782" s="110">
        <v>1.0699877110958391</v>
      </c>
      <c r="G782" s="90">
        <v>766</v>
      </c>
      <c r="H782" s="100">
        <v>-5.2651438551911504E-2</v>
      </c>
      <c r="I782" s="100">
        <v>-7.2298711896460227E-2</v>
      </c>
    </row>
    <row r="783" spans="1:9">
      <c r="A783" s="90">
        <v>767</v>
      </c>
      <c r="B783" s="110">
        <v>1.1050118073581339</v>
      </c>
      <c r="C783" s="110">
        <v>1.0694069683779437</v>
      </c>
      <c r="G783" s="90">
        <v>767</v>
      </c>
      <c r="H783" s="100">
        <v>-3.2751760636669305E-2</v>
      </c>
      <c r="I783" s="100">
        <v>-7.2247705134612775E-2</v>
      </c>
    </row>
    <row r="784" spans="1:9">
      <c r="A784" s="90">
        <v>768</v>
      </c>
      <c r="B784" s="110">
        <v>1.1098477939463915</v>
      </c>
      <c r="C784" s="110">
        <v>1.0615092692255881</v>
      </c>
      <c r="G784" s="90">
        <v>768</v>
      </c>
      <c r="H784" s="100">
        <v>-4.4531149032655669E-2</v>
      </c>
      <c r="I784" s="100">
        <v>-7.2189597850511211E-2</v>
      </c>
    </row>
    <row r="785" spans="1:9">
      <c r="A785" s="90">
        <v>769</v>
      </c>
      <c r="B785" s="110">
        <v>1.1155485596960575</v>
      </c>
      <c r="C785" s="110">
        <v>1.0657525881607639</v>
      </c>
      <c r="G785" s="90">
        <v>769</v>
      </c>
      <c r="H785" s="100">
        <v>-4.5665060570974997E-2</v>
      </c>
      <c r="I785" s="100">
        <v>-7.2179750925381231E-2</v>
      </c>
    </row>
    <row r="786" spans="1:9">
      <c r="A786" s="90">
        <v>770</v>
      </c>
      <c r="B786" s="110">
        <v>1.1022435420677201</v>
      </c>
      <c r="C786" s="110">
        <v>1.0822819069984249</v>
      </c>
      <c r="G786" s="90">
        <v>770</v>
      </c>
      <c r="H786" s="100">
        <v>-1.8275997373867432E-2</v>
      </c>
      <c r="I786" s="100">
        <v>-7.2175593417822953E-2</v>
      </c>
    </row>
    <row r="787" spans="1:9">
      <c r="A787" s="90">
        <v>771</v>
      </c>
      <c r="B787" s="110">
        <v>1.1203084747165781</v>
      </c>
      <c r="C787" s="110">
        <v>1.0530777150136614</v>
      </c>
      <c r="G787" s="90">
        <v>771</v>
      </c>
      <c r="H787" s="100">
        <v>-6.18870373786276E-2</v>
      </c>
      <c r="I787" s="100">
        <v>-7.2172953781471941E-2</v>
      </c>
    </row>
    <row r="788" spans="1:9">
      <c r="A788" s="90">
        <v>772</v>
      </c>
      <c r="B788" s="110">
        <v>1.0870671839817949</v>
      </c>
      <c r="C788" s="110">
        <v>1.0514058432428308</v>
      </c>
      <c r="G788" s="90">
        <v>772</v>
      </c>
      <c r="H788" s="100">
        <v>-3.3355246049262294E-2</v>
      </c>
      <c r="I788" s="100">
        <v>-7.2130293537295623E-2</v>
      </c>
    </row>
    <row r="789" spans="1:9">
      <c r="A789" s="90">
        <v>773</v>
      </c>
      <c r="B789" s="110">
        <v>1.1008396036044721</v>
      </c>
      <c r="C789" s="110">
        <v>1.0446282915780447</v>
      </c>
      <c r="G789" s="90">
        <v>773</v>
      </c>
      <c r="H789" s="100">
        <v>-5.2412044360724261E-2</v>
      </c>
      <c r="I789" s="100">
        <v>-7.2111530910241917E-2</v>
      </c>
    </row>
    <row r="790" spans="1:9">
      <c r="A790" s="90">
        <v>774</v>
      </c>
      <c r="B790" s="110">
        <v>1.0979992960612628</v>
      </c>
      <c r="C790" s="110">
        <v>1.0580494677484622</v>
      </c>
      <c r="G790" s="90">
        <v>774</v>
      </c>
      <c r="H790" s="100">
        <v>-3.706261372816913E-2</v>
      </c>
      <c r="I790" s="100">
        <v>-7.2110562555548832E-2</v>
      </c>
    </row>
    <row r="791" spans="1:9">
      <c r="A791" s="90">
        <v>775</v>
      </c>
      <c r="B791" s="110">
        <v>1.1043715432570276</v>
      </c>
      <c r="C791" s="110">
        <v>1.0362919535501647</v>
      </c>
      <c r="G791" s="90">
        <v>775</v>
      </c>
      <c r="H791" s="100">
        <v>-6.3627521459500236E-2</v>
      </c>
      <c r="I791" s="100">
        <v>-7.2108739912555703E-2</v>
      </c>
    </row>
    <row r="792" spans="1:9">
      <c r="A792" s="90">
        <v>776</v>
      </c>
      <c r="B792" s="110">
        <v>1.1068790417770034</v>
      </c>
      <c r="C792" s="110">
        <v>1.0404509423357065</v>
      </c>
      <c r="G792" s="90">
        <v>776</v>
      </c>
      <c r="H792" s="100">
        <v>-6.1890163492642584E-2</v>
      </c>
      <c r="I792" s="100">
        <v>-7.2092088790839906E-2</v>
      </c>
    </row>
    <row r="793" spans="1:9">
      <c r="A793" s="90">
        <v>777</v>
      </c>
      <c r="B793" s="110">
        <v>1.105916822009029</v>
      </c>
      <c r="C793" s="110">
        <v>1.0571516864175716</v>
      </c>
      <c r="G793" s="90">
        <v>777</v>
      </c>
      <c r="H793" s="100">
        <v>-4.5096490995346412E-2</v>
      </c>
      <c r="I793" s="100">
        <v>-7.2052961916080654E-2</v>
      </c>
    </row>
    <row r="794" spans="1:9">
      <c r="A794" s="90">
        <v>778</v>
      </c>
      <c r="B794" s="110">
        <v>1.1078314146472654</v>
      </c>
      <c r="C794" s="110">
        <v>1.0469346417743515</v>
      </c>
      <c r="G794" s="90">
        <v>778</v>
      </c>
      <c r="H794" s="100">
        <v>-5.6537918247609308E-2</v>
      </c>
      <c r="I794" s="100">
        <v>-7.2028859041708679E-2</v>
      </c>
    </row>
    <row r="795" spans="1:9">
      <c r="A795" s="90">
        <v>779</v>
      </c>
      <c r="B795" s="110">
        <v>1.1179059581979482</v>
      </c>
      <c r="C795" s="110">
        <v>1.0435737687491202</v>
      </c>
      <c r="G795" s="90">
        <v>779</v>
      </c>
      <c r="H795" s="100">
        <v>-6.8806116478033169E-2</v>
      </c>
      <c r="I795" s="100">
        <v>-7.2006249730758531E-2</v>
      </c>
    </row>
    <row r="796" spans="1:9">
      <c r="A796" s="90">
        <v>780</v>
      </c>
      <c r="B796" s="110">
        <v>1.1392154280143021</v>
      </c>
      <c r="C796" s="110">
        <v>1.0448517329229701</v>
      </c>
      <c r="G796" s="90">
        <v>780</v>
      </c>
      <c r="H796" s="100">
        <v>-8.646481145334875E-2</v>
      </c>
      <c r="I796" s="100">
        <v>-7.1981363217074323E-2</v>
      </c>
    </row>
    <row r="797" spans="1:9">
      <c r="A797" s="90">
        <v>781</v>
      </c>
      <c r="B797" s="110">
        <v>1.0932221147374834</v>
      </c>
      <c r="C797" s="110">
        <v>1.046720763094616</v>
      </c>
      <c r="G797" s="90">
        <v>781</v>
      </c>
      <c r="H797" s="100">
        <v>-4.346720982644281E-2</v>
      </c>
      <c r="I797" s="100">
        <v>-7.1971315368844269E-2</v>
      </c>
    </row>
    <row r="798" spans="1:9">
      <c r="A798" s="90">
        <v>782</v>
      </c>
      <c r="B798" s="110">
        <v>1.104401835161182</v>
      </c>
      <c r="C798" s="110">
        <v>1.0602257568086875</v>
      </c>
      <c r="G798" s="90">
        <v>782</v>
      </c>
      <c r="H798" s="100">
        <v>-4.0821999185343863E-2</v>
      </c>
      <c r="I798" s="100">
        <v>-7.1943009124051868E-2</v>
      </c>
    </row>
    <row r="799" spans="1:9">
      <c r="A799" s="90">
        <v>783</v>
      </c>
      <c r="B799" s="110">
        <v>1.1340332346051576</v>
      </c>
      <c r="C799" s="110">
        <v>1.0630521911978368</v>
      </c>
      <c r="G799" s="90">
        <v>783</v>
      </c>
      <c r="H799" s="100">
        <v>-6.4636316111095632E-2</v>
      </c>
      <c r="I799" s="100">
        <v>-7.1932200451047049E-2</v>
      </c>
    </row>
    <row r="800" spans="1:9">
      <c r="A800" s="90">
        <v>784</v>
      </c>
      <c r="B800" s="110">
        <v>1.1117059343272997</v>
      </c>
      <c r="C800" s="110">
        <v>1.04095340113877</v>
      </c>
      <c r="G800" s="90">
        <v>784</v>
      </c>
      <c r="H800" s="100">
        <v>-6.5758688233122226E-2</v>
      </c>
      <c r="I800" s="100">
        <v>-7.1920309309525893E-2</v>
      </c>
    </row>
    <row r="801" spans="1:9">
      <c r="A801" s="90">
        <v>785</v>
      </c>
      <c r="B801" s="110">
        <v>1.1491603318449231</v>
      </c>
      <c r="C801" s="110">
        <v>1.0505802721374111</v>
      </c>
      <c r="G801" s="90">
        <v>785</v>
      </c>
      <c r="H801" s="100">
        <v>-8.9688877815798582E-2</v>
      </c>
      <c r="I801" s="100">
        <v>-7.1904548686533842E-2</v>
      </c>
    </row>
    <row r="802" spans="1:9">
      <c r="A802" s="90">
        <v>786</v>
      </c>
      <c r="B802" s="110">
        <v>1.1484477561395048</v>
      </c>
      <c r="C802" s="110">
        <v>1.0476488603324348</v>
      </c>
      <c r="G802" s="90">
        <v>786</v>
      </c>
      <c r="H802" s="100">
        <v>-9.1862780515238954E-2</v>
      </c>
      <c r="I802" s="100">
        <v>-7.1900425110275237E-2</v>
      </c>
    </row>
    <row r="803" spans="1:9">
      <c r="A803" s="90">
        <v>787</v>
      </c>
      <c r="B803" s="110">
        <v>1.0928561592074644</v>
      </c>
      <c r="C803" s="110">
        <v>1.0514129638029837</v>
      </c>
      <c r="G803" s="90">
        <v>787</v>
      </c>
      <c r="H803" s="100">
        <v>-3.8659659344948465E-2</v>
      </c>
      <c r="I803" s="100">
        <v>-7.1881685698636483E-2</v>
      </c>
    </row>
    <row r="804" spans="1:9">
      <c r="A804" s="90">
        <v>788</v>
      </c>
      <c r="B804" s="110">
        <v>1.095235172789121</v>
      </c>
      <c r="C804" s="110">
        <v>1.0824387731044784</v>
      </c>
      <c r="G804" s="90">
        <v>788</v>
      </c>
      <c r="H804" s="100">
        <v>-1.1752491226809958E-2</v>
      </c>
      <c r="I804" s="100">
        <v>-7.1841968251268915E-2</v>
      </c>
    </row>
    <row r="805" spans="1:9">
      <c r="A805" s="90">
        <v>789</v>
      </c>
      <c r="B805" s="110">
        <v>1.1185034306698025</v>
      </c>
      <c r="C805" s="110">
        <v>1.057929718680833</v>
      </c>
      <c r="G805" s="90">
        <v>789</v>
      </c>
      <c r="H805" s="100">
        <v>-5.5677666387628937E-2</v>
      </c>
      <c r="I805" s="100">
        <v>-7.1829956384092244E-2</v>
      </c>
    </row>
    <row r="806" spans="1:9">
      <c r="A806" s="90">
        <v>790</v>
      </c>
      <c r="B806" s="110">
        <v>1.1044120442122778</v>
      </c>
      <c r="C806" s="110">
        <v>1.0629872179602875</v>
      </c>
      <c r="G806" s="90">
        <v>790</v>
      </c>
      <c r="H806" s="100">
        <v>-3.8230031884560832E-2</v>
      </c>
      <c r="I806" s="100">
        <v>-7.1809280575157619E-2</v>
      </c>
    </row>
    <row r="807" spans="1:9">
      <c r="A807" s="90">
        <v>791</v>
      </c>
      <c r="B807" s="110">
        <v>1.1027941819534202</v>
      </c>
      <c r="C807" s="110">
        <v>1.0551417935858483</v>
      </c>
      <c r="G807" s="90">
        <v>791</v>
      </c>
      <c r="H807" s="100">
        <v>-4.4171965049268222E-2</v>
      </c>
      <c r="I807" s="100">
        <v>-7.1791074694682919E-2</v>
      </c>
    </row>
    <row r="808" spans="1:9">
      <c r="A808" s="90">
        <v>792</v>
      </c>
      <c r="B808" s="110">
        <v>1.1187369952217576</v>
      </c>
      <c r="C808" s="110">
        <v>1.0526635576204697</v>
      </c>
      <c r="G808" s="90">
        <v>792</v>
      </c>
      <c r="H808" s="100">
        <v>-6.0876692491036062E-2</v>
      </c>
      <c r="I808" s="100">
        <v>-7.1768203212825066E-2</v>
      </c>
    </row>
    <row r="809" spans="1:9">
      <c r="A809" s="90">
        <v>793</v>
      </c>
      <c r="B809" s="110">
        <v>1.1036464904133525</v>
      </c>
      <c r="C809" s="110">
        <v>1.0476416965504507</v>
      </c>
      <c r="G809" s="90">
        <v>793</v>
      </c>
      <c r="H809" s="100">
        <v>-5.2078053782751238E-2</v>
      </c>
      <c r="I809" s="100">
        <v>-7.1723169250480487E-2</v>
      </c>
    </row>
    <row r="810" spans="1:9">
      <c r="A810" s="90">
        <v>794</v>
      </c>
      <c r="B810" s="110">
        <v>1.0894813622652608</v>
      </c>
      <c r="C810" s="110">
        <v>1.0745116522927372</v>
      </c>
      <c r="G810" s="90">
        <v>794</v>
      </c>
      <c r="H810" s="100">
        <v>-1.3835487142292765E-2</v>
      </c>
      <c r="I810" s="100">
        <v>-7.1685774877135178E-2</v>
      </c>
    </row>
    <row r="811" spans="1:9">
      <c r="A811" s="90">
        <v>795</v>
      </c>
      <c r="B811" s="110">
        <v>1.1098696455509136</v>
      </c>
      <c r="C811" s="110">
        <v>1.0498747814803131</v>
      </c>
      <c r="G811" s="90">
        <v>795</v>
      </c>
      <c r="H811" s="100">
        <v>-5.5571670662559101E-2</v>
      </c>
      <c r="I811" s="100">
        <v>-7.1681230742097701E-2</v>
      </c>
    </row>
    <row r="812" spans="1:9">
      <c r="A812" s="90">
        <v>796</v>
      </c>
      <c r="B812" s="110">
        <v>1.1033741967990685</v>
      </c>
      <c r="C812" s="110">
        <v>1.0672364911872247</v>
      </c>
      <c r="G812" s="90">
        <v>796</v>
      </c>
      <c r="H812" s="100">
        <v>-3.3300347422841249E-2</v>
      </c>
      <c r="I812" s="100">
        <v>-7.1673398812942241E-2</v>
      </c>
    </row>
    <row r="813" spans="1:9">
      <c r="A813" s="90">
        <v>797</v>
      </c>
      <c r="B813" s="110">
        <v>1.1297905368121515</v>
      </c>
      <c r="C813" s="110">
        <v>1.0511056940251635</v>
      </c>
      <c r="G813" s="90">
        <v>797</v>
      </c>
      <c r="H813" s="100">
        <v>-7.2189597850511211E-2</v>
      </c>
      <c r="I813" s="100">
        <v>-7.1652339342117954E-2</v>
      </c>
    </row>
    <row r="814" spans="1:9">
      <c r="A814" s="90">
        <v>798</v>
      </c>
      <c r="B814" s="110">
        <v>1.0913048217375938</v>
      </c>
      <c r="C814" s="110">
        <v>1.0653280655662816</v>
      </c>
      <c r="G814" s="90">
        <v>798</v>
      </c>
      <c r="H814" s="100">
        <v>-2.4091269958842622E-2</v>
      </c>
      <c r="I814" s="100">
        <v>-7.1650151992063774E-2</v>
      </c>
    </row>
    <row r="815" spans="1:9">
      <c r="A815" s="90">
        <v>799</v>
      </c>
      <c r="B815" s="110">
        <v>1.1181278724364305</v>
      </c>
      <c r="C815" s="110">
        <v>1.0749034713193153</v>
      </c>
      <c r="G815" s="90">
        <v>799</v>
      </c>
      <c r="H815" s="100">
        <v>-3.9424880827346916E-2</v>
      </c>
      <c r="I815" s="100">
        <v>-7.1612684355329359E-2</v>
      </c>
    </row>
    <row r="816" spans="1:9">
      <c r="A816" s="90">
        <v>800</v>
      </c>
      <c r="B816" s="110">
        <v>1.095484484720495</v>
      </c>
      <c r="C816" s="110">
        <v>1.0431853303386338</v>
      </c>
      <c r="G816" s="90">
        <v>800</v>
      </c>
      <c r="H816" s="100">
        <v>-4.8917867299079071E-2</v>
      </c>
      <c r="I816" s="100">
        <v>-7.1608445345114222E-2</v>
      </c>
    </row>
    <row r="817" spans="1:9">
      <c r="A817" s="90">
        <v>801</v>
      </c>
      <c r="B817" s="110">
        <v>1.1194396523188177</v>
      </c>
      <c r="C817" s="110">
        <v>1.0551371140197103</v>
      </c>
      <c r="G817" s="90">
        <v>801</v>
      </c>
      <c r="H817" s="100">
        <v>-5.9157525301698606E-2</v>
      </c>
      <c r="I817" s="100">
        <v>-7.160055611842471E-2</v>
      </c>
    </row>
    <row r="818" spans="1:9">
      <c r="A818" s="90">
        <v>802</v>
      </c>
      <c r="B818" s="110">
        <v>1.1219055208511632</v>
      </c>
      <c r="C818" s="110">
        <v>1.0708326847129968</v>
      </c>
      <c r="G818" s="90">
        <v>802</v>
      </c>
      <c r="H818" s="100">
        <v>-4.6592041702417417E-2</v>
      </c>
      <c r="I818" s="100">
        <v>-7.1587700027265597E-2</v>
      </c>
    </row>
    <row r="819" spans="1:9">
      <c r="A819" s="90">
        <v>803</v>
      </c>
      <c r="B819" s="110">
        <v>1.0960774511429563</v>
      </c>
      <c r="C819" s="110">
        <v>1.0517843844963835</v>
      </c>
      <c r="G819" s="90">
        <v>803</v>
      </c>
      <c r="H819" s="100">
        <v>-4.1249717524499165E-2</v>
      </c>
      <c r="I819" s="100">
        <v>-7.1576741452691245E-2</v>
      </c>
    </row>
    <row r="820" spans="1:9">
      <c r="A820" s="90">
        <v>804</v>
      </c>
      <c r="B820" s="110">
        <v>1.100355231704075</v>
      </c>
      <c r="C820" s="110">
        <v>1.0492118779157737</v>
      </c>
      <c r="G820" s="90">
        <v>804</v>
      </c>
      <c r="H820" s="100">
        <v>-4.759377571119134E-2</v>
      </c>
      <c r="I820" s="100">
        <v>-7.1576521429957532E-2</v>
      </c>
    </row>
    <row r="821" spans="1:9">
      <c r="A821" s="90">
        <v>805</v>
      </c>
      <c r="B821" s="110">
        <v>1.1043544688978675</v>
      </c>
      <c r="C821" s="110">
        <v>1.0574372804128891</v>
      </c>
      <c r="G821" s="90">
        <v>805</v>
      </c>
      <c r="H821" s="100">
        <v>-4.3412652343791304E-2</v>
      </c>
      <c r="I821" s="100">
        <v>-7.1575547754435101E-2</v>
      </c>
    </row>
    <row r="822" spans="1:9">
      <c r="A822" s="90">
        <v>806</v>
      </c>
      <c r="B822" s="110">
        <v>1.1189187050511598</v>
      </c>
      <c r="C822" s="110">
        <v>1.0638324008631275</v>
      </c>
      <c r="G822" s="90">
        <v>806</v>
      </c>
      <c r="H822" s="100">
        <v>-5.0484916522764246E-2</v>
      </c>
      <c r="I822" s="100">
        <v>-7.1562871108271864E-2</v>
      </c>
    </row>
    <row r="823" spans="1:9">
      <c r="A823" s="90">
        <v>807</v>
      </c>
      <c r="B823" s="110">
        <v>1.0998018946352304</v>
      </c>
      <c r="C823" s="110">
        <v>1.0520038830298737</v>
      </c>
      <c r="G823" s="90">
        <v>807</v>
      </c>
      <c r="H823" s="100">
        <v>-4.4433262397235343E-2</v>
      </c>
      <c r="I823" s="100">
        <v>-7.155244544357689E-2</v>
      </c>
    </row>
    <row r="824" spans="1:9">
      <c r="A824" s="90">
        <v>808</v>
      </c>
      <c r="B824" s="110">
        <v>1.0890225955383128</v>
      </c>
      <c r="C824" s="110">
        <v>1.0572989692896728</v>
      </c>
      <c r="G824" s="90">
        <v>808</v>
      </c>
      <c r="H824" s="100">
        <v>-2.9563078718384306E-2</v>
      </c>
      <c r="I824" s="100">
        <v>-7.1549690457876833E-2</v>
      </c>
    </row>
    <row r="825" spans="1:9">
      <c r="A825" s="90">
        <v>809</v>
      </c>
      <c r="B825" s="110">
        <v>1.0847297400885099</v>
      </c>
      <c r="C825" s="110">
        <v>1.0582412461841819</v>
      </c>
      <c r="G825" s="90">
        <v>809</v>
      </c>
      <c r="H825" s="100">
        <v>-2.472254007764358E-2</v>
      </c>
      <c r="I825" s="100">
        <v>-7.1526117588911933E-2</v>
      </c>
    </row>
    <row r="826" spans="1:9">
      <c r="A826" s="90">
        <v>810</v>
      </c>
      <c r="B826" s="110">
        <v>1.1141167318682981</v>
      </c>
      <c r="C826" s="110">
        <v>1.0582824449433965</v>
      </c>
      <c r="G826" s="90">
        <v>810</v>
      </c>
      <c r="H826" s="100">
        <v>-5.1414663250204128E-2</v>
      </c>
      <c r="I826" s="100">
        <v>-7.1520422693961139E-2</v>
      </c>
    </row>
    <row r="827" spans="1:9">
      <c r="A827" s="90">
        <v>811</v>
      </c>
      <c r="B827" s="110">
        <v>1.0830390769076175</v>
      </c>
      <c r="C827" s="110">
        <v>1.0345699254570426</v>
      </c>
      <c r="G827" s="90">
        <v>811</v>
      </c>
      <c r="H827" s="100">
        <v>-4.5785240060699374E-2</v>
      </c>
      <c r="I827" s="100">
        <v>-7.1498922516125621E-2</v>
      </c>
    </row>
    <row r="828" spans="1:9">
      <c r="A828" s="90">
        <v>812</v>
      </c>
      <c r="B828" s="110">
        <v>1.0970627905694113</v>
      </c>
      <c r="C828" s="110">
        <v>1.0681364879096578</v>
      </c>
      <c r="G828" s="90">
        <v>812</v>
      </c>
      <c r="H828" s="100">
        <v>-2.6720888054907091E-2</v>
      </c>
      <c r="I828" s="100">
        <v>-7.1457353754276462E-2</v>
      </c>
    </row>
    <row r="829" spans="1:9">
      <c r="A829" s="90">
        <v>813</v>
      </c>
      <c r="B829" s="110">
        <v>1.1003813431612293</v>
      </c>
      <c r="C829" s="110">
        <v>1.0529037433666069</v>
      </c>
      <c r="G829" s="90">
        <v>813</v>
      </c>
      <c r="H829" s="100">
        <v>-4.4104978161407189E-2</v>
      </c>
      <c r="I829" s="100">
        <v>-7.1451379371178431E-2</v>
      </c>
    </row>
    <row r="830" spans="1:9">
      <c r="A830" s="90">
        <v>814</v>
      </c>
      <c r="B830" s="110">
        <v>1.1213573553628242</v>
      </c>
      <c r="C830" s="110">
        <v>1.048301536027348</v>
      </c>
      <c r="G830" s="90">
        <v>814</v>
      </c>
      <c r="H830" s="100">
        <v>-6.7368606219663008E-2</v>
      </c>
      <c r="I830" s="100">
        <v>-7.1447617113696252E-2</v>
      </c>
    </row>
    <row r="831" spans="1:9">
      <c r="A831" s="90">
        <v>815</v>
      </c>
      <c r="B831" s="110">
        <v>1.0912462392605264</v>
      </c>
      <c r="C831" s="110">
        <v>1.0573932818832681</v>
      </c>
      <c r="G831" s="90">
        <v>815</v>
      </c>
      <c r="H831" s="100">
        <v>-3.1513670529006034E-2</v>
      </c>
      <c r="I831" s="100">
        <v>-7.1446617607701407E-2</v>
      </c>
    </row>
    <row r="832" spans="1:9">
      <c r="A832" s="90">
        <v>816</v>
      </c>
      <c r="B832" s="110">
        <v>1.1153422473051371</v>
      </c>
      <c r="C832" s="110">
        <v>1.0478568079903827</v>
      </c>
      <c r="G832" s="90">
        <v>816</v>
      </c>
      <c r="H832" s="100">
        <v>-6.2414363102165193E-2</v>
      </c>
      <c r="I832" s="100">
        <v>-7.1440405129688189E-2</v>
      </c>
    </row>
    <row r="833" spans="1:9">
      <c r="A833" s="90">
        <v>817</v>
      </c>
      <c r="B833" s="110">
        <v>1.1099693538949618</v>
      </c>
      <c r="C833" s="110">
        <v>1.0439866173074666</v>
      </c>
      <c r="G833" s="90">
        <v>817</v>
      </c>
      <c r="H833" s="100">
        <v>-6.1285735132188275E-2</v>
      </c>
      <c r="I833" s="100">
        <v>-7.1439486563892637E-2</v>
      </c>
    </row>
    <row r="834" spans="1:9">
      <c r="A834" s="90">
        <v>818</v>
      </c>
      <c r="B834" s="110">
        <v>1.1017197654812561</v>
      </c>
      <c r="C834" s="110">
        <v>1.0488062906435318</v>
      </c>
      <c r="G834" s="90">
        <v>818</v>
      </c>
      <c r="H834" s="100">
        <v>-4.9219730702199732E-2</v>
      </c>
      <c r="I834" s="100">
        <v>-7.1421921058380897E-2</v>
      </c>
    </row>
    <row r="835" spans="1:9">
      <c r="A835" s="90">
        <v>819</v>
      </c>
      <c r="B835" s="110">
        <v>1.0872090921694719</v>
      </c>
      <c r="C835" s="110">
        <v>1.0631922976648032</v>
      </c>
      <c r="G835" s="90">
        <v>819</v>
      </c>
      <c r="H835" s="100">
        <v>-2.2337962835609671E-2</v>
      </c>
      <c r="I835" s="100">
        <v>-7.1392751785745431E-2</v>
      </c>
    </row>
    <row r="836" spans="1:9">
      <c r="A836" s="90">
        <v>820</v>
      </c>
      <c r="B836" s="110">
        <v>1.1020238498511301</v>
      </c>
      <c r="C836" s="110">
        <v>1.0462975805172807</v>
      </c>
      <c r="G836" s="90">
        <v>820</v>
      </c>
      <c r="H836" s="100">
        <v>-5.1890533845265027E-2</v>
      </c>
      <c r="I836" s="100">
        <v>-7.1349337347483027E-2</v>
      </c>
    </row>
    <row r="837" spans="1:9">
      <c r="A837" s="90">
        <v>821</v>
      </c>
      <c r="B837" s="110">
        <v>1.0850044467590221</v>
      </c>
      <c r="C837" s="110">
        <v>1.0630834919871803</v>
      </c>
      <c r="G837" s="90">
        <v>821</v>
      </c>
      <c r="H837" s="100">
        <v>-2.0410445371962547E-2</v>
      </c>
      <c r="I837" s="100">
        <v>-7.1321213233610015E-2</v>
      </c>
    </row>
    <row r="838" spans="1:9">
      <c r="A838" s="90">
        <v>822</v>
      </c>
      <c r="B838" s="110">
        <v>1.1379910791347152</v>
      </c>
      <c r="C838" s="110">
        <v>1.0679367120520846</v>
      </c>
      <c r="G838" s="90">
        <v>822</v>
      </c>
      <c r="H838" s="100">
        <v>-6.353601619627014E-2</v>
      </c>
      <c r="I838" s="100">
        <v>-7.1318074520926797E-2</v>
      </c>
    </row>
    <row r="839" spans="1:9">
      <c r="A839" s="90">
        <v>823</v>
      </c>
      <c r="B839" s="110">
        <v>1.1065198930851237</v>
      </c>
      <c r="C839" s="110">
        <v>1.0487966355851073</v>
      </c>
      <c r="G839" s="90">
        <v>823</v>
      </c>
      <c r="H839" s="100">
        <v>-5.357641314286498E-2</v>
      </c>
      <c r="I839" s="100">
        <v>-7.1290824396257696E-2</v>
      </c>
    </row>
    <row r="840" spans="1:9">
      <c r="A840" s="90">
        <v>824</v>
      </c>
      <c r="B840" s="110">
        <v>1.0957634282429871</v>
      </c>
      <c r="C840" s="110">
        <v>1.0517066955406766</v>
      </c>
      <c r="G840" s="90">
        <v>824</v>
      </c>
      <c r="H840" s="100">
        <v>-4.1037046162083639E-2</v>
      </c>
      <c r="I840" s="100">
        <v>-7.1283202084043942E-2</v>
      </c>
    </row>
    <row r="841" spans="1:9">
      <c r="A841" s="90">
        <v>825</v>
      </c>
      <c r="B841" s="110">
        <v>1.108919120110752</v>
      </c>
      <c r="C841" s="110">
        <v>1.0416970994674408</v>
      </c>
      <c r="G841" s="90">
        <v>825</v>
      </c>
      <c r="H841" s="100">
        <v>-6.2534565658227029E-2</v>
      </c>
      <c r="I841" s="100">
        <v>-7.1281459892424778E-2</v>
      </c>
    </row>
    <row r="842" spans="1:9">
      <c r="A842" s="90">
        <v>826</v>
      </c>
      <c r="B842" s="110">
        <v>1.1412672415859508</v>
      </c>
      <c r="C842" s="110">
        <v>1.0555064759574986</v>
      </c>
      <c r="G842" s="90">
        <v>826</v>
      </c>
      <c r="H842" s="100">
        <v>-7.8118536717772982E-2</v>
      </c>
      <c r="I842" s="100">
        <v>-7.1268790326426398E-2</v>
      </c>
    </row>
    <row r="843" spans="1:9">
      <c r="A843" s="90">
        <v>827</v>
      </c>
      <c r="B843" s="110">
        <v>1.1396446918689582</v>
      </c>
      <c r="C843" s="110">
        <v>1.0438471189528384</v>
      </c>
      <c r="G843" s="90">
        <v>827</v>
      </c>
      <c r="H843" s="100">
        <v>-8.7803499074121411E-2</v>
      </c>
      <c r="I843" s="100">
        <v>-7.1246143524618805E-2</v>
      </c>
    </row>
    <row r="844" spans="1:9">
      <c r="A844" s="90">
        <v>828</v>
      </c>
      <c r="B844" s="110">
        <v>1.11223943680185</v>
      </c>
      <c r="C844" s="110">
        <v>1.047335231623693</v>
      </c>
      <c r="G844" s="90">
        <v>828</v>
      </c>
      <c r="H844" s="100">
        <v>-6.0126429852724129E-2</v>
      </c>
      <c r="I844" s="100">
        <v>-7.124492517994295E-2</v>
      </c>
    </row>
    <row r="845" spans="1:9">
      <c r="A845" s="90">
        <v>829</v>
      </c>
      <c r="B845" s="110">
        <v>1.0933079932949725</v>
      </c>
      <c r="C845" s="110">
        <v>1.0708184868084305</v>
      </c>
      <c r="G845" s="90">
        <v>829</v>
      </c>
      <c r="H845" s="100">
        <v>-2.0784659596937805E-2</v>
      </c>
      <c r="I845" s="100">
        <v>-7.1218762402970565E-2</v>
      </c>
    </row>
    <row r="846" spans="1:9">
      <c r="A846" s="90">
        <v>830</v>
      </c>
      <c r="B846" s="110">
        <v>1.120266830907219</v>
      </c>
      <c r="C846" s="110">
        <v>1.0610639094599941</v>
      </c>
      <c r="G846" s="90">
        <v>830</v>
      </c>
      <c r="H846" s="100">
        <v>-5.4294805877766285E-2</v>
      </c>
      <c r="I846" s="100">
        <v>-7.1212120960323644E-2</v>
      </c>
    </row>
    <row r="847" spans="1:9">
      <c r="A847" s="90">
        <v>831</v>
      </c>
      <c r="B847" s="110">
        <v>1.1253550070524689</v>
      </c>
      <c r="C847" s="110">
        <v>1.0583711646687479</v>
      </c>
      <c r="G847" s="90">
        <v>831</v>
      </c>
      <c r="H847" s="100">
        <v>-6.136745852027381E-2</v>
      </c>
      <c r="I847" s="100">
        <v>-7.1201457109866959E-2</v>
      </c>
    </row>
    <row r="848" spans="1:9">
      <c r="A848" s="90">
        <v>832</v>
      </c>
      <c r="B848" s="110">
        <v>1.1055739788973928</v>
      </c>
      <c r="C848" s="110">
        <v>1.0690023519878571</v>
      </c>
      <c r="G848" s="90">
        <v>832</v>
      </c>
      <c r="H848" s="100">
        <v>-3.3638805808514298E-2</v>
      </c>
      <c r="I848" s="100">
        <v>-7.1182340359309912E-2</v>
      </c>
    </row>
    <row r="849" spans="1:9">
      <c r="A849" s="90">
        <v>833</v>
      </c>
      <c r="B849" s="110">
        <v>1.1160870176625313</v>
      </c>
      <c r="C849" s="110">
        <v>1.0658713375621371</v>
      </c>
      <c r="G849" s="90">
        <v>833</v>
      </c>
      <c r="H849" s="100">
        <v>-4.603621174682844E-2</v>
      </c>
      <c r="I849" s="100">
        <v>-7.1178074146356352E-2</v>
      </c>
    </row>
    <row r="850" spans="1:9">
      <c r="A850" s="90">
        <v>834</v>
      </c>
      <c r="B850" s="110">
        <v>1.0876215598140602</v>
      </c>
      <c r="C850" s="110">
        <v>1.0609758865699424</v>
      </c>
      <c r="G850" s="90">
        <v>834</v>
      </c>
      <c r="H850" s="100">
        <v>-2.4804124577945594E-2</v>
      </c>
      <c r="I850" s="100">
        <v>-7.1177959925118342E-2</v>
      </c>
    </row>
    <row r="851" spans="1:9">
      <c r="A851" s="90">
        <v>835</v>
      </c>
      <c r="B851" s="110">
        <v>1.1253789270307797</v>
      </c>
      <c r="C851" s="110">
        <v>1.0587696860849485</v>
      </c>
      <c r="G851" s="90">
        <v>835</v>
      </c>
      <c r="H851" s="100">
        <v>-6.1012242455206582E-2</v>
      </c>
      <c r="I851" s="100">
        <v>-7.1172401257207765E-2</v>
      </c>
    </row>
    <row r="852" spans="1:9">
      <c r="A852" s="90">
        <v>836</v>
      </c>
      <c r="B852" s="110">
        <v>1.1302228416219429</v>
      </c>
      <c r="C852" s="110">
        <v>1.0644396827785947</v>
      </c>
      <c r="G852" s="90">
        <v>836</v>
      </c>
      <c r="H852" s="100">
        <v>-5.9966277001809065E-2</v>
      </c>
      <c r="I852" s="100">
        <v>-7.1123288042536453E-2</v>
      </c>
    </row>
    <row r="853" spans="1:9">
      <c r="A853" s="90">
        <v>837</v>
      </c>
      <c r="B853" s="110">
        <v>1.1460802589803922</v>
      </c>
      <c r="C853" s="110">
        <v>1.0682834152233527</v>
      </c>
      <c r="G853" s="90">
        <v>837</v>
      </c>
      <c r="H853" s="100">
        <v>-7.0294574461668688E-2</v>
      </c>
      <c r="I853" s="100">
        <v>-7.1093554041567406E-2</v>
      </c>
    </row>
    <row r="854" spans="1:9">
      <c r="A854" s="90">
        <v>838</v>
      </c>
      <c r="B854" s="110">
        <v>1.0995396882733717</v>
      </c>
      <c r="C854" s="110">
        <v>1.056168196278618</v>
      </c>
      <c r="G854" s="90">
        <v>838</v>
      </c>
      <c r="H854" s="100">
        <v>-4.0244177637436235E-2</v>
      </c>
      <c r="I854" s="100">
        <v>-7.1065518951628201E-2</v>
      </c>
    </row>
    <row r="855" spans="1:9">
      <c r="A855" s="90">
        <v>839</v>
      </c>
      <c r="B855" s="110">
        <v>1.1323032726800584</v>
      </c>
      <c r="C855" s="110">
        <v>1.0563083055198144</v>
      </c>
      <c r="G855" s="90">
        <v>839</v>
      </c>
      <c r="H855" s="100">
        <v>-6.9473753969935728E-2</v>
      </c>
      <c r="I855" s="100">
        <v>-7.1063869718837158E-2</v>
      </c>
    </row>
    <row r="856" spans="1:9">
      <c r="A856" s="90">
        <v>840</v>
      </c>
      <c r="B856" s="110">
        <v>1.1090079280129925</v>
      </c>
      <c r="C856" s="110">
        <v>1.064844487327772</v>
      </c>
      <c r="G856" s="90">
        <v>840</v>
      </c>
      <c r="H856" s="100">
        <v>-4.0637089926314936E-2</v>
      </c>
      <c r="I856" s="100">
        <v>-7.1039068728469795E-2</v>
      </c>
    </row>
    <row r="857" spans="1:9">
      <c r="A857" s="90">
        <v>841</v>
      </c>
      <c r="B857" s="110">
        <v>1.1517156966741973</v>
      </c>
      <c r="C857" s="110">
        <v>1.0713457011655538</v>
      </c>
      <c r="G857" s="90">
        <v>841</v>
      </c>
      <c r="H857" s="100">
        <v>-7.2337217817531801E-2</v>
      </c>
      <c r="I857" s="100">
        <v>-7.1037203006498392E-2</v>
      </c>
    </row>
    <row r="858" spans="1:9">
      <c r="A858" s="90">
        <v>842</v>
      </c>
      <c r="B858" s="110">
        <v>1.1252247074192776</v>
      </c>
      <c r="C858" s="110">
        <v>1.0518246603128971</v>
      </c>
      <c r="G858" s="90">
        <v>842</v>
      </c>
      <c r="H858" s="100">
        <v>-6.7456327921559187E-2</v>
      </c>
      <c r="I858" s="100">
        <v>-7.1022684327504318E-2</v>
      </c>
    </row>
    <row r="859" spans="1:9">
      <c r="A859" s="90">
        <v>843</v>
      </c>
      <c r="B859" s="110">
        <v>1.110521772659391</v>
      </c>
      <c r="C859" s="110">
        <v>1.0684873240853392</v>
      </c>
      <c r="G859" s="90">
        <v>843</v>
      </c>
      <c r="H859" s="100">
        <v>-3.8586037910281756E-2</v>
      </c>
      <c r="I859" s="100">
        <v>-7.0991513853262841E-2</v>
      </c>
    </row>
    <row r="860" spans="1:9">
      <c r="A860" s="90">
        <v>844</v>
      </c>
      <c r="B860" s="110">
        <v>1.1131944713713964</v>
      </c>
      <c r="C860" s="110">
        <v>1.0540164858298202</v>
      </c>
      <c r="G860" s="90">
        <v>844</v>
      </c>
      <c r="H860" s="100">
        <v>-5.4625693026797636E-2</v>
      </c>
      <c r="I860" s="100">
        <v>-7.0976224347661321E-2</v>
      </c>
    </row>
    <row r="861" spans="1:9">
      <c r="A861" s="90">
        <v>845</v>
      </c>
      <c r="B861" s="110">
        <v>1.1002646756489061</v>
      </c>
      <c r="C861" s="110">
        <v>1.0483721051566306</v>
      </c>
      <c r="G861" s="90">
        <v>845</v>
      </c>
      <c r="H861" s="100">
        <v>-4.8312180036091265E-2</v>
      </c>
      <c r="I861" s="100">
        <v>-7.097484051531544E-2</v>
      </c>
    </row>
    <row r="862" spans="1:9">
      <c r="A862" s="90">
        <v>846</v>
      </c>
      <c r="B862" s="110">
        <v>1.1092467496335614</v>
      </c>
      <c r="C862" s="110">
        <v>1.0427807949421115</v>
      </c>
      <c r="G862" s="90">
        <v>846</v>
      </c>
      <c r="H862" s="100">
        <v>-6.1790194945102336E-2</v>
      </c>
      <c r="I862" s="100">
        <v>-7.0970611127487065E-2</v>
      </c>
    </row>
    <row r="863" spans="1:9">
      <c r="A863" s="90">
        <v>847</v>
      </c>
      <c r="B863" s="110">
        <v>1.1321820606613988</v>
      </c>
      <c r="C863" s="110">
        <v>1.0417875789357538</v>
      </c>
      <c r="G863" s="90">
        <v>847</v>
      </c>
      <c r="H863" s="100">
        <v>-8.3208734259737085E-2</v>
      </c>
      <c r="I863" s="100">
        <v>-7.0944597232896173E-2</v>
      </c>
    </row>
    <row r="864" spans="1:9">
      <c r="A864" s="90">
        <v>848</v>
      </c>
      <c r="B864" s="110">
        <v>1.11540961588002</v>
      </c>
      <c r="C864" s="110">
        <v>1.0629495825840751</v>
      </c>
      <c r="G864" s="90">
        <v>848</v>
      </c>
      <c r="H864" s="100">
        <v>-4.817403708192787E-2</v>
      </c>
      <c r="I864" s="100">
        <v>-7.0935994349997089E-2</v>
      </c>
    </row>
    <row r="865" spans="1:9">
      <c r="A865" s="90">
        <v>849</v>
      </c>
      <c r="B865" s="110">
        <v>1.0914786356110313</v>
      </c>
      <c r="C865" s="110">
        <v>1.0798954188915464</v>
      </c>
      <c r="G865" s="90">
        <v>849</v>
      </c>
      <c r="H865" s="100">
        <v>-1.0669121307648258E-2</v>
      </c>
      <c r="I865" s="100">
        <v>-7.0885498610976691E-2</v>
      </c>
    </row>
    <row r="866" spans="1:9">
      <c r="A866" s="90">
        <v>850</v>
      </c>
      <c r="B866" s="110">
        <v>1.0700826350565111</v>
      </c>
      <c r="C866" s="110">
        <v>1.0572842085371748</v>
      </c>
      <c r="G866" s="90">
        <v>850</v>
      </c>
      <c r="H866" s="100">
        <v>-1.2032321521854041E-2</v>
      </c>
      <c r="I866" s="100">
        <v>-7.086403676430135E-2</v>
      </c>
    </row>
    <row r="867" spans="1:9">
      <c r="A867" s="90">
        <v>851</v>
      </c>
      <c r="B867" s="110">
        <v>1.1066437405795442</v>
      </c>
      <c r="C867" s="110">
        <v>1.0736077054030948</v>
      </c>
      <c r="G867" s="90">
        <v>851</v>
      </c>
      <c r="H867" s="100">
        <v>-3.0307113328554614E-2</v>
      </c>
      <c r="I867" s="100">
        <v>-7.0862046433503939E-2</v>
      </c>
    </row>
    <row r="868" spans="1:9">
      <c r="A868" s="90">
        <v>852</v>
      </c>
      <c r="B868" s="110">
        <v>1.1153097449542413</v>
      </c>
      <c r="C868" s="110">
        <v>1.0345535423939267</v>
      </c>
      <c r="G868" s="90">
        <v>852</v>
      </c>
      <c r="H868" s="100">
        <v>-7.5162190849581312E-2</v>
      </c>
      <c r="I868" s="100">
        <v>-7.0848189459472341E-2</v>
      </c>
    </row>
    <row r="869" spans="1:9">
      <c r="A869" s="90">
        <v>853</v>
      </c>
      <c r="B869" s="110">
        <v>1.1181481347990143</v>
      </c>
      <c r="C869" s="110">
        <v>1.0570714050492611</v>
      </c>
      <c r="G869" s="90">
        <v>853</v>
      </c>
      <c r="H869" s="100">
        <v>-5.617160672355942E-2</v>
      </c>
      <c r="I869" s="100">
        <v>-7.0826583266101972E-2</v>
      </c>
    </row>
    <row r="870" spans="1:9">
      <c r="A870" s="90">
        <v>854</v>
      </c>
      <c r="B870" s="110">
        <v>1.0778190191358876</v>
      </c>
      <c r="C870" s="110">
        <v>1.0319063244705335</v>
      </c>
      <c r="G870" s="90">
        <v>854</v>
      </c>
      <c r="H870" s="100">
        <v>-4.3531680541091328E-2</v>
      </c>
      <c r="I870" s="100">
        <v>-7.0807164856333843E-2</v>
      </c>
    </row>
    <row r="871" spans="1:9">
      <c r="A871" s="90">
        <v>855</v>
      </c>
      <c r="B871" s="110">
        <v>1.1224182740917834</v>
      </c>
      <c r="C871" s="110">
        <v>1.0682077789998337</v>
      </c>
      <c r="G871" s="90">
        <v>855</v>
      </c>
      <c r="H871" s="100">
        <v>-4.9503259697537619E-2</v>
      </c>
      <c r="I871" s="100">
        <v>-7.0806583381414698E-2</v>
      </c>
    </row>
    <row r="872" spans="1:9">
      <c r="A872" s="90">
        <v>856</v>
      </c>
      <c r="B872" s="110">
        <v>1.1143187677696869</v>
      </c>
      <c r="C872" s="110">
        <v>1.0332958910300858</v>
      </c>
      <c r="G872" s="90">
        <v>856</v>
      </c>
      <c r="H872" s="100">
        <v>-7.5489659903843362E-2</v>
      </c>
      <c r="I872" s="100">
        <v>-7.0800430387825686E-2</v>
      </c>
    </row>
    <row r="873" spans="1:9">
      <c r="A873" s="90">
        <v>857</v>
      </c>
      <c r="B873" s="110">
        <v>1.0966134973154433</v>
      </c>
      <c r="C873" s="110">
        <v>1.0533912712922686</v>
      </c>
      <c r="G873" s="90">
        <v>857</v>
      </c>
      <c r="H873" s="100">
        <v>-4.0212050433342784E-2</v>
      </c>
      <c r="I873" s="100">
        <v>-7.0797881613816366E-2</v>
      </c>
    </row>
    <row r="874" spans="1:9">
      <c r="A874" s="90">
        <v>858</v>
      </c>
      <c r="B874" s="110">
        <v>1.10892732966306</v>
      </c>
      <c r="C874" s="110">
        <v>1.0621041310444748</v>
      </c>
      <c r="G874" s="90">
        <v>858</v>
      </c>
      <c r="H874" s="100">
        <v>-4.3141208571175926E-2</v>
      </c>
      <c r="I874" s="100">
        <v>-7.0791397270460799E-2</v>
      </c>
    </row>
    <row r="875" spans="1:9">
      <c r="A875" s="90">
        <v>859</v>
      </c>
      <c r="B875" s="110">
        <v>1.1026465240176637</v>
      </c>
      <c r="C875" s="110">
        <v>1.0662994673932533</v>
      </c>
      <c r="G875" s="90">
        <v>859</v>
      </c>
      <c r="H875" s="100">
        <v>-3.3519008560204254E-2</v>
      </c>
      <c r="I875" s="100">
        <v>-7.0789890274392017E-2</v>
      </c>
    </row>
    <row r="876" spans="1:9">
      <c r="A876" s="90">
        <v>860</v>
      </c>
      <c r="B876" s="110">
        <v>1.0636929614985451</v>
      </c>
      <c r="C876" s="110">
        <v>1.0479612077269378</v>
      </c>
      <c r="G876" s="90">
        <v>860</v>
      </c>
      <c r="H876" s="100">
        <v>-1.4900209568920492E-2</v>
      </c>
      <c r="I876" s="100">
        <v>-7.0779881647568488E-2</v>
      </c>
    </row>
    <row r="877" spans="1:9">
      <c r="A877" s="90">
        <v>861</v>
      </c>
      <c r="B877" s="110">
        <v>1.1174510474254986</v>
      </c>
      <c r="C877" s="110">
        <v>1.0584066330791455</v>
      </c>
      <c r="G877" s="90">
        <v>861</v>
      </c>
      <c r="H877" s="100">
        <v>-5.4285640229753351E-2</v>
      </c>
      <c r="I877" s="100">
        <v>-7.0769419548615292E-2</v>
      </c>
    </row>
    <row r="878" spans="1:9">
      <c r="A878" s="90">
        <v>862</v>
      </c>
      <c r="B878" s="110">
        <v>1.0990303412047955</v>
      </c>
      <c r="C878" s="110">
        <v>1.0442250578543688</v>
      </c>
      <c r="G878" s="90">
        <v>862</v>
      </c>
      <c r="H878" s="100">
        <v>-5.115324416659122E-2</v>
      </c>
      <c r="I878" s="100">
        <v>-7.0734225363923001E-2</v>
      </c>
    </row>
    <row r="879" spans="1:9">
      <c r="A879" s="90">
        <v>863</v>
      </c>
      <c r="B879" s="110">
        <v>1.1045728606402607</v>
      </c>
      <c r="C879" s="110">
        <v>1.0653526942581468</v>
      </c>
      <c r="G879" s="90">
        <v>863</v>
      </c>
      <c r="H879" s="100">
        <v>-3.6152796127891816E-2</v>
      </c>
      <c r="I879" s="100">
        <v>-7.0725780517135156E-2</v>
      </c>
    </row>
    <row r="880" spans="1:9">
      <c r="A880" s="90">
        <v>864</v>
      </c>
      <c r="B880" s="110">
        <v>1.1343829977754833</v>
      </c>
      <c r="C880" s="110">
        <v>1.0571958341011674</v>
      </c>
      <c r="G880" s="90">
        <v>864</v>
      </c>
      <c r="H880" s="100">
        <v>-7.046892558869472E-2</v>
      </c>
      <c r="I880" s="100">
        <v>-7.0716204658112472E-2</v>
      </c>
    </row>
    <row r="881" spans="1:9">
      <c r="A881" s="90">
        <v>865</v>
      </c>
      <c r="B881" s="110">
        <v>1.1018188418560451</v>
      </c>
      <c r="C881" s="110">
        <v>1.0463297586275042</v>
      </c>
      <c r="G881" s="90">
        <v>865</v>
      </c>
      <c r="H881" s="100">
        <v>-5.1673734113082716E-2</v>
      </c>
      <c r="I881" s="100">
        <v>-7.0713487861938248E-2</v>
      </c>
    </row>
    <row r="882" spans="1:9">
      <c r="A882" s="90">
        <v>866</v>
      </c>
      <c r="B882" s="110">
        <v>1.0928484315300047</v>
      </c>
      <c r="C882" s="110">
        <v>1.0540612220628574</v>
      </c>
      <c r="G882" s="90">
        <v>866</v>
      </c>
      <c r="H882" s="100">
        <v>-3.6136993721438547E-2</v>
      </c>
      <c r="I882" s="100">
        <v>-7.0704752122204659E-2</v>
      </c>
    </row>
    <row r="883" spans="1:9">
      <c r="A883" s="90">
        <v>867</v>
      </c>
      <c r="B883" s="110">
        <v>1.0911351472863002</v>
      </c>
      <c r="C883" s="110">
        <v>1.0579883423762131</v>
      </c>
      <c r="G883" s="90">
        <v>867</v>
      </c>
      <c r="H883" s="100">
        <v>-3.0849259041248855E-2</v>
      </c>
      <c r="I883" s="100">
        <v>-7.0689986169766766E-2</v>
      </c>
    </row>
    <row r="884" spans="1:9">
      <c r="A884" s="90">
        <v>868</v>
      </c>
      <c r="B884" s="110">
        <v>1.0967156732004759</v>
      </c>
      <c r="C884" s="110">
        <v>1.046790482827427</v>
      </c>
      <c r="G884" s="90">
        <v>868</v>
      </c>
      <c r="H884" s="100">
        <v>-4.6591161969027468E-2</v>
      </c>
      <c r="I884" s="100">
        <v>-7.0687455221909792E-2</v>
      </c>
    </row>
    <row r="885" spans="1:9">
      <c r="A885" s="90">
        <v>869</v>
      </c>
      <c r="B885" s="110">
        <v>1.1357627656087685</v>
      </c>
      <c r="C885" s="110">
        <v>1.0544740000621977</v>
      </c>
      <c r="G885" s="90">
        <v>869</v>
      </c>
      <c r="H885" s="100">
        <v>-7.4262400942896267E-2</v>
      </c>
      <c r="I885" s="100">
        <v>-7.0687303178320046E-2</v>
      </c>
    </row>
    <row r="886" spans="1:9">
      <c r="A886" s="90">
        <v>870</v>
      </c>
      <c r="B886" s="110">
        <v>1.0869775455485193</v>
      </c>
      <c r="C886" s="110">
        <v>1.0605320778073992</v>
      </c>
      <c r="G886" s="90">
        <v>870</v>
      </c>
      <c r="H886" s="100">
        <v>-2.4630208276877442E-2</v>
      </c>
      <c r="I886" s="100">
        <v>-7.0673237092986105E-2</v>
      </c>
    </row>
    <row r="887" spans="1:9">
      <c r="A887" s="90">
        <v>871</v>
      </c>
      <c r="B887" s="110">
        <v>1.1094678186773372</v>
      </c>
      <c r="C887" s="110">
        <v>1.0641839445241308</v>
      </c>
      <c r="G887" s="90">
        <v>871</v>
      </c>
      <c r="H887" s="100">
        <v>-4.1672201552598508E-2</v>
      </c>
      <c r="I887" s="100">
        <v>-7.067253609708174E-2</v>
      </c>
    </row>
    <row r="888" spans="1:9">
      <c r="A888" s="90">
        <v>872</v>
      </c>
      <c r="B888" s="110">
        <v>1.122553390725948</v>
      </c>
      <c r="C888" s="110">
        <v>1.0717222315427257</v>
      </c>
      <c r="G888" s="90">
        <v>872</v>
      </c>
      <c r="H888" s="100">
        <v>-4.6338986917906583E-2</v>
      </c>
      <c r="I888" s="100">
        <v>-7.0629526396311926E-2</v>
      </c>
    </row>
    <row r="889" spans="1:9">
      <c r="A889" s="90">
        <v>873</v>
      </c>
      <c r="B889" s="110">
        <v>1.1203084728609032</v>
      </c>
      <c r="C889" s="110">
        <v>1.064452754316876</v>
      </c>
      <c r="G889" s="90">
        <v>873</v>
      </c>
      <c r="H889" s="100">
        <v>-5.1143248196922703E-2</v>
      </c>
      <c r="I889" s="100">
        <v>-7.0616001073623591E-2</v>
      </c>
    </row>
    <row r="890" spans="1:9">
      <c r="A890" s="90">
        <v>874</v>
      </c>
      <c r="B890" s="110">
        <v>1.1123101994042901</v>
      </c>
      <c r="C890" s="110">
        <v>1.0346853569675494</v>
      </c>
      <c r="G890" s="90">
        <v>874</v>
      </c>
      <c r="H890" s="100">
        <v>-7.2341735656968137E-2</v>
      </c>
      <c r="I890" s="100">
        <v>-7.0569588329177216E-2</v>
      </c>
    </row>
    <row r="891" spans="1:9">
      <c r="A891" s="90">
        <v>875</v>
      </c>
      <c r="B891" s="110">
        <v>1.113545628131704</v>
      </c>
      <c r="C891" s="110">
        <v>1.0720330137209593</v>
      </c>
      <c r="G891" s="90">
        <v>875</v>
      </c>
      <c r="H891" s="100">
        <v>-3.7992325537354689E-2</v>
      </c>
      <c r="I891" s="100">
        <v>-7.0568128935384569E-2</v>
      </c>
    </row>
    <row r="892" spans="1:9">
      <c r="A892" s="90">
        <v>876</v>
      </c>
      <c r="B892" s="110">
        <v>1.0911753997441218</v>
      </c>
      <c r="C892" s="110">
        <v>1.074869953972055</v>
      </c>
      <c r="G892" s="90">
        <v>876</v>
      </c>
      <c r="H892" s="100">
        <v>-1.5055782417628085E-2</v>
      </c>
      <c r="I892" s="100">
        <v>-7.0560623597301655E-2</v>
      </c>
    </row>
    <row r="893" spans="1:9">
      <c r="A893" s="90">
        <v>877</v>
      </c>
      <c r="B893" s="110">
        <v>1.0947397367570693</v>
      </c>
      <c r="C893" s="110">
        <v>1.0452834374419957</v>
      </c>
      <c r="G893" s="90">
        <v>877</v>
      </c>
      <c r="H893" s="100">
        <v>-4.6228571048493636E-2</v>
      </c>
      <c r="I893" s="100">
        <v>-7.0539142296293517E-2</v>
      </c>
    </row>
    <row r="894" spans="1:9">
      <c r="A894" s="90">
        <v>878</v>
      </c>
      <c r="B894" s="110">
        <v>1.1031368572129863</v>
      </c>
      <c r="C894" s="110">
        <v>1.0547138899350088</v>
      </c>
      <c r="G894" s="90">
        <v>878</v>
      </c>
      <c r="H894" s="100">
        <v>-4.4888274056286939E-2</v>
      </c>
      <c r="I894" s="100">
        <v>-7.0523507350320341E-2</v>
      </c>
    </row>
    <row r="895" spans="1:9">
      <c r="A895" s="90">
        <v>879</v>
      </c>
      <c r="B895" s="110">
        <v>1.1122452413072403</v>
      </c>
      <c r="C895" s="110">
        <v>1.0591791347424204</v>
      </c>
      <c r="G895" s="90">
        <v>879</v>
      </c>
      <c r="H895" s="100">
        <v>-4.8886505322687755E-2</v>
      </c>
      <c r="I895" s="100">
        <v>-7.0489228330644277E-2</v>
      </c>
    </row>
    <row r="896" spans="1:9">
      <c r="A896" s="90">
        <v>880</v>
      </c>
      <c r="B896" s="110">
        <v>1.1239134926633163</v>
      </c>
      <c r="C896" s="110">
        <v>1.045959973845328</v>
      </c>
      <c r="G896" s="90">
        <v>880</v>
      </c>
      <c r="H896" s="100">
        <v>-7.1881685698636483E-2</v>
      </c>
      <c r="I896" s="100">
        <v>-7.0475448252069028E-2</v>
      </c>
    </row>
    <row r="897" spans="1:9">
      <c r="A897" s="90">
        <v>881</v>
      </c>
      <c r="B897" s="110">
        <v>1.1467402040503119</v>
      </c>
      <c r="C897" s="110">
        <v>1.0507432645774413</v>
      </c>
      <c r="G897" s="90">
        <v>881</v>
      </c>
      <c r="H897" s="100">
        <v>-8.7425527327047239E-2</v>
      </c>
      <c r="I897" s="100">
        <v>-7.046892558869472E-2</v>
      </c>
    </row>
    <row r="898" spans="1:9">
      <c r="A898" s="90">
        <v>882</v>
      </c>
      <c r="B898" s="110">
        <v>1.1288251198729462</v>
      </c>
      <c r="C898" s="110">
        <v>1.0585776784387619</v>
      </c>
      <c r="G898" s="90">
        <v>882</v>
      </c>
      <c r="H898" s="100">
        <v>-6.4251180623605256E-2</v>
      </c>
      <c r="I898" s="100">
        <v>-7.0463203431655574E-2</v>
      </c>
    </row>
    <row r="899" spans="1:9">
      <c r="A899" s="90">
        <v>883</v>
      </c>
      <c r="B899" s="110">
        <v>1.0715191295700786</v>
      </c>
      <c r="C899" s="110">
        <v>1.0416959976364515</v>
      </c>
      <c r="G899" s="90">
        <v>883</v>
      </c>
      <c r="H899" s="100">
        <v>-2.8227236992504939E-2</v>
      </c>
      <c r="I899" s="100">
        <v>-7.0439304963992699E-2</v>
      </c>
    </row>
    <row r="900" spans="1:9">
      <c r="A900" s="90">
        <v>884</v>
      </c>
      <c r="B900" s="110">
        <v>1.1095783659988603</v>
      </c>
      <c r="C900" s="110">
        <v>1.0746452708016259</v>
      </c>
      <c r="G900" s="90">
        <v>884</v>
      </c>
      <c r="H900" s="100">
        <v>-3.1989466236927222E-2</v>
      </c>
      <c r="I900" s="100">
        <v>-7.0435490282629284E-2</v>
      </c>
    </row>
    <row r="901" spans="1:9">
      <c r="A901" s="90">
        <v>885</v>
      </c>
      <c r="B901" s="110">
        <v>1.1414448105035166</v>
      </c>
      <c r="C901" s="110">
        <v>1.0599983899974044</v>
      </c>
      <c r="G901" s="90">
        <v>885</v>
      </c>
      <c r="H901" s="100">
        <v>-7.4027448343513422E-2</v>
      </c>
      <c r="I901" s="100">
        <v>-7.040369607527236E-2</v>
      </c>
    </row>
    <row r="902" spans="1:9">
      <c r="A902" s="90">
        <v>886</v>
      </c>
      <c r="B902" s="110">
        <v>1.1010238712915785</v>
      </c>
      <c r="C902" s="110">
        <v>1.0562190099160216</v>
      </c>
      <c r="G902" s="90">
        <v>886</v>
      </c>
      <c r="H902" s="100">
        <v>-4.154497943489234E-2</v>
      </c>
      <c r="I902" s="100">
        <v>-7.0394319219266713E-2</v>
      </c>
    </row>
    <row r="903" spans="1:9">
      <c r="A903" s="90">
        <v>887</v>
      </c>
      <c r="B903" s="110">
        <v>1.1118433009109718</v>
      </c>
      <c r="C903" s="110">
        <v>1.0594050666401107</v>
      </c>
      <c r="G903" s="90">
        <v>887</v>
      </c>
      <c r="H903" s="100">
        <v>-4.8311776778646329E-2</v>
      </c>
      <c r="I903" s="100">
        <v>-7.0376857333543069E-2</v>
      </c>
    </row>
    <row r="904" spans="1:9">
      <c r="A904" s="90">
        <v>888</v>
      </c>
      <c r="B904" s="110">
        <v>1.1232027401099178</v>
      </c>
      <c r="C904" s="110">
        <v>1.0460297987060754</v>
      </c>
      <c r="G904" s="90">
        <v>888</v>
      </c>
      <c r="H904" s="100">
        <v>-7.1182340359309912E-2</v>
      </c>
      <c r="I904" s="100">
        <v>-7.0347135134081126E-2</v>
      </c>
    </row>
    <row r="905" spans="1:9">
      <c r="A905" s="90">
        <v>889</v>
      </c>
      <c r="B905" s="110">
        <v>1.1165540620207903</v>
      </c>
      <c r="C905" s="110">
        <v>1.0480472504649285</v>
      </c>
      <c r="G905" s="90">
        <v>889</v>
      </c>
      <c r="H905" s="100">
        <v>-6.3318540898801345E-2</v>
      </c>
      <c r="I905" s="100">
        <v>-7.0339395933455312E-2</v>
      </c>
    </row>
    <row r="906" spans="1:9">
      <c r="A906" s="90">
        <v>890</v>
      </c>
      <c r="B906" s="110">
        <v>1.1144205354454801</v>
      </c>
      <c r="C906" s="110">
        <v>1.0699031463319428</v>
      </c>
      <c r="G906" s="90">
        <v>890</v>
      </c>
      <c r="H906" s="100">
        <v>-4.0766443739554674E-2</v>
      </c>
      <c r="I906" s="100">
        <v>-7.0333909510031434E-2</v>
      </c>
    </row>
    <row r="907" spans="1:9">
      <c r="A907" s="90">
        <v>891</v>
      </c>
      <c r="B907" s="110">
        <v>1.1210912776242241</v>
      </c>
      <c r="C907" s="110">
        <v>1.0659710583295086</v>
      </c>
      <c r="G907" s="90">
        <v>891</v>
      </c>
      <c r="H907" s="100">
        <v>-5.0416390362503477E-2</v>
      </c>
      <c r="I907" s="100">
        <v>-7.0325442256304382E-2</v>
      </c>
    </row>
    <row r="908" spans="1:9">
      <c r="A908" s="90">
        <v>892</v>
      </c>
      <c r="B908" s="110">
        <v>1.1277753333332894</v>
      </c>
      <c r="C908" s="110">
        <v>1.0602454703435591</v>
      </c>
      <c r="G908" s="90">
        <v>892</v>
      </c>
      <c r="H908" s="100">
        <v>-6.174650355125369E-2</v>
      </c>
      <c r="I908" s="100">
        <v>-7.0318197647391112E-2</v>
      </c>
    </row>
    <row r="909" spans="1:9">
      <c r="A909" s="90">
        <v>893</v>
      </c>
      <c r="B909" s="110">
        <v>1.1083472380689028</v>
      </c>
      <c r="C909" s="110">
        <v>1.0545465628514479</v>
      </c>
      <c r="G909" s="90">
        <v>893</v>
      </c>
      <c r="H909" s="100">
        <v>-4.9759054693872359E-2</v>
      </c>
      <c r="I909" s="100">
        <v>-7.0303624507216028E-2</v>
      </c>
    </row>
    <row r="910" spans="1:9">
      <c r="A910" s="90">
        <v>894</v>
      </c>
      <c r="B910" s="110">
        <v>1.0882340998763584</v>
      </c>
      <c r="C910" s="110">
        <v>1.0576026920376598</v>
      </c>
      <c r="G910" s="90">
        <v>894</v>
      </c>
      <c r="H910" s="100">
        <v>-2.8551555083113991E-2</v>
      </c>
      <c r="I910" s="100">
        <v>-7.0300079237488544E-2</v>
      </c>
    </row>
    <row r="911" spans="1:9">
      <c r="A911" s="90">
        <v>895</v>
      </c>
      <c r="B911" s="110">
        <v>1.1293168409940986</v>
      </c>
      <c r="C911" s="110">
        <v>1.0517284193581962</v>
      </c>
      <c r="G911" s="90">
        <v>895</v>
      </c>
      <c r="H911" s="100">
        <v>-7.1177959925118342E-2</v>
      </c>
      <c r="I911" s="100">
        <v>-7.0294574461668688E-2</v>
      </c>
    </row>
    <row r="912" spans="1:9">
      <c r="A912" s="90">
        <v>896</v>
      </c>
      <c r="B912" s="110">
        <v>1.1276131458360776</v>
      </c>
      <c r="C912" s="110">
        <v>1.0965909120413921</v>
      </c>
      <c r="G912" s="90">
        <v>896</v>
      </c>
      <c r="H912" s="100">
        <v>-2.7896941876660964E-2</v>
      </c>
      <c r="I912" s="100">
        <v>-7.0267793262669895E-2</v>
      </c>
    </row>
    <row r="913" spans="1:9">
      <c r="A913" s="90">
        <v>897</v>
      </c>
      <c r="B913" s="110">
        <v>1.1210791704973357</v>
      </c>
      <c r="C913" s="110">
        <v>1.0379589241407148</v>
      </c>
      <c r="G913" s="90">
        <v>897</v>
      </c>
      <c r="H913" s="100">
        <v>-7.7035554640390705E-2</v>
      </c>
      <c r="I913" s="100">
        <v>-7.0249672731708873E-2</v>
      </c>
    </row>
    <row r="914" spans="1:9">
      <c r="A914" s="90">
        <v>898</v>
      </c>
      <c r="B914" s="110">
        <v>1.0810469832905478</v>
      </c>
      <c r="C914" s="110">
        <v>1.0673464789120723</v>
      </c>
      <c r="G914" s="90">
        <v>898</v>
      </c>
      <c r="H914" s="100">
        <v>-1.2754358403098104E-2</v>
      </c>
      <c r="I914" s="100">
        <v>-7.0239482443583925E-2</v>
      </c>
    </row>
    <row r="915" spans="1:9">
      <c r="A915" s="90">
        <v>899</v>
      </c>
      <c r="B915" s="110">
        <v>1.0762640501926124</v>
      </c>
      <c r="C915" s="110">
        <v>1.0496073707748939</v>
      </c>
      <c r="G915" s="90">
        <v>899</v>
      </c>
      <c r="H915" s="100">
        <v>-2.5079669797379137E-2</v>
      </c>
      <c r="I915" s="100">
        <v>-7.0239129413610629E-2</v>
      </c>
    </row>
    <row r="916" spans="1:9">
      <c r="A916" s="90">
        <v>900</v>
      </c>
      <c r="B916" s="110">
        <v>1.1145194499371629</v>
      </c>
      <c r="C916" s="110">
        <v>1.0672075061210942</v>
      </c>
      <c r="G916" s="90">
        <v>900</v>
      </c>
      <c r="H916" s="100">
        <v>-4.3377895780943442E-2</v>
      </c>
      <c r="I916" s="100">
        <v>-7.0191527410321683E-2</v>
      </c>
    </row>
    <row r="917" spans="1:9">
      <c r="A917" s="90">
        <v>901</v>
      </c>
      <c r="B917" s="110">
        <v>1.127706422582917</v>
      </c>
      <c r="C917" s="110">
        <v>1.0546194050776532</v>
      </c>
      <c r="G917" s="90">
        <v>901</v>
      </c>
      <c r="H917" s="100">
        <v>-6.7005907173833104E-2</v>
      </c>
      <c r="I917" s="100">
        <v>-7.0186740843156153E-2</v>
      </c>
    </row>
    <row r="918" spans="1:9">
      <c r="A918" s="90">
        <v>902</v>
      </c>
      <c r="B918" s="110">
        <v>1.0900559353840529</v>
      </c>
      <c r="C918" s="110">
        <v>1.0484292770195456</v>
      </c>
      <c r="G918" s="90">
        <v>902</v>
      </c>
      <c r="H918" s="100">
        <v>-3.8935894284491776E-2</v>
      </c>
      <c r="I918" s="100">
        <v>-7.0176136603662287E-2</v>
      </c>
    </row>
    <row r="919" spans="1:9">
      <c r="A919" s="90">
        <v>903</v>
      </c>
      <c r="B919" s="110">
        <v>1.1171246201273051</v>
      </c>
      <c r="C919" s="110">
        <v>1.0772010878099736</v>
      </c>
      <c r="G919" s="90">
        <v>903</v>
      </c>
      <c r="H919" s="100">
        <v>-3.6391988870046452E-2</v>
      </c>
      <c r="I919" s="100">
        <v>-7.0175505589816695E-2</v>
      </c>
    </row>
    <row r="920" spans="1:9">
      <c r="A920" s="90">
        <v>904</v>
      </c>
      <c r="B920" s="110">
        <v>1.1124697368447882</v>
      </c>
      <c r="C920" s="110">
        <v>1.0621931157851556</v>
      </c>
      <c r="G920" s="90">
        <v>904</v>
      </c>
      <c r="H920" s="100">
        <v>-4.6246783957934683E-2</v>
      </c>
      <c r="I920" s="100">
        <v>-7.0168073958324653E-2</v>
      </c>
    </row>
    <row r="921" spans="1:9">
      <c r="A921" s="90">
        <v>905</v>
      </c>
      <c r="B921" s="110">
        <v>1.1071530098041844</v>
      </c>
      <c r="C921" s="110">
        <v>1.0414725310671038</v>
      </c>
      <c r="G921" s="90">
        <v>905</v>
      </c>
      <c r="H921" s="100">
        <v>-6.115625743801624E-2</v>
      </c>
      <c r="I921" s="100">
        <v>-7.0165972127207904E-2</v>
      </c>
    </row>
    <row r="922" spans="1:9">
      <c r="A922" s="90">
        <v>906</v>
      </c>
      <c r="B922" s="110">
        <v>1.1269928591764864</v>
      </c>
      <c r="C922" s="110">
        <v>1.0300612870570005</v>
      </c>
      <c r="G922" s="90">
        <v>906</v>
      </c>
      <c r="H922" s="100">
        <v>-8.9934596434667474E-2</v>
      </c>
      <c r="I922" s="100">
        <v>-7.0154720531650658E-2</v>
      </c>
    </row>
    <row r="923" spans="1:9">
      <c r="A923" s="90">
        <v>907</v>
      </c>
      <c r="B923" s="110">
        <v>1.1031772826514297</v>
      </c>
      <c r="C923" s="110">
        <v>1.0567248691954363</v>
      </c>
      <c r="G923" s="90">
        <v>907</v>
      </c>
      <c r="H923" s="100">
        <v>-4.3020076092864963E-2</v>
      </c>
      <c r="I923" s="100">
        <v>-7.0101684683817375E-2</v>
      </c>
    </row>
    <row r="924" spans="1:9">
      <c r="A924" s="90">
        <v>908</v>
      </c>
      <c r="B924" s="110">
        <v>1.0848238922936595</v>
      </c>
      <c r="C924" s="110">
        <v>1.0828290752598146</v>
      </c>
      <c r="G924" s="90">
        <v>908</v>
      </c>
      <c r="H924" s="100">
        <v>-1.8405322501658166E-3</v>
      </c>
      <c r="I924" s="100">
        <v>-7.009414229506869E-2</v>
      </c>
    </row>
    <row r="925" spans="1:9">
      <c r="A925" s="90">
        <v>909</v>
      </c>
      <c r="B925" s="110">
        <v>1.1261752517424239</v>
      </c>
      <c r="C925" s="110">
        <v>1.0597987041266532</v>
      </c>
      <c r="G925" s="90">
        <v>909</v>
      </c>
      <c r="H925" s="100">
        <v>-6.0748170262716367E-2</v>
      </c>
      <c r="I925" s="100">
        <v>-7.0092366751348972E-2</v>
      </c>
    </row>
    <row r="926" spans="1:9">
      <c r="A926" s="90">
        <v>910</v>
      </c>
      <c r="B926" s="110">
        <v>1.1035589354373487</v>
      </c>
      <c r="C926" s="110">
        <v>1.0719508055331419</v>
      </c>
      <c r="G926" s="90">
        <v>910</v>
      </c>
      <c r="H926" s="100">
        <v>-2.9060181790380984E-2</v>
      </c>
      <c r="I926" s="100">
        <v>-7.0090176183201791E-2</v>
      </c>
    </row>
    <row r="927" spans="1:9">
      <c r="A927" s="90">
        <v>911</v>
      </c>
      <c r="B927" s="110">
        <v>1.1067808042513005</v>
      </c>
      <c r="C927" s="110">
        <v>1.051270396564429</v>
      </c>
      <c r="G927" s="90">
        <v>911</v>
      </c>
      <c r="H927" s="100">
        <v>-5.1456290995357042E-2</v>
      </c>
      <c r="I927" s="100">
        <v>-7.0085924639699676E-2</v>
      </c>
    </row>
    <row r="928" spans="1:9">
      <c r="A928" s="90">
        <v>912</v>
      </c>
      <c r="B928" s="110">
        <v>1.0979630077680853</v>
      </c>
      <c r="C928" s="110">
        <v>1.0546282967090408</v>
      </c>
      <c r="G928" s="90">
        <v>912</v>
      </c>
      <c r="H928" s="100">
        <v>-4.026827250991831E-2</v>
      </c>
      <c r="I928" s="100">
        <v>-7.0069649930870892E-2</v>
      </c>
    </row>
    <row r="929" spans="1:9">
      <c r="A929" s="90">
        <v>913</v>
      </c>
      <c r="B929" s="110">
        <v>1.0979270215459149</v>
      </c>
      <c r="C929" s="110">
        <v>1.0392035537511577</v>
      </c>
      <c r="G929" s="90">
        <v>913</v>
      </c>
      <c r="H929" s="100">
        <v>-5.4969269916654996E-2</v>
      </c>
      <c r="I929" s="100">
        <v>-7.0061324906748518E-2</v>
      </c>
    </row>
    <row r="930" spans="1:9">
      <c r="A930" s="90">
        <v>914</v>
      </c>
      <c r="B930" s="110">
        <v>1.112142147368919</v>
      </c>
      <c r="C930" s="110">
        <v>1.0544612215925466</v>
      </c>
      <c r="G930" s="90">
        <v>914</v>
      </c>
      <c r="H930" s="100">
        <v>-5.325807197886688E-2</v>
      </c>
      <c r="I930" s="100">
        <v>-7.0037337414286721E-2</v>
      </c>
    </row>
    <row r="931" spans="1:9">
      <c r="A931" s="90">
        <v>915</v>
      </c>
      <c r="B931" s="110">
        <v>1.1614181296893531</v>
      </c>
      <c r="C931" s="110">
        <v>1.0212224120126709</v>
      </c>
      <c r="G931" s="90">
        <v>915</v>
      </c>
      <c r="H931" s="100">
        <v>-0.12864143115050916</v>
      </c>
      <c r="I931" s="100">
        <v>-7.0011212508074225E-2</v>
      </c>
    </row>
    <row r="932" spans="1:9">
      <c r="A932" s="90">
        <v>916</v>
      </c>
      <c r="B932" s="110">
        <v>1.0947735982592723</v>
      </c>
      <c r="C932" s="110">
        <v>1.0356247665649885</v>
      </c>
      <c r="G932" s="90">
        <v>916</v>
      </c>
      <c r="H932" s="100">
        <v>-5.5542698516477092E-2</v>
      </c>
      <c r="I932" s="100">
        <v>-7.0007720480179614E-2</v>
      </c>
    </row>
    <row r="933" spans="1:9">
      <c r="A933" s="90">
        <v>917</v>
      </c>
      <c r="B933" s="110">
        <v>1.0841409994261895</v>
      </c>
      <c r="C933" s="110">
        <v>1.0658948184663748</v>
      </c>
      <c r="G933" s="90">
        <v>917</v>
      </c>
      <c r="H933" s="100">
        <v>-1.6973316310662092E-2</v>
      </c>
      <c r="I933" s="100">
        <v>-6.9989291525374295E-2</v>
      </c>
    </row>
    <row r="934" spans="1:9">
      <c r="A934" s="90">
        <v>918</v>
      </c>
      <c r="B934" s="110">
        <v>1.1059529639248706</v>
      </c>
      <c r="C934" s="110">
        <v>1.0555633876946755</v>
      </c>
      <c r="G934" s="90">
        <v>918</v>
      </c>
      <c r="H934" s="100">
        <v>-4.6632732934916044E-2</v>
      </c>
      <c r="I934" s="100">
        <v>-6.9971052349609722E-2</v>
      </c>
    </row>
    <row r="935" spans="1:9">
      <c r="A935" s="90">
        <v>919</v>
      </c>
      <c r="B935" s="110">
        <v>1.103642635170115</v>
      </c>
      <c r="C935" s="110">
        <v>1.0503381318601017</v>
      </c>
      <c r="G935" s="90">
        <v>919</v>
      </c>
      <c r="H935" s="100">
        <v>-4.9504052753926997E-2</v>
      </c>
      <c r="I935" s="100">
        <v>-6.9967968189282581E-2</v>
      </c>
    </row>
    <row r="936" spans="1:9">
      <c r="A936" s="90">
        <v>920</v>
      </c>
      <c r="B936" s="110">
        <v>1.1246995604112127</v>
      </c>
      <c r="C936" s="110">
        <v>1.0718812530305419</v>
      </c>
      <c r="G936" s="90">
        <v>920</v>
      </c>
      <c r="H936" s="100">
        <v>-4.8100657491677815E-2</v>
      </c>
      <c r="I936" s="100">
        <v>-6.9949652292155537E-2</v>
      </c>
    </row>
    <row r="937" spans="1:9">
      <c r="A937" s="90">
        <v>921</v>
      </c>
      <c r="B937" s="110">
        <v>1.1042522839212177</v>
      </c>
      <c r="C937" s="110">
        <v>1.0491490088109581</v>
      </c>
      <c r="G937" s="90">
        <v>921</v>
      </c>
      <c r="H937" s="100">
        <v>-5.1189072029457751E-2</v>
      </c>
      <c r="I937" s="100">
        <v>-6.9942324277797382E-2</v>
      </c>
    </row>
    <row r="938" spans="1:9">
      <c r="A938" s="90">
        <v>922</v>
      </c>
      <c r="B938" s="110">
        <v>1.1046566619911227</v>
      </c>
      <c r="C938" s="110">
        <v>1.0492180706327978</v>
      </c>
      <c r="G938" s="90">
        <v>922</v>
      </c>
      <c r="H938" s="100">
        <v>-5.1489381446971856E-2</v>
      </c>
      <c r="I938" s="100">
        <v>-6.9938248458979654E-2</v>
      </c>
    </row>
    <row r="939" spans="1:9">
      <c r="A939" s="90">
        <v>923</v>
      </c>
      <c r="B939" s="110">
        <v>1.1344243714318138</v>
      </c>
      <c r="C939" s="110">
        <v>1.0360905898311794</v>
      </c>
      <c r="G939" s="90">
        <v>923</v>
      </c>
      <c r="H939" s="100">
        <v>-9.0670778612812503E-2</v>
      </c>
      <c r="I939" s="100">
        <v>-6.9916170216845291E-2</v>
      </c>
    </row>
    <row r="940" spans="1:9">
      <c r="A940" s="90">
        <v>924</v>
      </c>
      <c r="B940" s="110">
        <v>1.1076183968085875</v>
      </c>
      <c r="C940" s="110">
        <v>1.0501611693808626</v>
      </c>
      <c r="G940" s="90">
        <v>924</v>
      </c>
      <c r="H940" s="100">
        <v>-5.3268474752066655E-2</v>
      </c>
      <c r="I940" s="100">
        <v>-6.9896126321728841E-2</v>
      </c>
    </row>
    <row r="941" spans="1:9">
      <c r="A941" s="90">
        <v>925</v>
      </c>
      <c r="B941" s="110">
        <v>1.1191404842054185</v>
      </c>
      <c r="C941" s="110">
        <v>1.0688660160714183</v>
      </c>
      <c r="G941" s="90">
        <v>925</v>
      </c>
      <c r="H941" s="100">
        <v>-4.596267744258796E-2</v>
      </c>
      <c r="I941" s="100">
        <v>-6.9839814829934913E-2</v>
      </c>
    </row>
    <row r="942" spans="1:9">
      <c r="A942" s="90">
        <v>926</v>
      </c>
      <c r="B942" s="110">
        <v>1.1492675190717374</v>
      </c>
      <c r="C942" s="110">
        <v>1.0575449143358719</v>
      </c>
      <c r="G942" s="90">
        <v>926</v>
      </c>
      <c r="H942" s="100">
        <v>-8.3174696283521948E-2</v>
      </c>
      <c r="I942" s="100">
        <v>-6.9783978362512836E-2</v>
      </c>
    </row>
    <row r="943" spans="1:9">
      <c r="A943" s="90">
        <v>927</v>
      </c>
      <c r="B943" s="110">
        <v>1.1185236550836057</v>
      </c>
      <c r="C943" s="110">
        <v>1.0592887314320132</v>
      </c>
      <c r="G943" s="90">
        <v>927</v>
      </c>
      <c r="H943" s="100">
        <v>-5.4411975844952852E-2</v>
      </c>
      <c r="I943" s="100">
        <v>-6.9773631745479431E-2</v>
      </c>
    </row>
    <row r="944" spans="1:9">
      <c r="A944" s="90">
        <v>928</v>
      </c>
      <c r="B944" s="110">
        <v>1.1218597473451264</v>
      </c>
      <c r="C944" s="110">
        <v>1.0341682819417677</v>
      </c>
      <c r="G944" s="90">
        <v>928</v>
      </c>
      <c r="H944" s="100">
        <v>-8.1390285583716471E-2</v>
      </c>
      <c r="I944" s="100">
        <v>-6.9705361398451127E-2</v>
      </c>
    </row>
    <row r="945" spans="1:9">
      <c r="A945" s="90">
        <v>929</v>
      </c>
      <c r="B945" s="110">
        <v>1.1108548787643175</v>
      </c>
      <c r="C945" s="110">
        <v>1.0577033670028522</v>
      </c>
      <c r="G945" s="90">
        <v>929</v>
      </c>
      <c r="H945" s="100">
        <v>-4.9029957279539078E-2</v>
      </c>
      <c r="I945" s="100">
        <v>-6.9698956166569029E-2</v>
      </c>
    </row>
    <row r="946" spans="1:9">
      <c r="A946" s="90">
        <v>930</v>
      </c>
      <c r="B946" s="110">
        <v>1.1024801816750873</v>
      </c>
      <c r="C946" s="110">
        <v>1.0484206431725245</v>
      </c>
      <c r="G946" s="90">
        <v>930</v>
      </c>
      <c r="H946" s="100">
        <v>-5.0277469930747262E-2</v>
      </c>
      <c r="I946" s="100">
        <v>-6.9678642398833576E-2</v>
      </c>
    </row>
    <row r="947" spans="1:9">
      <c r="A947" s="90">
        <v>931</v>
      </c>
      <c r="B947" s="110">
        <v>1.0924215592508799</v>
      </c>
      <c r="C947" s="110">
        <v>1.0771321428784288</v>
      </c>
      <c r="G947" s="90">
        <v>931</v>
      </c>
      <c r="H947" s="100">
        <v>-1.4094760111978683E-2</v>
      </c>
      <c r="I947" s="100">
        <v>-6.9675643160446957E-2</v>
      </c>
    </row>
    <row r="948" spans="1:9">
      <c r="A948" s="90">
        <v>932</v>
      </c>
      <c r="B948" s="110">
        <v>1.0933346575122758</v>
      </c>
      <c r="C948" s="110">
        <v>1.0528488562661193</v>
      </c>
      <c r="G948" s="90">
        <v>932</v>
      </c>
      <c r="H948" s="100">
        <v>-3.7732658326447635E-2</v>
      </c>
      <c r="I948" s="100">
        <v>-6.9663071816121455E-2</v>
      </c>
    </row>
    <row r="949" spans="1:9">
      <c r="A949" s="90">
        <v>933</v>
      </c>
      <c r="B949" s="110">
        <v>1.1118668069705897</v>
      </c>
      <c r="C949" s="110">
        <v>1.0492049600880373</v>
      </c>
      <c r="G949" s="90">
        <v>933</v>
      </c>
      <c r="H949" s="100">
        <v>-5.8007714255621699E-2</v>
      </c>
      <c r="I949" s="100">
        <v>-6.9624898512775646E-2</v>
      </c>
    </row>
    <row r="950" spans="1:9">
      <c r="A950" s="90">
        <v>934</v>
      </c>
      <c r="B950" s="110">
        <v>1.1337090702710058</v>
      </c>
      <c r="C950" s="110">
        <v>1.0574062520245882</v>
      </c>
      <c r="G950" s="90">
        <v>934</v>
      </c>
      <c r="H950" s="100">
        <v>-6.9675643160446957E-2</v>
      </c>
      <c r="I950" s="100">
        <v>-6.9617085027091213E-2</v>
      </c>
    </row>
    <row r="951" spans="1:9">
      <c r="A951" s="90">
        <v>935</v>
      </c>
      <c r="B951" s="110">
        <v>1.1109050175508717</v>
      </c>
      <c r="C951" s="110">
        <v>1.0625584923955504</v>
      </c>
      <c r="G951" s="90">
        <v>935</v>
      </c>
      <c r="H951" s="100">
        <v>-4.4495342281740409E-2</v>
      </c>
      <c r="I951" s="100">
        <v>-6.9603597280318535E-2</v>
      </c>
    </row>
    <row r="952" spans="1:9">
      <c r="A952" s="90">
        <v>936</v>
      </c>
      <c r="B952" s="110">
        <v>1.1131291943441939</v>
      </c>
      <c r="C952" s="110">
        <v>1.0772640192240077</v>
      </c>
      <c r="G952" s="90">
        <v>936</v>
      </c>
      <c r="H952" s="100">
        <v>-3.2750631805472823E-2</v>
      </c>
      <c r="I952" s="100">
        <v>-6.9566685695380173E-2</v>
      </c>
    </row>
    <row r="953" spans="1:9">
      <c r="A953" s="90">
        <v>937</v>
      </c>
      <c r="B953" s="110">
        <v>1.0861749004564603</v>
      </c>
      <c r="C953" s="110">
        <v>1.061875200225481</v>
      </c>
      <c r="G953" s="90">
        <v>937</v>
      </c>
      <c r="H953" s="100">
        <v>-2.2625856686161842E-2</v>
      </c>
      <c r="I953" s="100">
        <v>-6.9566130208958396E-2</v>
      </c>
    </row>
    <row r="954" spans="1:9">
      <c r="A954" s="90">
        <v>938</v>
      </c>
      <c r="B954" s="110">
        <v>1.0810260584386184</v>
      </c>
      <c r="C954" s="110">
        <v>1.047799924060457</v>
      </c>
      <c r="G954" s="90">
        <v>938</v>
      </c>
      <c r="H954" s="100">
        <v>-3.1217988713438907E-2</v>
      </c>
      <c r="I954" s="100">
        <v>-6.9566048718204515E-2</v>
      </c>
    </row>
    <row r="955" spans="1:9">
      <c r="A955" s="90">
        <v>939</v>
      </c>
      <c r="B955" s="110">
        <v>1.109833446180259</v>
      </c>
      <c r="C955" s="110">
        <v>1.0498659934148131</v>
      </c>
      <c r="G955" s="90">
        <v>939</v>
      </c>
      <c r="H955" s="100">
        <v>-5.5547424874186929E-2</v>
      </c>
      <c r="I955" s="100">
        <v>-6.9536551952402936E-2</v>
      </c>
    </row>
    <row r="956" spans="1:9">
      <c r="A956" s="90">
        <v>940</v>
      </c>
      <c r="B956" s="110">
        <v>1.1097942069031903</v>
      </c>
      <c r="C956" s="110">
        <v>1.0632501090550668</v>
      </c>
      <c r="G956" s="90">
        <v>940</v>
      </c>
      <c r="H956" s="100">
        <v>-4.2844241230111296E-2</v>
      </c>
      <c r="I956" s="100">
        <v>-6.9516242043989637E-2</v>
      </c>
    </row>
    <row r="957" spans="1:9">
      <c r="A957" s="90">
        <v>941</v>
      </c>
      <c r="B957" s="110">
        <v>1.1346580449166472</v>
      </c>
      <c r="C957" s="110">
        <v>1.0394670189360786</v>
      </c>
      <c r="G957" s="90">
        <v>941</v>
      </c>
      <c r="H957" s="100">
        <v>-8.7623223529685573E-2</v>
      </c>
      <c r="I957" s="100">
        <v>-6.9491412720442916E-2</v>
      </c>
    </row>
    <row r="958" spans="1:9">
      <c r="A958" s="90">
        <v>942</v>
      </c>
      <c r="B958" s="110">
        <v>1.0863990547020099</v>
      </c>
      <c r="C958" s="110">
        <v>1.0433626863779715</v>
      </c>
      <c r="G958" s="90">
        <v>942</v>
      </c>
      <c r="H958" s="100">
        <v>-4.0419758305463876E-2</v>
      </c>
      <c r="I958" s="100">
        <v>-6.9491098048841959E-2</v>
      </c>
    </row>
    <row r="959" spans="1:9">
      <c r="A959" s="90">
        <v>943</v>
      </c>
      <c r="B959" s="110">
        <v>1.1035588627932247</v>
      </c>
      <c r="C959" s="110">
        <v>1.0653426282338583</v>
      </c>
      <c r="G959" s="90">
        <v>943</v>
      </c>
      <c r="H959" s="100">
        <v>-3.5243823124789818E-2</v>
      </c>
      <c r="I959" s="100">
        <v>-6.9489934769439543E-2</v>
      </c>
    </row>
    <row r="960" spans="1:9">
      <c r="A960" s="90">
        <v>944</v>
      </c>
      <c r="B960" s="110">
        <v>1.1048825794948438</v>
      </c>
      <c r="C960" s="110">
        <v>1.0629835082945682</v>
      </c>
      <c r="G960" s="90">
        <v>944</v>
      </c>
      <c r="H960" s="100">
        <v>-3.8659481487620655E-2</v>
      </c>
      <c r="I960" s="100">
        <v>-6.948380087999706E-2</v>
      </c>
    </row>
    <row r="961" spans="1:9">
      <c r="A961" s="90">
        <v>945</v>
      </c>
      <c r="B961" s="110">
        <v>1.0748869967662702</v>
      </c>
      <c r="C961" s="110">
        <v>1.064530867648108</v>
      </c>
      <c r="G961" s="90">
        <v>945</v>
      </c>
      <c r="H961" s="100">
        <v>-9.6813345151238583E-3</v>
      </c>
      <c r="I961" s="100">
        <v>-6.9473753969935728E-2</v>
      </c>
    </row>
    <row r="962" spans="1:9">
      <c r="A962" s="90">
        <v>946</v>
      </c>
      <c r="B962" s="110">
        <v>1.0964725083282685</v>
      </c>
      <c r="C962" s="110">
        <v>1.0486681000445077</v>
      </c>
      <c r="G962" s="90">
        <v>946</v>
      </c>
      <c r="H962" s="100">
        <v>-4.4577333532963788E-2</v>
      </c>
      <c r="I962" s="100">
        <v>-6.9461605094228232E-2</v>
      </c>
    </row>
    <row r="963" spans="1:9">
      <c r="A963" s="90">
        <v>947</v>
      </c>
      <c r="B963" s="110">
        <v>1.0968679575716689</v>
      </c>
      <c r="C963" s="110">
        <v>1.0594259476179262</v>
      </c>
      <c r="G963" s="90">
        <v>947</v>
      </c>
      <c r="H963" s="100">
        <v>-3.47316046269983E-2</v>
      </c>
      <c r="I963" s="100">
        <v>-6.9454175680039948E-2</v>
      </c>
    </row>
    <row r="964" spans="1:9">
      <c r="A964" s="90">
        <v>948</v>
      </c>
      <c r="B964" s="110">
        <v>1.094622900172211</v>
      </c>
      <c r="C964" s="110">
        <v>1.0448131316264684</v>
      </c>
      <c r="G964" s="90">
        <v>948</v>
      </c>
      <c r="H964" s="100">
        <v>-4.6571872534266263E-2</v>
      </c>
      <c r="I964" s="100">
        <v>-6.9447258697286782E-2</v>
      </c>
    </row>
    <row r="965" spans="1:9">
      <c r="A965" s="90">
        <v>949</v>
      </c>
      <c r="B965" s="110">
        <v>1.1158462642819016</v>
      </c>
      <c r="C965" s="110">
        <v>1.035658386179005</v>
      </c>
      <c r="G965" s="90">
        <v>949</v>
      </c>
      <c r="H965" s="100">
        <v>-7.4575752060453221E-2</v>
      </c>
      <c r="I965" s="100">
        <v>-6.9440619299497075E-2</v>
      </c>
    </row>
    <row r="966" spans="1:9">
      <c r="A966" s="90">
        <v>950</v>
      </c>
      <c r="B966" s="110">
        <v>1.1012594316583799</v>
      </c>
      <c r="C966" s="110">
        <v>1.0513958627146156</v>
      </c>
      <c r="G966" s="90">
        <v>950</v>
      </c>
      <c r="H966" s="100">
        <v>-4.6335788363704826E-2</v>
      </c>
      <c r="I966" s="100">
        <v>-6.9419329979980252E-2</v>
      </c>
    </row>
    <row r="967" spans="1:9">
      <c r="A967" s="90">
        <v>951</v>
      </c>
      <c r="B967" s="110">
        <v>1.1186718397632707</v>
      </c>
      <c r="C967" s="110">
        <v>1.0533057921251352</v>
      </c>
      <c r="G967" s="90">
        <v>951</v>
      </c>
      <c r="H967" s="100">
        <v>-6.0208532395343857E-2</v>
      </c>
      <c r="I967" s="100">
        <v>-6.9351501429696094E-2</v>
      </c>
    </row>
    <row r="968" spans="1:9">
      <c r="A968" s="90">
        <v>952</v>
      </c>
      <c r="B968" s="110">
        <v>1.1090266479862634</v>
      </c>
      <c r="C968" s="110">
        <v>1.0339444510332558</v>
      </c>
      <c r="G968" s="90">
        <v>952</v>
      </c>
      <c r="H968" s="100">
        <v>-7.0101684683817375E-2</v>
      </c>
      <c r="I968" s="100">
        <v>-6.9308288509961874E-2</v>
      </c>
    </row>
    <row r="969" spans="1:9">
      <c r="A969" s="90">
        <v>953</v>
      </c>
      <c r="B969" s="110">
        <v>1.0964446329948994</v>
      </c>
      <c r="C969" s="110">
        <v>1.088356037836574</v>
      </c>
      <c r="G969" s="90">
        <v>953</v>
      </c>
      <c r="H969" s="100">
        <v>-7.4044577354077015E-3</v>
      </c>
      <c r="I969" s="100">
        <v>-6.9299722224832883E-2</v>
      </c>
    </row>
    <row r="970" spans="1:9">
      <c r="A970" s="90">
        <v>954</v>
      </c>
      <c r="B970" s="110">
        <v>1.1168787502098032</v>
      </c>
      <c r="C970" s="110">
        <v>1.0598000861098662</v>
      </c>
      <c r="G970" s="90">
        <v>954</v>
      </c>
      <c r="H970" s="100">
        <v>-5.2457672368732541E-2</v>
      </c>
      <c r="I970" s="100">
        <v>-6.9280919021043885E-2</v>
      </c>
    </row>
    <row r="971" spans="1:9">
      <c r="A971" s="90">
        <v>955</v>
      </c>
      <c r="B971" s="110">
        <v>1.116626312564114</v>
      </c>
      <c r="C971" s="110">
        <v>1.0350043542400804</v>
      </c>
      <c r="G971" s="90">
        <v>955</v>
      </c>
      <c r="H971" s="100">
        <v>-7.590628480985627E-2</v>
      </c>
      <c r="I971" s="100">
        <v>-6.9273017098510678E-2</v>
      </c>
    </row>
    <row r="972" spans="1:9">
      <c r="A972" s="90">
        <v>956</v>
      </c>
      <c r="B972" s="110">
        <v>1.1088728134814418</v>
      </c>
      <c r="C972" s="110">
        <v>1.0554162314728999</v>
      </c>
      <c r="G972" s="90">
        <v>956</v>
      </c>
      <c r="H972" s="100">
        <v>-4.9408794699183661E-2</v>
      </c>
      <c r="I972" s="100">
        <v>-6.9260287718781302E-2</v>
      </c>
    </row>
    <row r="973" spans="1:9">
      <c r="A973" s="90">
        <v>957</v>
      </c>
      <c r="B973" s="110">
        <v>1.1235652613514278</v>
      </c>
      <c r="C973" s="110">
        <v>1.0547432780940444</v>
      </c>
      <c r="G973" s="90">
        <v>957</v>
      </c>
      <c r="H973" s="100">
        <v>-6.3209499479464609E-2</v>
      </c>
      <c r="I973" s="100">
        <v>-6.9253071867433097E-2</v>
      </c>
    </row>
    <row r="974" spans="1:9">
      <c r="A974" s="90">
        <v>958</v>
      </c>
      <c r="B974" s="110">
        <v>1.1064447966954505</v>
      </c>
      <c r="C974" s="110">
        <v>1.0540692487366432</v>
      </c>
      <c r="G974" s="90">
        <v>958</v>
      </c>
      <c r="H974" s="100">
        <v>-4.8493840397133517E-2</v>
      </c>
      <c r="I974" s="100">
        <v>-6.922179600863694E-2</v>
      </c>
    </row>
    <row r="975" spans="1:9">
      <c r="A975" s="90">
        <v>959</v>
      </c>
      <c r="B975" s="110">
        <v>1.1123516740232633</v>
      </c>
      <c r="C975" s="110">
        <v>1.0598586349637407</v>
      </c>
      <c r="G975" s="90">
        <v>959</v>
      </c>
      <c r="H975" s="100">
        <v>-4.8340863460244909E-2</v>
      </c>
      <c r="I975" s="100">
        <v>-6.921676999735922E-2</v>
      </c>
    </row>
    <row r="976" spans="1:9">
      <c r="A976" s="90">
        <v>960</v>
      </c>
      <c r="B976" s="110">
        <v>1.1414417331824513</v>
      </c>
      <c r="C976" s="110">
        <v>1.0453998777796163</v>
      </c>
      <c r="G976" s="90">
        <v>960</v>
      </c>
      <c r="H976" s="100">
        <v>-8.7892671220595631E-2</v>
      </c>
      <c r="I976" s="100">
        <v>-6.9214116325728686E-2</v>
      </c>
    </row>
    <row r="977" spans="1:9">
      <c r="A977" s="90">
        <v>961</v>
      </c>
      <c r="B977" s="110">
        <v>1.0909464260257324</v>
      </c>
      <c r="C977" s="110">
        <v>1.0739046028748538</v>
      </c>
      <c r="G977" s="90">
        <v>961</v>
      </c>
      <c r="H977" s="100">
        <v>-1.5744432258222724E-2</v>
      </c>
      <c r="I977" s="100">
        <v>-6.9194978015592018E-2</v>
      </c>
    </row>
    <row r="978" spans="1:9">
      <c r="A978" s="90">
        <v>962</v>
      </c>
      <c r="B978" s="110">
        <v>1.119899712621687</v>
      </c>
      <c r="C978" s="110">
        <v>1.0344265721877453</v>
      </c>
      <c r="G978" s="90">
        <v>962</v>
      </c>
      <c r="H978" s="100">
        <v>-7.9391902346985982E-2</v>
      </c>
      <c r="I978" s="100">
        <v>-6.9187049464226325E-2</v>
      </c>
    </row>
    <row r="979" spans="1:9">
      <c r="A979" s="90">
        <v>963</v>
      </c>
      <c r="B979" s="110">
        <v>1.1307291854635413</v>
      </c>
      <c r="C979" s="110">
        <v>1.0717582255767677</v>
      </c>
      <c r="G979" s="90">
        <v>963</v>
      </c>
      <c r="H979" s="100">
        <v>-5.3562220111129884E-2</v>
      </c>
      <c r="I979" s="100">
        <v>-6.9092305579983915E-2</v>
      </c>
    </row>
    <row r="980" spans="1:9">
      <c r="A980" s="90">
        <v>964</v>
      </c>
      <c r="B980" s="110">
        <v>1.1038216035896018</v>
      </c>
      <c r="C980" s="110">
        <v>1.0549836345848349</v>
      </c>
      <c r="G980" s="90">
        <v>964</v>
      </c>
      <c r="H980" s="100">
        <v>-4.5253089280380368E-2</v>
      </c>
      <c r="I980" s="100">
        <v>-6.9086101905558001E-2</v>
      </c>
    </row>
    <row r="981" spans="1:9">
      <c r="A981" s="90">
        <v>965</v>
      </c>
      <c r="B981" s="110">
        <v>1.0844042883215976</v>
      </c>
      <c r="C981" s="110">
        <v>1.0249046888341151</v>
      </c>
      <c r="G981" s="90">
        <v>965</v>
      </c>
      <c r="H981" s="100">
        <v>-5.6431171427985781E-2</v>
      </c>
      <c r="I981" s="100">
        <v>-6.8964984293956519E-2</v>
      </c>
    </row>
    <row r="982" spans="1:9">
      <c r="A982" s="90">
        <v>966</v>
      </c>
      <c r="B982" s="110">
        <v>1.0919372169476993</v>
      </c>
      <c r="C982" s="110">
        <v>1.0662675019178129</v>
      </c>
      <c r="G982" s="90">
        <v>966</v>
      </c>
      <c r="H982" s="100">
        <v>-2.3789147883368687E-2</v>
      </c>
      <c r="I982" s="100">
        <v>-6.8958608002365113E-2</v>
      </c>
    </row>
    <row r="983" spans="1:9">
      <c r="A983" s="90">
        <v>967</v>
      </c>
      <c r="B983" s="110">
        <v>1.0860945780650038</v>
      </c>
      <c r="C983" s="110">
        <v>1.0425556158937814</v>
      </c>
      <c r="G983" s="90">
        <v>967</v>
      </c>
      <c r="H983" s="100">
        <v>-4.0913284330408861E-2</v>
      </c>
      <c r="I983" s="100">
        <v>-6.8950349044457335E-2</v>
      </c>
    </row>
    <row r="984" spans="1:9">
      <c r="A984" s="90">
        <v>968</v>
      </c>
      <c r="B984" s="110">
        <v>1.0967958909683884</v>
      </c>
      <c r="C984" s="110">
        <v>1.0406085950275619</v>
      </c>
      <c r="G984" s="90">
        <v>968</v>
      </c>
      <c r="H984" s="100">
        <v>-5.2587373352769869E-2</v>
      </c>
      <c r="I984" s="100">
        <v>-6.8925861971731325E-2</v>
      </c>
    </row>
    <row r="985" spans="1:9">
      <c r="A985" s="90">
        <v>969</v>
      </c>
      <c r="B985" s="110">
        <v>1.0886422668465854</v>
      </c>
      <c r="C985" s="110">
        <v>1.0602061615787362</v>
      </c>
      <c r="G985" s="90">
        <v>969</v>
      </c>
      <c r="H985" s="100">
        <v>-2.6467911788710691E-2</v>
      </c>
      <c r="I985" s="100">
        <v>-6.8919889989668151E-2</v>
      </c>
    </row>
    <row r="986" spans="1:9">
      <c r="A986" s="90">
        <v>970</v>
      </c>
      <c r="B986" s="110">
        <v>1.1020389690603765</v>
      </c>
      <c r="C986" s="110">
        <v>1.063647728515555</v>
      </c>
      <c r="G986" s="90">
        <v>970</v>
      </c>
      <c r="H986" s="100">
        <v>-3.5457818351840469E-2</v>
      </c>
      <c r="I986" s="100">
        <v>-6.8889422210303891E-2</v>
      </c>
    </row>
    <row r="987" spans="1:9">
      <c r="A987" s="90">
        <v>971</v>
      </c>
      <c r="B987" s="110">
        <v>1.0957557693158988</v>
      </c>
      <c r="C987" s="110">
        <v>1.0550174831070303</v>
      </c>
      <c r="G987" s="90">
        <v>971</v>
      </c>
      <c r="H987" s="100">
        <v>-3.7886987022125944E-2</v>
      </c>
      <c r="I987" s="100">
        <v>-6.8887199077511549E-2</v>
      </c>
    </row>
    <row r="988" spans="1:9">
      <c r="A988" s="90">
        <v>972</v>
      </c>
      <c r="B988" s="110">
        <v>1.0989783161561386</v>
      </c>
      <c r="C988" s="110">
        <v>1.0737068470995228</v>
      </c>
      <c r="G988" s="90">
        <v>972</v>
      </c>
      <c r="H988" s="100">
        <v>-2.3263940160294122E-2</v>
      </c>
      <c r="I988" s="100">
        <v>-6.8880301351218753E-2</v>
      </c>
    </row>
    <row r="989" spans="1:9">
      <c r="A989" s="90">
        <v>973</v>
      </c>
      <c r="B989" s="110">
        <v>1.1341080806263339</v>
      </c>
      <c r="C989" s="110">
        <v>1.0386523468190489</v>
      </c>
      <c r="G989" s="90">
        <v>973</v>
      </c>
      <c r="H989" s="100">
        <v>-8.7922457472452323E-2</v>
      </c>
      <c r="I989" s="100">
        <v>-6.8873907043951021E-2</v>
      </c>
    </row>
    <row r="990" spans="1:9">
      <c r="A990" s="90">
        <v>974</v>
      </c>
      <c r="B990" s="110">
        <v>1.1101835100241795</v>
      </c>
      <c r="C990" s="110">
        <v>1.0447820710397075</v>
      </c>
      <c r="G990" s="90">
        <v>974</v>
      </c>
      <c r="H990" s="100">
        <v>-6.0717006797041978E-2</v>
      </c>
      <c r="I990" s="100">
        <v>-6.8864444746269474E-2</v>
      </c>
    </row>
    <row r="991" spans="1:9">
      <c r="A991" s="90">
        <v>975</v>
      </c>
      <c r="B991" s="110">
        <v>1.1003504977486918</v>
      </c>
      <c r="C991" s="110">
        <v>1.0513178208918843</v>
      </c>
      <c r="G991" s="90">
        <v>975</v>
      </c>
      <c r="H991" s="100">
        <v>-4.5584318621534801E-2</v>
      </c>
      <c r="I991" s="100">
        <v>-6.8820835312724635E-2</v>
      </c>
    </row>
    <row r="992" spans="1:9">
      <c r="A992" s="90">
        <v>976</v>
      </c>
      <c r="B992" s="110">
        <v>1.1064254464690955</v>
      </c>
      <c r="C992" s="110">
        <v>1.0572888493755979</v>
      </c>
      <c r="G992" s="90">
        <v>976</v>
      </c>
      <c r="H992" s="100">
        <v>-4.5426558062836304E-2</v>
      </c>
      <c r="I992" s="100">
        <v>-6.8807172636092262E-2</v>
      </c>
    </row>
    <row r="993" spans="1:9">
      <c r="A993" s="90">
        <v>977</v>
      </c>
      <c r="B993" s="110">
        <v>1.0755442828221868</v>
      </c>
      <c r="C993" s="110">
        <v>1.0637009424858932</v>
      </c>
      <c r="G993" s="90">
        <v>977</v>
      </c>
      <c r="H993" s="100">
        <v>-1.1072560730274747E-2</v>
      </c>
      <c r="I993" s="100">
        <v>-6.8806116478033169E-2</v>
      </c>
    </row>
    <row r="994" spans="1:9">
      <c r="A994" s="90">
        <v>978</v>
      </c>
      <c r="B994" s="110">
        <v>1.1069099797122568</v>
      </c>
      <c r="C994" s="110">
        <v>1.0590833093763989</v>
      </c>
      <c r="G994" s="90">
        <v>978</v>
      </c>
      <c r="H994" s="100">
        <v>-4.4168599788643605E-2</v>
      </c>
      <c r="I994" s="100">
        <v>-6.8800363945203044E-2</v>
      </c>
    </row>
    <row r="995" spans="1:9">
      <c r="A995" s="90">
        <v>979</v>
      </c>
      <c r="B995" s="110">
        <v>1.0989750245635819</v>
      </c>
      <c r="C995" s="110">
        <v>1.0655295408393195</v>
      </c>
      <c r="G995" s="90">
        <v>979</v>
      </c>
      <c r="H995" s="100">
        <v>-3.0906052528281026E-2</v>
      </c>
      <c r="I995" s="100">
        <v>-6.8744999004460308E-2</v>
      </c>
    </row>
    <row r="996" spans="1:9">
      <c r="A996" s="90">
        <v>980</v>
      </c>
      <c r="B996" s="110">
        <v>1.1112703284718211</v>
      </c>
      <c r="C996" s="110">
        <v>1.0588697658239039</v>
      </c>
      <c r="G996" s="90">
        <v>980</v>
      </c>
      <c r="H996" s="100">
        <v>-4.8301720407510636E-2</v>
      </c>
      <c r="I996" s="100">
        <v>-6.8728102169597335E-2</v>
      </c>
    </row>
    <row r="997" spans="1:9">
      <c r="A997" s="90">
        <v>981</v>
      </c>
      <c r="B997" s="110">
        <v>1.1167967537864965</v>
      </c>
      <c r="C997" s="110">
        <v>1.0555610786154173</v>
      </c>
      <c r="G997" s="90">
        <v>981</v>
      </c>
      <c r="H997" s="100">
        <v>-5.6392092682859961E-2</v>
      </c>
      <c r="I997" s="100">
        <v>-6.8719915876853346E-2</v>
      </c>
    </row>
    <row r="998" spans="1:9">
      <c r="A998" s="90">
        <v>982</v>
      </c>
      <c r="B998" s="110">
        <v>1.1038877010443611</v>
      </c>
      <c r="C998" s="110">
        <v>1.0508494464989251</v>
      </c>
      <c r="G998" s="90">
        <v>982</v>
      </c>
      <c r="H998" s="100">
        <v>-4.9239388838898043E-2</v>
      </c>
      <c r="I998" s="100">
        <v>-6.8713727204600811E-2</v>
      </c>
    </row>
    <row r="999" spans="1:9">
      <c r="A999" s="90">
        <v>983</v>
      </c>
      <c r="B999" s="110">
        <v>1.1019665410960009</v>
      </c>
      <c r="C999" s="110">
        <v>1.0607068794239622</v>
      </c>
      <c r="G999" s="90">
        <v>983</v>
      </c>
      <c r="H999" s="100">
        <v>-3.8160795040112598E-2</v>
      </c>
      <c r="I999" s="100">
        <v>-6.8703438246844745E-2</v>
      </c>
    </row>
    <row r="1000" spans="1:9">
      <c r="A1000" s="90">
        <v>984</v>
      </c>
      <c r="B1000" s="110">
        <v>1.0896060704848562</v>
      </c>
      <c r="C1000" s="110">
        <v>1.0545955806578384</v>
      </c>
      <c r="G1000" s="90">
        <v>984</v>
      </c>
      <c r="H1000" s="100">
        <v>-3.2658870127559476E-2</v>
      </c>
      <c r="I1000" s="100">
        <v>-6.870276544713555E-2</v>
      </c>
    </row>
    <row r="1001" spans="1:9">
      <c r="A1001" s="90">
        <v>985</v>
      </c>
      <c r="B1001" s="110">
        <v>1.1258403533301711</v>
      </c>
      <c r="C1001" s="110">
        <v>1.0508290126410684</v>
      </c>
      <c r="G1001" s="90">
        <v>985</v>
      </c>
      <c r="H1001" s="100">
        <v>-6.8950349044457335E-2</v>
      </c>
      <c r="I1001" s="100">
        <v>-6.8665477552595403E-2</v>
      </c>
    </row>
    <row r="1002" spans="1:9">
      <c r="A1002" s="90">
        <v>986</v>
      </c>
      <c r="B1002" s="110">
        <v>1.099828495561348</v>
      </c>
      <c r="C1002" s="110">
        <v>1.0604466125308487</v>
      </c>
      <c r="G1002" s="90">
        <v>986</v>
      </c>
      <c r="H1002" s="100">
        <v>-3.6464102557960489E-2</v>
      </c>
      <c r="I1002" s="100">
        <v>-6.8643967474984913E-2</v>
      </c>
    </row>
    <row r="1003" spans="1:9">
      <c r="A1003" s="90">
        <v>987</v>
      </c>
      <c r="B1003" s="110">
        <v>1.1148859363711243</v>
      </c>
      <c r="C1003" s="110">
        <v>1.0470852086294038</v>
      </c>
      <c r="G1003" s="90">
        <v>987</v>
      </c>
      <c r="H1003" s="100">
        <v>-6.2741788283308633E-2</v>
      </c>
      <c r="I1003" s="100">
        <v>-6.8637395196023784E-2</v>
      </c>
    </row>
    <row r="1004" spans="1:9">
      <c r="A1004" s="90">
        <v>988</v>
      </c>
      <c r="B1004" s="110">
        <v>1.101610257104602</v>
      </c>
      <c r="C1004" s="110">
        <v>1.0551197973519748</v>
      </c>
      <c r="G1004" s="90">
        <v>988</v>
      </c>
      <c r="H1004" s="100">
        <v>-4.3118667012209858E-2</v>
      </c>
      <c r="I1004" s="100">
        <v>-6.8634875910592988E-2</v>
      </c>
    </row>
    <row r="1005" spans="1:9">
      <c r="A1005" s="90">
        <v>989</v>
      </c>
      <c r="B1005" s="110">
        <v>1.1201341826451972</v>
      </c>
      <c r="C1005" s="110">
        <v>1.0207349269669239</v>
      </c>
      <c r="G1005" s="90">
        <v>989</v>
      </c>
      <c r="H1005" s="100">
        <v>-9.2925599581131821E-2</v>
      </c>
      <c r="I1005" s="100">
        <v>-6.8614647998681388E-2</v>
      </c>
    </row>
    <row r="1006" spans="1:9">
      <c r="A1006" s="90">
        <v>990</v>
      </c>
      <c r="B1006" s="110">
        <v>1.1212546814358415</v>
      </c>
      <c r="C1006" s="110">
        <v>1.0471955108355442</v>
      </c>
      <c r="G1006" s="90">
        <v>990</v>
      </c>
      <c r="H1006" s="100">
        <v>-6.8332660797660205E-2</v>
      </c>
      <c r="I1006" s="100">
        <v>-6.8604923272255702E-2</v>
      </c>
    </row>
    <row r="1007" spans="1:9">
      <c r="A1007" s="90">
        <v>991</v>
      </c>
      <c r="B1007" s="110">
        <v>1.0896848099612302</v>
      </c>
      <c r="C1007" s="110">
        <v>1.0410011914859583</v>
      </c>
      <c r="G1007" s="90">
        <v>991</v>
      </c>
      <c r="H1007" s="100">
        <v>-4.5705555060344322E-2</v>
      </c>
      <c r="I1007" s="100">
        <v>-6.8554373843428537E-2</v>
      </c>
    </row>
    <row r="1008" spans="1:9">
      <c r="A1008" s="90">
        <v>992</v>
      </c>
      <c r="B1008" s="110">
        <v>1.1193958342510617</v>
      </c>
      <c r="C1008" s="110">
        <v>1.059246044707141</v>
      </c>
      <c r="G1008" s="90">
        <v>992</v>
      </c>
      <c r="H1008" s="100">
        <v>-5.5231729588703378E-2</v>
      </c>
      <c r="I1008" s="100">
        <v>-6.8546205758453535E-2</v>
      </c>
    </row>
    <row r="1009" spans="1:9">
      <c r="A1009" s="90">
        <v>993</v>
      </c>
      <c r="B1009" s="110">
        <v>1.119107068138145</v>
      </c>
      <c r="C1009" s="110">
        <v>1.0490925248413918</v>
      </c>
      <c r="G1009" s="90">
        <v>993</v>
      </c>
      <c r="H1009" s="100">
        <v>-6.4605578310977713E-2</v>
      </c>
      <c r="I1009" s="100">
        <v>-6.8520250032195223E-2</v>
      </c>
    </row>
    <row r="1010" spans="1:9">
      <c r="A1010" s="90">
        <v>994</v>
      </c>
      <c r="B1010" s="110">
        <v>1.117519625710182</v>
      </c>
      <c r="C1010" s="110">
        <v>1.0589040471380606</v>
      </c>
      <c r="G1010" s="90">
        <v>994</v>
      </c>
      <c r="H1010" s="100">
        <v>-5.3877154040146202E-2</v>
      </c>
      <c r="I1010" s="100">
        <v>-6.8520237572596607E-2</v>
      </c>
    </row>
    <row r="1011" spans="1:9">
      <c r="A1011" s="90">
        <v>995</v>
      </c>
      <c r="B1011" s="110">
        <v>1.1249585103807305</v>
      </c>
      <c r="C1011" s="110">
        <v>1.0485859380025657</v>
      </c>
      <c r="G1011" s="90">
        <v>995</v>
      </c>
      <c r="H1011" s="100">
        <v>-7.0303624507216028E-2</v>
      </c>
      <c r="I1011" s="100">
        <v>-6.8465314524391807E-2</v>
      </c>
    </row>
    <row r="1012" spans="1:9">
      <c r="A1012" s="90">
        <v>996</v>
      </c>
      <c r="B1012" s="110">
        <v>1.0911675365384985</v>
      </c>
      <c r="C1012" s="110">
        <v>1.0632727414968905</v>
      </c>
      <c r="G1012" s="90">
        <v>996</v>
      </c>
      <c r="H1012" s="100">
        <v>-2.5896613838097077E-2</v>
      </c>
      <c r="I1012" s="100">
        <v>-6.8455048476632738E-2</v>
      </c>
    </row>
    <row r="1013" spans="1:9">
      <c r="A1013" s="90">
        <v>997</v>
      </c>
      <c r="B1013" s="110">
        <v>1.1289349399818303</v>
      </c>
      <c r="C1013" s="110">
        <v>1.0628429853296435</v>
      </c>
      <c r="G1013" s="90">
        <v>997</v>
      </c>
      <c r="H1013" s="100">
        <v>-6.032727782648005E-2</v>
      </c>
      <c r="I1013" s="100">
        <v>-6.8447740968023724E-2</v>
      </c>
    </row>
    <row r="1014" spans="1:9">
      <c r="A1014" s="90">
        <v>998</v>
      </c>
      <c r="B1014" s="110">
        <v>1.1140331416924034</v>
      </c>
      <c r="C1014" s="110">
        <v>1.0441034960054838</v>
      </c>
      <c r="G1014" s="90">
        <v>998</v>
      </c>
      <c r="H1014" s="100">
        <v>-6.4828272583422775E-2</v>
      </c>
      <c r="I1014" s="100">
        <v>-6.8433636938576708E-2</v>
      </c>
    </row>
    <row r="1015" spans="1:9">
      <c r="A1015" s="90">
        <v>999</v>
      </c>
      <c r="B1015" s="110">
        <v>1.1036487435420719</v>
      </c>
      <c r="C1015" s="110">
        <v>1.0546335451028777</v>
      </c>
      <c r="G1015" s="90">
        <v>999</v>
      </c>
      <c r="H1015" s="100">
        <v>-4.5428374173116223E-2</v>
      </c>
      <c r="I1015" s="100">
        <v>-6.8411089602361141E-2</v>
      </c>
    </row>
    <row r="1016" spans="1:9">
      <c r="A1016" s="90">
        <v>1000</v>
      </c>
      <c r="B1016" s="110">
        <v>1.0981004812247293</v>
      </c>
      <c r="C1016" s="110">
        <v>1.0288355350775076</v>
      </c>
      <c r="G1016" s="90">
        <v>1000</v>
      </c>
      <c r="H1016" s="100">
        <v>-6.5154237634300394E-2</v>
      </c>
      <c r="I1016" s="100">
        <v>-6.8407509987538764E-2</v>
      </c>
    </row>
    <row r="1017" spans="1:9">
      <c r="A1017" s="90">
        <v>1001</v>
      </c>
      <c r="B1017" s="110">
        <v>1.0959475037840889</v>
      </c>
      <c r="C1017" s="110">
        <v>1.0635110957638167</v>
      </c>
      <c r="G1017" s="90">
        <v>1001</v>
      </c>
      <c r="H1017" s="100">
        <v>-3.0043500515434685E-2</v>
      </c>
      <c r="I1017" s="100">
        <v>-6.840394186917978E-2</v>
      </c>
    </row>
    <row r="1018" spans="1:9">
      <c r="A1018" s="90">
        <v>1002</v>
      </c>
      <c r="B1018" s="110">
        <v>1.116444558619673</v>
      </c>
      <c r="C1018" s="110">
        <v>1.0665393911137098</v>
      </c>
      <c r="G1018" s="90">
        <v>1002</v>
      </c>
      <c r="H1018" s="100">
        <v>-4.5729941469065685E-2</v>
      </c>
      <c r="I1018" s="100">
        <v>-6.8403149937571864E-2</v>
      </c>
    </row>
    <row r="1019" spans="1:9">
      <c r="A1019" s="90">
        <v>1003</v>
      </c>
      <c r="B1019" s="110">
        <v>1.0866826552512259</v>
      </c>
      <c r="C1019" s="110">
        <v>1.0801433311255009</v>
      </c>
      <c r="G1019" s="90">
        <v>1003</v>
      </c>
      <c r="H1019" s="100">
        <v>-6.0358736881414975E-3</v>
      </c>
      <c r="I1019" s="100">
        <v>-6.8395700988131442E-2</v>
      </c>
    </row>
    <row r="1020" spans="1:9">
      <c r="A1020" s="90">
        <v>1004</v>
      </c>
      <c r="B1020" s="110">
        <v>1.1257907766776551</v>
      </c>
      <c r="C1020" s="110">
        <v>1.0587153131776341</v>
      </c>
      <c r="G1020" s="90">
        <v>1004</v>
      </c>
      <c r="H1020" s="100">
        <v>-6.1429496935767762E-2</v>
      </c>
      <c r="I1020" s="100">
        <v>-6.8382799372389641E-2</v>
      </c>
    </row>
    <row r="1021" spans="1:9">
      <c r="A1021" s="90">
        <v>1005</v>
      </c>
      <c r="B1021" s="110">
        <v>1.0979537193234576</v>
      </c>
      <c r="C1021" s="110">
        <v>1.0622596074025799</v>
      </c>
      <c r="G1021" s="90">
        <v>1005</v>
      </c>
      <c r="H1021" s="100">
        <v>-3.304984785914071E-2</v>
      </c>
      <c r="I1021" s="100">
        <v>-6.8342830633207688E-2</v>
      </c>
    </row>
    <row r="1022" spans="1:9">
      <c r="A1022" s="90">
        <v>1006</v>
      </c>
      <c r="B1022" s="110">
        <v>1.115022851703561</v>
      </c>
      <c r="C1022" s="110">
        <v>1.0586643122148023</v>
      </c>
      <c r="G1022" s="90">
        <v>1006</v>
      </c>
      <c r="H1022" s="100">
        <v>-5.1866868767621213E-2</v>
      </c>
      <c r="I1022" s="100">
        <v>-6.8332660797660205E-2</v>
      </c>
    </row>
    <row r="1023" spans="1:9">
      <c r="A1023" s="90">
        <v>1007</v>
      </c>
      <c r="B1023" s="110">
        <v>1.1226354812571187</v>
      </c>
      <c r="C1023" s="110">
        <v>1.0604607485716755</v>
      </c>
      <c r="G1023" s="90">
        <v>1007</v>
      </c>
      <c r="H1023" s="100">
        <v>-5.6975547201679605E-2</v>
      </c>
      <c r="I1023" s="100">
        <v>-6.8327893984926488E-2</v>
      </c>
    </row>
    <row r="1024" spans="1:9">
      <c r="A1024" s="90">
        <v>1008</v>
      </c>
      <c r="B1024" s="110">
        <v>1.1048583549890962</v>
      </c>
      <c r="C1024" s="110">
        <v>1.0862637738341376</v>
      </c>
      <c r="G1024" s="90">
        <v>1008</v>
      </c>
      <c r="H1024" s="100">
        <v>-1.6973063536430365E-2</v>
      </c>
      <c r="I1024" s="100">
        <v>-6.8321006954939201E-2</v>
      </c>
    </row>
    <row r="1025" spans="1:9">
      <c r="A1025" s="90">
        <v>1009</v>
      </c>
      <c r="B1025" s="110">
        <v>1.0840017941903983</v>
      </c>
      <c r="C1025" s="110">
        <v>1.0572315337218212</v>
      </c>
      <c r="G1025" s="90">
        <v>1009</v>
      </c>
      <c r="H1025" s="100">
        <v>-2.5005827286099618E-2</v>
      </c>
      <c r="I1025" s="100">
        <v>-6.8312638070443701E-2</v>
      </c>
    </row>
    <row r="1026" spans="1:9">
      <c r="A1026" s="90">
        <v>1010</v>
      </c>
      <c r="B1026" s="110">
        <v>1.1011059616558794</v>
      </c>
      <c r="C1026" s="110">
        <v>1.0814379093661395</v>
      </c>
      <c r="G1026" s="90">
        <v>1010</v>
      </c>
      <c r="H1026" s="100">
        <v>-1.8023541222103586E-2</v>
      </c>
      <c r="I1026" s="100">
        <v>-6.8310841360100016E-2</v>
      </c>
    </row>
    <row r="1027" spans="1:9">
      <c r="A1027" s="90">
        <v>1011</v>
      </c>
      <c r="B1027" s="110">
        <v>1.0801515617358588</v>
      </c>
      <c r="C1027" s="110">
        <v>1.0632168869477665</v>
      </c>
      <c r="G1027" s="90">
        <v>1011</v>
      </c>
      <c r="H1027" s="100">
        <v>-1.5802254806233155E-2</v>
      </c>
      <c r="I1027" s="100">
        <v>-6.8299597866504538E-2</v>
      </c>
    </row>
    <row r="1028" spans="1:9">
      <c r="A1028" s="90">
        <v>1012</v>
      </c>
      <c r="B1028" s="110">
        <v>1.104946559109568</v>
      </c>
      <c r="C1028" s="110">
        <v>1.0402879689616376</v>
      </c>
      <c r="G1028" s="90">
        <v>1012</v>
      </c>
      <c r="H1028" s="100">
        <v>-6.029940294565829E-2</v>
      </c>
      <c r="I1028" s="100">
        <v>-6.8284205741191914E-2</v>
      </c>
    </row>
    <row r="1029" spans="1:9">
      <c r="A1029" s="90">
        <v>1013</v>
      </c>
      <c r="B1029" s="110">
        <v>1.143161323297742</v>
      </c>
      <c r="C1029" s="110">
        <v>1.0658683239512852</v>
      </c>
      <c r="G1029" s="90">
        <v>1013</v>
      </c>
      <c r="H1029" s="100">
        <v>-7.0007720480179614E-2</v>
      </c>
      <c r="I1029" s="100">
        <v>-6.8266883563675787E-2</v>
      </c>
    </row>
    <row r="1030" spans="1:9">
      <c r="A1030" s="90">
        <v>1014</v>
      </c>
      <c r="B1030" s="110">
        <v>1.1257300589275647</v>
      </c>
      <c r="C1030" s="110">
        <v>1.0650498888474114</v>
      </c>
      <c r="G1030" s="90">
        <v>1014</v>
      </c>
      <c r="H1030" s="100">
        <v>-5.5410124401572655E-2</v>
      </c>
      <c r="I1030" s="100">
        <v>-6.823546530243553E-2</v>
      </c>
    </row>
    <row r="1031" spans="1:9">
      <c r="A1031" s="90">
        <v>1015</v>
      </c>
      <c r="B1031" s="110">
        <v>1.1000982770647683</v>
      </c>
      <c r="C1031" s="110">
        <v>1.0663853191388328</v>
      </c>
      <c r="G1031" s="90">
        <v>1015</v>
      </c>
      <c r="H1031" s="100">
        <v>-3.1124795561080949E-2</v>
      </c>
      <c r="I1031" s="100">
        <v>-6.8234553228800551E-2</v>
      </c>
    </row>
    <row r="1032" spans="1:9">
      <c r="A1032" s="90">
        <v>1016</v>
      </c>
      <c r="B1032" s="110">
        <v>1.107314356008547</v>
      </c>
      <c r="C1032" s="110">
        <v>1.0236028229404153</v>
      </c>
      <c r="G1032" s="90">
        <v>1016</v>
      </c>
      <c r="H1032" s="100">
        <v>-7.860900136037316E-2</v>
      </c>
      <c r="I1032" s="100">
        <v>-6.8213612842156948E-2</v>
      </c>
    </row>
    <row r="1033" spans="1:9">
      <c r="A1033" s="90">
        <v>1017</v>
      </c>
      <c r="B1033" s="110">
        <v>1.1080447520079115</v>
      </c>
      <c r="C1033" s="110">
        <v>1.043249288399859</v>
      </c>
      <c r="G1033" s="90">
        <v>1017</v>
      </c>
      <c r="H1033" s="100">
        <v>-6.0256819018331229E-2</v>
      </c>
      <c r="I1033" s="100">
        <v>-6.8200500071777845E-2</v>
      </c>
    </row>
    <row r="1034" spans="1:9">
      <c r="A1034" s="90">
        <v>1018</v>
      </c>
      <c r="B1034" s="110">
        <v>1.0941766600340201</v>
      </c>
      <c r="C1034" s="110">
        <v>1.0493694245895344</v>
      </c>
      <c r="G1034" s="90">
        <v>1018</v>
      </c>
      <c r="H1034" s="100">
        <v>-4.1812736040368746E-2</v>
      </c>
      <c r="I1034" s="100">
        <v>-6.8172259101269658E-2</v>
      </c>
    </row>
    <row r="1035" spans="1:9">
      <c r="A1035" s="90">
        <v>1019</v>
      </c>
      <c r="B1035" s="110">
        <v>1.1127895649960393</v>
      </c>
      <c r="C1035" s="110">
        <v>1.0636082782481378</v>
      </c>
      <c r="G1035" s="90">
        <v>1019</v>
      </c>
      <c r="H1035" s="100">
        <v>-4.5202820742118462E-2</v>
      </c>
      <c r="I1035" s="100">
        <v>-6.8170744745481834E-2</v>
      </c>
    </row>
    <row r="1036" spans="1:9">
      <c r="A1036" s="90">
        <v>1020</v>
      </c>
      <c r="B1036" s="110">
        <v>1.1256774587325677</v>
      </c>
      <c r="C1036" s="110">
        <v>1.061046072851483</v>
      </c>
      <c r="G1036" s="90">
        <v>1020</v>
      </c>
      <c r="H1036" s="100">
        <v>-5.9129757278233525E-2</v>
      </c>
      <c r="I1036" s="100">
        <v>-6.8162163679110169E-2</v>
      </c>
    </row>
    <row r="1037" spans="1:9">
      <c r="A1037" s="90">
        <v>1021</v>
      </c>
      <c r="B1037" s="110">
        <v>1.1108959865613861</v>
      </c>
      <c r="C1037" s="110">
        <v>1.0608628879648849</v>
      </c>
      <c r="G1037" s="90">
        <v>1021</v>
      </c>
      <c r="H1037" s="100">
        <v>-4.6084262599095129E-2</v>
      </c>
      <c r="I1037" s="100">
        <v>-6.8148440107349897E-2</v>
      </c>
    </row>
    <row r="1038" spans="1:9">
      <c r="A1038" s="90">
        <v>1022</v>
      </c>
      <c r="B1038" s="110">
        <v>1.0770810930843899</v>
      </c>
      <c r="C1038" s="110">
        <v>1.038746787775136</v>
      </c>
      <c r="G1038" s="90">
        <v>1022</v>
      </c>
      <c r="H1038" s="100">
        <v>-3.6239715894514801E-2</v>
      </c>
      <c r="I1038" s="100">
        <v>-6.8137957648472275E-2</v>
      </c>
    </row>
    <row r="1039" spans="1:9">
      <c r="A1039" s="90">
        <v>1023</v>
      </c>
      <c r="B1039" s="110">
        <v>1.1083091540759953</v>
      </c>
      <c r="C1039" s="110">
        <v>1.049954185743003</v>
      </c>
      <c r="G1039" s="90">
        <v>1023</v>
      </c>
      <c r="H1039" s="100">
        <v>-5.4089038738665891E-2</v>
      </c>
      <c r="I1039" s="100">
        <v>-6.8092006640781313E-2</v>
      </c>
    </row>
    <row r="1040" spans="1:9">
      <c r="A1040" s="90">
        <v>1024</v>
      </c>
      <c r="B1040" s="110">
        <v>1.0953421528663407</v>
      </c>
      <c r="C1040" s="110">
        <v>1.0392450904367581</v>
      </c>
      <c r="G1040" s="90">
        <v>1024</v>
      </c>
      <c r="H1040" s="100">
        <v>-5.257220783274489E-2</v>
      </c>
      <c r="I1040" s="100">
        <v>-6.8068039179862719E-2</v>
      </c>
    </row>
    <row r="1041" spans="1:9">
      <c r="A1041" s="90">
        <v>1025</v>
      </c>
      <c r="B1041" s="110">
        <v>1.1381405092774437</v>
      </c>
      <c r="C1041" s="110">
        <v>1.0839742447653276</v>
      </c>
      <c r="G1041" s="90">
        <v>1025</v>
      </c>
      <c r="H1041" s="100">
        <v>-4.8761655155508288E-2</v>
      </c>
      <c r="I1041" s="100">
        <v>-6.8064942900406891E-2</v>
      </c>
    </row>
    <row r="1042" spans="1:9">
      <c r="A1042" s="90">
        <v>1026</v>
      </c>
      <c r="B1042" s="110">
        <v>1.1266143659777375</v>
      </c>
      <c r="C1042" s="110">
        <v>1.0799632887599053</v>
      </c>
      <c r="G1042" s="90">
        <v>1026</v>
      </c>
      <c r="H1042" s="100">
        <v>-4.2289950350109004E-2</v>
      </c>
      <c r="I1042" s="100">
        <v>-6.8055779787534409E-2</v>
      </c>
    </row>
    <row r="1043" spans="1:9">
      <c r="A1043" s="90">
        <v>1027</v>
      </c>
      <c r="B1043" s="110">
        <v>1.0764494288421307</v>
      </c>
      <c r="C1043" s="110">
        <v>1.0531504570738992</v>
      </c>
      <c r="G1043" s="90">
        <v>1027</v>
      </c>
      <c r="H1043" s="100">
        <v>-2.1881952175506734E-2</v>
      </c>
      <c r="I1043" s="100">
        <v>-6.8049211162249768E-2</v>
      </c>
    </row>
    <row r="1044" spans="1:9">
      <c r="A1044" s="90">
        <v>1028</v>
      </c>
      <c r="B1044" s="110">
        <v>1.124993667491119</v>
      </c>
      <c r="C1044" s="110">
        <v>1.0519968915083457</v>
      </c>
      <c r="G1044" s="90">
        <v>1028</v>
      </c>
      <c r="H1044" s="100">
        <v>-6.7087247272580919E-2</v>
      </c>
      <c r="I1044" s="100">
        <v>-6.8043777561855062E-2</v>
      </c>
    </row>
    <row r="1045" spans="1:9">
      <c r="A1045" s="90">
        <v>1029</v>
      </c>
      <c r="B1045" s="110">
        <v>1.0905857332979105</v>
      </c>
      <c r="C1045" s="110">
        <v>1.060433340754152</v>
      </c>
      <c r="G1045" s="90">
        <v>1029</v>
      </c>
      <c r="H1045" s="100">
        <v>-2.8037285292258608E-2</v>
      </c>
      <c r="I1045" s="100">
        <v>-6.8038134016843263E-2</v>
      </c>
    </row>
    <row r="1046" spans="1:9">
      <c r="A1046" s="90">
        <v>1030</v>
      </c>
      <c r="B1046" s="110">
        <v>1.1180366466403526</v>
      </c>
      <c r="C1046" s="110">
        <v>1.0655270134774528</v>
      </c>
      <c r="G1046" s="90">
        <v>1030</v>
      </c>
      <c r="H1046" s="100">
        <v>-4.8104627843811018E-2</v>
      </c>
      <c r="I1046" s="100">
        <v>-6.8026512583911111E-2</v>
      </c>
    </row>
    <row r="1047" spans="1:9">
      <c r="A1047" s="90">
        <v>1031</v>
      </c>
      <c r="B1047" s="110">
        <v>1.0919001710632577</v>
      </c>
      <c r="C1047" s="110">
        <v>1.0459192801278303</v>
      </c>
      <c r="G1047" s="90">
        <v>1031</v>
      </c>
      <c r="H1047" s="100">
        <v>-4.3023262088458518E-2</v>
      </c>
      <c r="I1047" s="100">
        <v>-6.8023507540862324E-2</v>
      </c>
    </row>
    <row r="1048" spans="1:9">
      <c r="A1048" s="90">
        <v>1032</v>
      </c>
      <c r="B1048" s="110">
        <v>1.096679262285128</v>
      </c>
      <c r="C1048" s="110">
        <v>1.0506247943613904</v>
      </c>
      <c r="G1048" s="90">
        <v>1032</v>
      </c>
      <c r="H1048" s="100">
        <v>-4.2901731958657791E-2</v>
      </c>
      <c r="I1048" s="100">
        <v>-6.8005191799293777E-2</v>
      </c>
    </row>
    <row r="1049" spans="1:9">
      <c r="A1049" s="90">
        <v>1033</v>
      </c>
      <c r="B1049" s="110">
        <v>1.0847574429735007</v>
      </c>
      <c r="C1049" s="110">
        <v>1.0537094189519161</v>
      </c>
      <c r="G1049" s="90">
        <v>1033</v>
      </c>
      <c r="H1049" s="100">
        <v>-2.9039688622478899E-2</v>
      </c>
      <c r="I1049" s="100">
        <v>-6.7987221266065864E-2</v>
      </c>
    </row>
    <row r="1050" spans="1:9">
      <c r="A1050" s="90">
        <v>1034</v>
      </c>
      <c r="B1050" s="110">
        <v>1.1230566107020812</v>
      </c>
      <c r="C1050" s="110">
        <v>1.0258756236510662</v>
      </c>
      <c r="G1050" s="90">
        <v>1034</v>
      </c>
      <c r="H1050" s="100">
        <v>-9.0507569839371776E-2</v>
      </c>
      <c r="I1050" s="100">
        <v>-6.7976628502948902E-2</v>
      </c>
    </row>
    <row r="1051" spans="1:9">
      <c r="A1051" s="90">
        <v>1035</v>
      </c>
      <c r="B1051" s="110">
        <v>1.0935558026843788</v>
      </c>
      <c r="C1051" s="110">
        <v>1.0539988376211711</v>
      </c>
      <c r="G1051" s="90">
        <v>1035</v>
      </c>
      <c r="H1051" s="100">
        <v>-3.684324380172057E-2</v>
      </c>
      <c r="I1051" s="100">
        <v>-6.796147869158263E-2</v>
      </c>
    </row>
    <row r="1052" spans="1:9">
      <c r="A1052" s="90">
        <v>1036</v>
      </c>
      <c r="B1052" s="110">
        <v>1.1256917658137253</v>
      </c>
      <c r="C1052" s="110">
        <v>1.0607792458119802</v>
      </c>
      <c r="G1052" s="90">
        <v>1036</v>
      </c>
      <c r="H1052" s="100">
        <v>-5.9393974025375301E-2</v>
      </c>
      <c r="I1052" s="100">
        <v>-6.7957879891180364E-2</v>
      </c>
    </row>
    <row r="1053" spans="1:9">
      <c r="A1053" s="90">
        <v>1037</v>
      </c>
      <c r="B1053" s="110">
        <v>1.147219002256004</v>
      </c>
      <c r="C1053" s="110">
        <v>1.0397461337935185</v>
      </c>
      <c r="G1053" s="90">
        <v>1037</v>
      </c>
      <c r="H1053" s="100">
        <v>-9.8364173522831375E-2</v>
      </c>
      <c r="I1053" s="100">
        <v>-6.7941189429458898E-2</v>
      </c>
    </row>
    <row r="1054" spans="1:9">
      <c r="A1054" s="90">
        <v>1038</v>
      </c>
      <c r="B1054" s="110">
        <v>1.1119008104697772</v>
      </c>
      <c r="C1054" s="110">
        <v>1.0549768374105348</v>
      </c>
      <c r="G1054" s="90">
        <v>1038</v>
      </c>
      <c r="H1054" s="100">
        <v>-5.2552181006168E-2</v>
      </c>
      <c r="I1054" s="100">
        <v>-6.7939387759211503E-2</v>
      </c>
    </row>
    <row r="1055" spans="1:9">
      <c r="A1055" s="90">
        <v>1039</v>
      </c>
      <c r="B1055" s="110">
        <v>1.1275565124539091</v>
      </c>
      <c r="C1055" s="110">
        <v>1.0427619610421581</v>
      </c>
      <c r="G1055" s="90">
        <v>1039</v>
      </c>
      <c r="H1055" s="100">
        <v>-7.8179988348872173E-2</v>
      </c>
      <c r="I1055" s="100">
        <v>-6.7935346741465577E-2</v>
      </c>
    </row>
    <row r="1056" spans="1:9">
      <c r="A1056" s="90">
        <v>1040</v>
      </c>
      <c r="B1056" s="110">
        <v>1.1339926075134752</v>
      </c>
      <c r="C1056" s="110">
        <v>1.0558058151509293</v>
      </c>
      <c r="G1056" s="90">
        <v>1040</v>
      </c>
      <c r="H1056" s="100">
        <v>-7.1440405129688189E-2</v>
      </c>
      <c r="I1056" s="100">
        <v>-6.7921165062942337E-2</v>
      </c>
    </row>
    <row r="1057" spans="1:9">
      <c r="A1057" s="90">
        <v>1041</v>
      </c>
      <c r="B1057" s="110">
        <v>1.1374555243990552</v>
      </c>
      <c r="C1057" s="110">
        <v>1.0512058144964846</v>
      </c>
      <c r="G1057" s="90">
        <v>1041</v>
      </c>
      <c r="H1057" s="100">
        <v>-7.8855871622031726E-2</v>
      </c>
      <c r="I1057" s="100">
        <v>-6.7899782945904305E-2</v>
      </c>
    </row>
    <row r="1058" spans="1:9">
      <c r="A1058" s="90">
        <v>1042</v>
      </c>
      <c r="B1058" s="110">
        <v>1.1043867654733199</v>
      </c>
      <c r="C1058" s="110">
        <v>1.0689779669176178</v>
      </c>
      <c r="G1058" s="90">
        <v>1042</v>
      </c>
      <c r="H1058" s="100">
        <v>-3.2587196645812971E-2</v>
      </c>
      <c r="I1058" s="100">
        <v>-6.7899385588998246E-2</v>
      </c>
    </row>
    <row r="1059" spans="1:9">
      <c r="A1059" s="90">
        <v>1043</v>
      </c>
      <c r="B1059" s="110">
        <v>1.1157355540590119</v>
      </c>
      <c r="C1059" s="110">
        <v>1.0498052146181889</v>
      </c>
      <c r="G1059" s="90">
        <v>1043</v>
      </c>
      <c r="H1059" s="100">
        <v>-6.0909240078574636E-2</v>
      </c>
      <c r="I1059" s="100">
        <v>-6.7862428277439393E-2</v>
      </c>
    </row>
    <row r="1060" spans="1:9">
      <c r="A1060" s="90">
        <v>1044</v>
      </c>
      <c r="B1060" s="110">
        <v>1.1303689497326184</v>
      </c>
      <c r="C1060" s="110">
        <v>1.0604589290346176</v>
      </c>
      <c r="G1060" s="90">
        <v>1044</v>
      </c>
      <c r="H1060" s="100">
        <v>-6.3842317274726945E-2</v>
      </c>
      <c r="I1060" s="100">
        <v>-6.7836616397373137E-2</v>
      </c>
    </row>
    <row r="1061" spans="1:9">
      <c r="A1061" s="90">
        <v>1045</v>
      </c>
      <c r="B1061" s="110">
        <v>1.1328813424556845</v>
      </c>
      <c r="C1061" s="110">
        <v>1.087162107544259</v>
      </c>
      <c r="G1061" s="90">
        <v>1045</v>
      </c>
      <c r="H1061" s="100">
        <v>-4.1193517930428324E-2</v>
      </c>
      <c r="I1061" s="100">
        <v>-6.782480441828774E-2</v>
      </c>
    </row>
    <row r="1062" spans="1:9">
      <c r="A1062" s="90">
        <v>1046</v>
      </c>
      <c r="B1062" s="110">
        <v>1.1126504445411574</v>
      </c>
      <c r="C1062" s="110">
        <v>1.0503699337509877</v>
      </c>
      <c r="G1062" s="90">
        <v>1046</v>
      </c>
      <c r="H1062" s="100">
        <v>-5.7602536985442924E-2</v>
      </c>
      <c r="I1062" s="100">
        <v>-6.7824417853513466E-2</v>
      </c>
    </row>
    <row r="1063" spans="1:9">
      <c r="A1063" s="90">
        <v>1047</v>
      </c>
      <c r="B1063" s="110">
        <v>1.1180868448835464</v>
      </c>
      <c r="C1063" s="110">
        <v>1.0453730339371876</v>
      </c>
      <c r="G1063" s="90">
        <v>1047</v>
      </c>
      <c r="H1063" s="100">
        <v>-6.7245258509915765E-2</v>
      </c>
      <c r="I1063" s="100">
        <v>-6.782304284459803E-2</v>
      </c>
    </row>
    <row r="1064" spans="1:9">
      <c r="A1064" s="90">
        <v>1048</v>
      </c>
      <c r="B1064" s="110">
        <v>1.0763177361086735</v>
      </c>
      <c r="C1064" s="110">
        <v>1.0552208663518159</v>
      </c>
      <c r="G1064" s="90">
        <v>1048</v>
      </c>
      <c r="H1064" s="100">
        <v>-1.9795614921058184E-2</v>
      </c>
      <c r="I1064" s="100">
        <v>-6.7822413532574635E-2</v>
      </c>
    </row>
    <row r="1065" spans="1:9">
      <c r="A1065" s="90">
        <v>1049</v>
      </c>
      <c r="B1065" s="110">
        <v>1.1270957064992668</v>
      </c>
      <c r="C1065" s="110">
        <v>1.0424184755153865</v>
      </c>
      <c r="G1065" s="90">
        <v>1049</v>
      </c>
      <c r="H1065" s="100">
        <v>-7.8100682235808822E-2</v>
      </c>
      <c r="I1065" s="100">
        <v>-6.7813396620120814E-2</v>
      </c>
    </row>
    <row r="1066" spans="1:9">
      <c r="A1066" s="90">
        <v>1050</v>
      </c>
      <c r="B1066" s="110">
        <v>1.1041991018305934</v>
      </c>
      <c r="C1066" s="110">
        <v>1.059796860795498</v>
      </c>
      <c r="G1066" s="90">
        <v>1050</v>
      </c>
      <c r="H1066" s="100">
        <v>-4.1043028456013583E-2</v>
      </c>
      <c r="I1066" s="100">
        <v>-6.7784940039087874E-2</v>
      </c>
    </row>
    <row r="1067" spans="1:9">
      <c r="A1067" s="90">
        <v>1051</v>
      </c>
      <c r="B1067" s="110">
        <v>1.1292193599577227</v>
      </c>
      <c r="C1067" s="110">
        <v>1.0523766829240415</v>
      </c>
      <c r="G1067" s="90">
        <v>1051</v>
      </c>
      <c r="H1067" s="100">
        <v>-7.0475448252069028E-2</v>
      </c>
      <c r="I1067" s="100">
        <v>-6.7784496136414726E-2</v>
      </c>
    </row>
    <row r="1068" spans="1:9">
      <c r="A1068" s="90">
        <v>1052</v>
      </c>
      <c r="B1068" s="110">
        <v>1.10600893254778</v>
      </c>
      <c r="C1068" s="110">
        <v>1.0597452813509851</v>
      </c>
      <c r="G1068" s="90">
        <v>1052</v>
      </c>
      <c r="H1068" s="100">
        <v>-4.2729400877296826E-2</v>
      </c>
      <c r="I1068" s="100">
        <v>-6.774626170868514E-2</v>
      </c>
    </row>
    <row r="1069" spans="1:9">
      <c r="A1069" s="90">
        <v>1053</v>
      </c>
      <c r="B1069" s="110">
        <v>1.1100467884862559</v>
      </c>
      <c r="C1069" s="110">
        <v>1.06315782336847</v>
      </c>
      <c r="G1069" s="90">
        <v>1053</v>
      </c>
      <c r="H1069" s="100">
        <v>-4.3158608113251243E-2</v>
      </c>
      <c r="I1069" s="100">
        <v>-6.7699800114685557E-2</v>
      </c>
    </row>
    <row r="1070" spans="1:9">
      <c r="A1070" s="90">
        <v>1054</v>
      </c>
      <c r="B1070" s="110">
        <v>1.1128541010698436</v>
      </c>
      <c r="C1070" s="110">
        <v>1.0817272898150776</v>
      </c>
      <c r="G1070" s="90">
        <v>1054</v>
      </c>
      <c r="H1070" s="100">
        <v>-2.8368871538822442E-2</v>
      </c>
      <c r="I1070" s="100">
        <v>-6.7688333057139616E-2</v>
      </c>
    </row>
    <row r="1071" spans="1:9">
      <c r="A1071" s="90">
        <v>1055</v>
      </c>
      <c r="B1071" s="110">
        <v>1.1043737261491147</v>
      </c>
      <c r="C1071" s="110">
        <v>1.0768281389546941</v>
      </c>
      <c r="G1071" s="90">
        <v>1055</v>
      </c>
      <c r="H1071" s="100">
        <v>-2.525859904975267E-2</v>
      </c>
      <c r="I1071" s="100">
        <v>-6.7687594099038434E-2</v>
      </c>
    </row>
    <row r="1072" spans="1:9">
      <c r="A1072" s="90">
        <v>1056</v>
      </c>
      <c r="B1072" s="110">
        <v>1.0952244205582184</v>
      </c>
      <c r="C1072" s="110">
        <v>1.0539473739231537</v>
      </c>
      <c r="G1072" s="90">
        <v>1056</v>
      </c>
      <c r="H1072" s="100">
        <v>-3.8416773542049483E-2</v>
      </c>
      <c r="I1072" s="100">
        <v>-6.7680215580204608E-2</v>
      </c>
    </row>
    <row r="1073" spans="1:9">
      <c r="A1073" s="90">
        <v>1057</v>
      </c>
      <c r="B1073" s="110">
        <v>1.1165849806130379</v>
      </c>
      <c r="C1073" s="110">
        <v>1.0297960222299072</v>
      </c>
      <c r="G1073" s="90">
        <v>1057</v>
      </c>
      <c r="H1073" s="100">
        <v>-8.0914156843632457E-2</v>
      </c>
      <c r="I1073" s="100">
        <v>-6.7677285141094543E-2</v>
      </c>
    </row>
    <row r="1074" spans="1:9">
      <c r="A1074" s="90">
        <v>1058</v>
      </c>
      <c r="B1074" s="110">
        <v>1.1012160880798887</v>
      </c>
      <c r="C1074" s="110">
        <v>1.0616431921531539</v>
      </c>
      <c r="G1074" s="90">
        <v>1058</v>
      </c>
      <c r="H1074" s="100">
        <v>-3.6597214659207421E-2</v>
      </c>
      <c r="I1074" s="100">
        <v>-6.7663140984775091E-2</v>
      </c>
    </row>
    <row r="1075" spans="1:9">
      <c r="A1075" s="90">
        <v>1059</v>
      </c>
      <c r="B1075" s="110">
        <v>1.1215582926009204</v>
      </c>
      <c r="C1075" s="110">
        <v>1.0623251766092261</v>
      </c>
      <c r="G1075" s="90">
        <v>1059</v>
      </c>
      <c r="H1075" s="100">
        <v>-5.4258982363537191E-2</v>
      </c>
      <c r="I1075" s="100">
        <v>-6.7657768827267317E-2</v>
      </c>
    </row>
    <row r="1076" spans="1:9">
      <c r="A1076" s="90">
        <v>1060</v>
      </c>
      <c r="B1076" s="110">
        <v>1.1322399952917201</v>
      </c>
      <c r="C1076" s="110">
        <v>1.059036113366481</v>
      </c>
      <c r="G1076" s="90">
        <v>1060</v>
      </c>
      <c r="H1076" s="100">
        <v>-6.6838799862460788E-2</v>
      </c>
      <c r="I1076" s="100">
        <v>-6.7654885914048904E-2</v>
      </c>
    </row>
    <row r="1077" spans="1:9">
      <c r="A1077" s="90">
        <v>1061</v>
      </c>
      <c r="B1077" s="110">
        <v>1.1189098168463802</v>
      </c>
      <c r="C1077" s="110">
        <v>1.0495933259586654</v>
      </c>
      <c r="G1077" s="90">
        <v>1061</v>
      </c>
      <c r="H1077" s="100">
        <v>-6.3952052916161878E-2</v>
      </c>
      <c r="I1077" s="100">
        <v>-6.76548567957172E-2</v>
      </c>
    </row>
    <row r="1078" spans="1:9">
      <c r="A1078" s="90">
        <v>1062</v>
      </c>
      <c r="B1078" s="110">
        <v>1.1247500957422349</v>
      </c>
      <c r="C1078" s="110">
        <v>1.0446670778894456</v>
      </c>
      <c r="G1078" s="90">
        <v>1062</v>
      </c>
      <c r="H1078" s="100">
        <v>-7.3862624956440123E-2</v>
      </c>
      <c r="I1078" s="100">
        <v>-6.7627767272184766E-2</v>
      </c>
    </row>
    <row r="1079" spans="1:9">
      <c r="A1079" s="90">
        <v>1063</v>
      </c>
      <c r="B1079" s="110">
        <v>1.0997430914257331</v>
      </c>
      <c r="C1079" s="110">
        <v>1.0348181209546143</v>
      </c>
      <c r="G1079" s="90">
        <v>1063</v>
      </c>
      <c r="H1079" s="100">
        <v>-6.0850916548187917E-2</v>
      </c>
      <c r="I1079" s="100">
        <v>-6.7604489670293824E-2</v>
      </c>
    </row>
    <row r="1080" spans="1:9">
      <c r="A1080" s="90">
        <v>1064</v>
      </c>
      <c r="B1080" s="110">
        <v>1.1268152702045473</v>
      </c>
      <c r="C1080" s="110">
        <v>1.0682435476914187</v>
      </c>
      <c r="G1080" s="90">
        <v>1064</v>
      </c>
      <c r="H1080" s="100">
        <v>-5.337955331028163E-2</v>
      </c>
      <c r="I1080" s="100">
        <v>-6.7566819692854885E-2</v>
      </c>
    </row>
    <row r="1081" spans="1:9">
      <c r="A1081" s="90">
        <v>1065</v>
      </c>
      <c r="B1081" s="110">
        <v>1.1155663255477046</v>
      </c>
      <c r="C1081" s="110">
        <v>1.0320637176204168</v>
      </c>
      <c r="G1081" s="90">
        <v>1065</v>
      </c>
      <c r="H1081" s="100">
        <v>-7.7801784222524623E-2</v>
      </c>
      <c r="I1081" s="100">
        <v>-6.7537316951343879E-2</v>
      </c>
    </row>
    <row r="1082" spans="1:9">
      <c r="A1082" s="90">
        <v>1066</v>
      </c>
      <c r="B1082" s="110">
        <v>1.1029970364749906</v>
      </c>
      <c r="C1082" s="110">
        <v>1.0517729844805579</v>
      </c>
      <c r="G1082" s="90">
        <v>1066</v>
      </c>
      <c r="H1082" s="100">
        <v>-4.7553756673116149E-2</v>
      </c>
      <c r="I1082" s="100">
        <v>-6.7527992868846642E-2</v>
      </c>
    </row>
    <row r="1083" spans="1:9">
      <c r="A1083" s="90">
        <v>1067</v>
      </c>
      <c r="B1083" s="110">
        <v>1.0894093914532761</v>
      </c>
      <c r="C1083" s="110">
        <v>1.0552922631911503</v>
      </c>
      <c r="G1083" s="90">
        <v>1067</v>
      </c>
      <c r="H1083" s="100">
        <v>-3.1817951403147152E-2</v>
      </c>
      <c r="I1083" s="100">
        <v>-6.7516934562286329E-2</v>
      </c>
    </row>
    <row r="1084" spans="1:9">
      <c r="A1084" s="90">
        <v>1068</v>
      </c>
      <c r="B1084" s="110">
        <v>1.1273078367357785</v>
      </c>
      <c r="C1084" s="110">
        <v>1.0601762568754367</v>
      </c>
      <c r="G1084" s="90">
        <v>1068</v>
      </c>
      <c r="H1084" s="100">
        <v>-6.1397170446882546E-2</v>
      </c>
      <c r="I1084" s="100">
        <v>-6.7510919007195525E-2</v>
      </c>
    </row>
    <row r="1085" spans="1:9">
      <c r="A1085" s="90">
        <v>1069</v>
      </c>
      <c r="B1085" s="110">
        <v>1.1070852221655489</v>
      </c>
      <c r="C1085" s="110">
        <v>1.0563388150733872</v>
      </c>
      <c r="G1085" s="90">
        <v>1069</v>
      </c>
      <c r="H1085" s="100">
        <v>-4.6921654125192426E-2</v>
      </c>
      <c r="I1085" s="100">
        <v>-6.7501304432814616E-2</v>
      </c>
    </row>
    <row r="1086" spans="1:9">
      <c r="A1086" s="90">
        <v>1070</v>
      </c>
      <c r="B1086" s="110">
        <v>1.0961523544333067</v>
      </c>
      <c r="C1086" s="110">
        <v>1.0453712169618192</v>
      </c>
      <c r="G1086" s="90">
        <v>1070</v>
      </c>
      <c r="H1086" s="100">
        <v>-4.7434134504937345E-2</v>
      </c>
      <c r="I1086" s="100">
        <v>-6.747308309752599E-2</v>
      </c>
    </row>
    <row r="1087" spans="1:9">
      <c r="A1087" s="90">
        <v>1071</v>
      </c>
      <c r="B1087" s="110">
        <v>1.1176010924284197</v>
      </c>
      <c r="C1087" s="110">
        <v>1.0476804090059668</v>
      </c>
      <c r="G1087" s="90">
        <v>1071</v>
      </c>
      <c r="H1087" s="100">
        <v>-6.4605920284673657E-2</v>
      </c>
      <c r="I1087" s="100">
        <v>-6.7465676793028242E-2</v>
      </c>
    </row>
    <row r="1088" spans="1:9">
      <c r="A1088" s="90">
        <v>1072</v>
      </c>
      <c r="B1088" s="110">
        <v>1.0964654985266307</v>
      </c>
      <c r="C1088" s="110">
        <v>1.0515580095986172</v>
      </c>
      <c r="G1088" s="90">
        <v>1072</v>
      </c>
      <c r="H1088" s="100">
        <v>-4.1818940225138587E-2</v>
      </c>
      <c r="I1088" s="100">
        <v>-6.7456327921559187E-2</v>
      </c>
    </row>
    <row r="1089" spans="1:9">
      <c r="A1089" s="90">
        <v>1073</v>
      </c>
      <c r="B1089" s="110">
        <v>1.0954629037599264</v>
      </c>
      <c r="C1089" s="110">
        <v>1.0868521509016709</v>
      </c>
      <c r="G1089" s="90">
        <v>1073</v>
      </c>
      <c r="H1089" s="100">
        <v>-7.8914339392392226E-3</v>
      </c>
      <c r="I1089" s="100">
        <v>-6.7452962925784996E-2</v>
      </c>
    </row>
    <row r="1090" spans="1:9">
      <c r="A1090" s="90">
        <v>1074</v>
      </c>
      <c r="B1090" s="110">
        <v>1.1246047659333251</v>
      </c>
      <c r="C1090" s="110">
        <v>1.0439024132230699</v>
      </c>
      <c r="G1090" s="90">
        <v>1074</v>
      </c>
      <c r="H1090" s="100">
        <v>-7.4465643591743472E-2</v>
      </c>
      <c r="I1090" s="100">
        <v>-6.7431866997542333E-2</v>
      </c>
    </row>
    <row r="1091" spans="1:9">
      <c r="A1091" s="90">
        <v>1075</v>
      </c>
      <c r="B1091" s="110">
        <v>1.0889556874273585</v>
      </c>
      <c r="C1091" s="110">
        <v>1.0642790429149707</v>
      </c>
      <c r="G1091" s="90">
        <v>1075</v>
      </c>
      <c r="H1091" s="100">
        <v>-2.2921537140829052E-2</v>
      </c>
      <c r="I1091" s="100">
        <v>-6.7431327968947199E-2</v>
      </c>
    </row>
    <row r="1092" spans="1:9">
      <c r="A1092" s="90">
        <v>1076</v>
      </c>
      <c r="B1092" s="110">
        <v>1.0976291292658917</v>
      </c>
      <c r="C1092" s="110">
        <v>1.0635795892347739</v>
      </c>
      <c r="G1092" s="90">
        <v>1076</v>
      </c>
      <c r="H1092" s="100">
        <v>-3.1512326753348342E-2</v>
      </c>
      <c r="I1092" s="100">
        <v>-6.7429472349091704E-2</v>
      </c>
    </row>
    <row r="1093" spans="1:9">
      <c r="A1093" s="90">
        <v>1077</v>
      </c>
      <c r="B1093" s="110">
        <v>1.1039783355360393</v>
      </c>
      <c r="C1093" s="110">
        <v>1.0622835960919481</v>
      </c>
      <c r="G1093" s="90">
        <v>1077</v>
      </c>
      <c r="H1093" s="100">
        <v>-3.8499397248085071E-2</v>
      </c>
      <c r="I1093" s="100">
        <v>-6.7414720464892858E-2</v>
      </c>
    </row>
    <row r="1094" spans="1:9">
      <c r="A1094" s="90">
        <v>1078</v>
      </c>
      <c r="B1094" s="110">
        <v>1.1119111918716307</v>
      </c>
      <c r="C1094" s="110">
        <v>1.04281960304927</v>
      </c>
      <c r="G1094" s="90">
        <v>1078</v>
      </c>
      <c r="H1094" s="100">
        <v>-6.4152127839265619E-2</v>
      </c>
      <c r="I1094" s="100">
        <v>-6.7406384410562362E-2</v>
      </c>
    </row>
    <row r="1095" spans="1:9">
      <c r="A1095" s="90">
        <v>1079</v>
      </c>
      <c r="B1095" s="110">
        <v>1.1065552675341905</v>
      </c>
      <c r="C1095" s="110">
        <v>1.0581149870161597</v>
      </c>
      <c r="G1095" s="90">
        <v>1079</v>
      </c>
      <c r="H1095" s="100">
        <v>-4.4762816416236362E-2</v>
      </c>
      <c r="I1095" s="100">
        <v>-6.7406353521012236E-2</v>
      </c>
    </row>
    <row r="1096" spans="1:9">
      <c r="A1096" s="90">
        <v>1080</v>
      </c>
      <c r="B1096" s="110">
        <v>1.1062922469914975</v>
      </c>
      <c r="C1096" s="110">
        <v>1.050461726626376</v>
      </c>
      <c r="G1096" s="90">
        <v>1080</v>
      </c>
      <c r="H1096" s="100">
        <v>-5.1784298825194759E-2</v>
      </c>
      <c r="I1096" s="100">
        <v>-6.7368606219663008E-2</v>
      </c>
    </row>
    <row r="1097" spans="1:9">
      <c r="A1097" s="90">
        <v>1081</v>
      </c>
      <c r="B1097" s="110">
        <v>1.1039881084266352</v>
      </c>
      <c r="C1097" s="110">
        <v>1.0587052678985549</v>
      </c>
      <c r="G1097" s="90">
        <v>1081</v>
      </c>
      <c r="H1097" s="100">
        <v>-4.1882460271352707E-2</v>
      </c>
      <c r="I1097" s="100">
        <v>-6.7364189830326687E-2</v>
      </c>
    </row>
    <row r="1098" spans="1:9">
      <c r="A1098" s="90">
        <v>1082</v>
      </c>
      <c r="B1098" s="110">
        <v>1.1035624589964899</v>
      </c>
      <c r="C1098" s="110">
        <v>1.0689729056578401</v>
      </c>
      <c r="G1098" s="90">
        <v>1082</v>
      </c>
      <c r="H1098" s="100">
        <v>-3.1845259706077066E-2</v>
      </c>
      <c r="I1098" s="100">
        <v>-6.7349222753403257E-2</v>
      </c>
    </row>
    <row r="1099" spans="1:9">
      <c r="A1099" s="90">
        <v>1083</v>
      </c>
      <c r="B1099" s="110">
        <v>1.1012932472967012</v>
      </c>
      <c r="C1099" s="110">
        <v>1.0646392160589688</v>
      </c>
      <c r="G1099" s="90">
        <v>1083</v>
      </c>
      <c r="H1099" s="100">
        <v>-3.384919109125506E-2</v>
      </c>
      <c r="I1099" s="100">
        <v>-6.734202034608669E-2</v>
      </c>
    </row>
    <row r="1100" spans="1:9">
      <c r="A1100" s="90">
        <v>1084</v>
      </c>
      <c r="B1100" s="110">
        <v>1.1449733260308321</v>
      </c>
      <c r="C1100" s="110">
        <v>1.0467385630793</v>
      </c>
      <c r="G1100" s="90">
        <v>1084</v>
      </c>
      <c r="H1100" s="100">
        <v>-8.970214095886439E-2</v>
      </c>
      <c r="I1100" s="100">
        <v>-6.7341375625682917E-2</v>
      </c>
    </row>
    <row r="1101" spans="1:9">
      <c r="A1101" s="90">
        <v>1085</v>
      </c>
      <c r="B1101" s="110">
        <v>1.1123776658137847</v>
      </c>
      <c r="C1101" s="110">
        <v>1.0478578204134126</v>
      </c>
      <c r="G1101" s="90">
        <v>1085</v>
      </c>
      <c r="H1101" s="100">
        <v>-5.9751856547674884E-2</v>
      </c>
      <c r="I1101" s="100">
        <v>-6.7339374621118539E-2</v>
      </c>
    </row>
    <row r="1102" spans="1:9">
      <c r="A1102" s="90">
        <v>1086</v>
      </c>
      <c r="B1102" s="110">
        <v>1.1072364983089871</v>
      </c>
      <c r="C1102" s="110">
        <v>1.0547110255794723</v>
      </c>
      <c r="G1102" s="90">
        <v>1086</v>
      </c>
      <c r="H1102" s="100">
        <v>-4.8600449846471355E-2</v>
      </c>
      <c r="I1102" s="100">
        <v>-6.7322802260080847E-2</v>
      </c>
    </row>
    <row r="1103" spans="1:9">
      <c r="A1103" s="90">
        <v>1087</v>
      </c>
      <c r="B1103" s="110">
        <v>1.122312608109749</v>
      </c>
      <c r="C1103" s="110">
        <v>1.0460247907925608</v>
      </c>
      <c r="G1103" s="90">
        <v>1087</v>
      </c>
      <c r="H1103" s="100">
        <v>-7.0394319219266713E-2</v>
      </c>
      <c r="I1103" s="100">
        <v>-6.7318641866193241E-2</v>
      </c>
    </row>
    <row r="1104" spans="1:9">
      <c r="A1104" s="90">
        <v>1088</v>
      </c>
      <c r="B1104" s="110">
        <v>1.0890720866313652</v>
      </c>
      <c r="C1104" s="110">
        <v>1.0386137523210817</v>
      </c>
      <c r="G1104" s="90">
        <v>1088</v>
      </c>
      <c r="H1104" s="100">
        <v>-4.7439143463013977E-2</v>
      </c>
      <c r="I1104" s="100">
        <v>-6.7310981089927002E-2</v>
      </c>
    </row>
    <row r="1105" spans="1:9">
      <c r="A1105" s="90">
        <v>1089</v>
      </c>
      <c r="B1105" s="110">
        <v>1.1228800116414837</v>
      </c>
      <c r="C1105" s="110">
        <v>1.0565845935557254</v>
      </c>
      <c r="G1105" s="90">
        <v>1089</v>
      </c>
      <c r="H1105" s="100">
        <v>-6.0855199289584362E-2</v>
      </c>
      <c r="I1105" s="100">
        <v>-6.7297968362426089E-2</v>
      </c>
    </row>
    <row r="1106" spans="1:9">
      <c r="A1106" s="90">
        <v>1090</v>
      </c>
      <c r="B1106" s="110">
        <v>1.128004763651751</v>
      </c>
      <c r="C1106" s="110">
        <v>1.0562985326549903</v>
      </c>
      <c r="G1106" s="90">
        <v>1090</v>
      </c>
      <c r="H1106" s="100">
        <v>-6.5679529453077284E-2</v>
      </c>
      <c r="I1106" s="100">
        <v>-6.7295805925986329E-2</v>
      </c>
    </row>
    <row r="1107" spans="1:9">
      <c r="A1107" s="90">
        <v>1091</v>
      </c>
      <c r="B1107" s="110">
        <v>1.1096533622190954</v>
      </c>
      <c r="C1107" s="110">
        <v>1.0734635113842443</v>
      </c>
      <c r="G1107" s="90">
        <v>1091</v>
      </c>
      <c r="H1107" s="100">
        <v>-3.3157332831348106E-2</v>
      </c>
      <c r="I1107" s="100">
        <v>-6.7282479366562092E-2</v>
      </c>
    </row>
    <row r="1108" spans="1:9">
      <c r="A1108" s="90">
        <v>1092</v>
      </c>
      <c r="B1108" s="110">
        <v>1.1012511833622722</v>
      </c>
      <c r="C1108" s="110">
        <v>1.0773228887183171</v>
      </c>
      <c r="G1108" s="90">
        <v>1092</v>
      </c>
      <c r="H1108" s="100">
        <v>-2.1967815764520775E-2</v>
      </c>
      <c r="I1108" s="100">
        <v>-6.7274410580378918E-2</v>
      </c>
    </row>
    <row r="1109" spans="1:9">
      <c r="A1109" s="90">
        <v>1093</v>
      </c>
      <c r="B1109" s="110">
        <v>1.1490728638651149</v>
      </c>
      <c r="C1109" s="110">
        <v>1.0617806930904228</v>
      </c>
      <c r="G1109" s="90">
        <v>1093</v>
      </c>
      <c r="H1109" s="100">
        <v>-7.9008014068588886E-2</v>
      </c>
      <c r="I1109" s="100">
        <v>-6.727161026156224E-2</v>
      </c>
    </row>
    <row r="1110" spans="1:9">
      <c r="A1110" s="90">
        <v>1094</v>
      </c>
      <c r="B1110" s="110">
        <v>1.1072715220623368</v>
      </c>
      <c r="C1110" s="110">
        <v>1.0573792528397539</v>
      </c>
      <c r="G1110" s="90">
        <v>1094</v>
      </c>
      <c r="H1110" s="100">
        <v>-4.6105457326087187E-2</v>
      </c>
      <c r="I1110" s="100">
        <v>-6.7259235918937552E-2</v>
      </c>
    </row>
    <row r="1111" spans="1:9">
      <c r="A1111" s="90">
        <v>1095</v>
      </c>
      <c r="B1111" s="110">
        <v>1.1218146511025744</v>
      </c>
      <c r="C1111" s="110">
        <v>1.040576474244558</v>
      </c>
      <c r="G1111" s="90">
        <v>1095</v>
      </c>
      <c r="H1111" s="100">
        <v>-7.5172736615731928E-2</v>
      </c>
      <c r="I1111" s="100">
        <v>-6.725834076337564E-2</v>
      </c>
    </row>
    <row r="1112" spans="1:9">
      <c r="A1112" s="90">
        <v>1096</v>
      </c>
      <c r="B1112" s="110">
        <v>1.123376883286924</v>
      </c>
      <c r="C1112" s="110">
        <v>1.0617569193715777</v>
      </c>
      <c r="G1112" s="90">
        <v>1096</v>
      </c>
      <c r="H1112" s="100">
        <v>-5.6414216309433364E-2</v>
      </c>
      <c r="I1112" s="100">
        <v>-6.7245258509915765E-2</v>
      </c>
    </row>
    <row r="1113" spans="1:9">
      <c r="A1113" s="90">
        <v>1097</v>
      </c>
      <c r="B1113" s="110">
        <v>1.1015676361427496</v>
      </c>
      <c r="C1113" s="110">
        <v>1.0525921338866688</v>
      </c>
      <c r="G1113" s="90">
        <v>1097</v>
      </c>
      <c r="H1113" s="100">
        <v>-4.5478468167591837E-2</v>
      </c>
      <c r="I1113" s="100">
        <v>-6.7219953797120993E-2</v>
      </c>
    </row>
    <row r="1114" spans="1:9">
      <c r="A1114" s="90">
        <v>1098</v>
      </c>
      <c r="B1114" s="110">
        <v>1.1380419613872577</v>
      </c>
      <c r="C1114" s="110">
        <v>1.0417680824740607</v>
      </c>
      <c r="G1114" s="90">
        <v>1098</v>
      </c>
      <c r="H1114" s="100">
        <v>-8.8389858991869658E-2</v>
      </c>
      <c r="I1114" s="100">
        <v>-6.7218784021718367E-2</v>
      </c>
    </row>
    <row r="1115" spans="1:9">
      <c r="A1115" s="90">
        <v>1099</v>
      </c>
      <c r="B1115" s="110">
        <v>1.1130805371553034</v>
      </c>
      <c r="C1115" s="110">
        <v>1.0602709183173462</v>
      </c>
      <c r="G1115" s="90">
        <v>1099</v>
      </c>
      <c r="H1115" s="100">
        <v>-4.8606971316190781E-2</v>
      </c>
      <c r="I1115" s="100">
        <v>-6.720589147230685E-2</v>
      </c>
    </row>
    <row r="1116" spans="1:9">
      <c r="A1116" s="90">
        <v>1100</v>
      </c>
      <c r="B1116" s="110">
        <v>1.0938831402070341</v>
      </c>
      <c r="C1116" s="110">
        <v>1.057763925743058</v>
      </c>
      <c r="G1116" s="90">
        <v>1100</v>
      </c>
      <c r="H1116" s="100">
        <v>-3.3576703500366338E-2</v>
      </c>
      <c r="I1116" s="100">
        <v>-6.7173760728094833E-2</v>
      </c>
    </row>
    <row r="1117" spans="1:9">
      <c r="A1117" s="90">
        <v>1101</v>
      </c>
      <c r="B1117" s="110">
        <v>1.1515929547577446</v>
      </c>
      <c r="C1117" s="110">
        <v>1.0503863084524929</v>
      </c>
      <c r="G1117" s="90">
        <v>1101</v>
      </c>
      <c r="H1117" s="100">
        <v>-9.1988152633251677E-2</v>
      </c>
      <c r="I1117" s="100">
        <v>-6.7165007734791116E-2</v>
      </c>
    </row>
    <row r="1118" spans="1:9">
      <c r="A1118" s="90">
        <v>1102</v>
      </c>
      <c r="B1118" s="110">
        <v>1.0800615490195511</v>
      </c>
      <c r="C1118" s="110">
        <v>1.0370592973569899</v>
      </c>
      <c r="G1118" s="90">
        <v>1102</v>
      </c>
      <c r="H1118" s="100">
        <v>-4.0628920096162757E-2</v>
      </c>
      <c r="I1118" s="100">
        <v>-6.7091917735866965E-2</v>
      </c>
    </row>
    <row r="1119" spans="1:9">
      <c r="A1119" s="90">
        <v>1103</v>
      </c>
      <c r="B1119" s="110">
        <v>1.1263806915387784</v>
      </c>
      <c r="C1119" s="110">
        <v>1.0704420449943408</v>
      </c>
      <c r="G1119" s="90">
        <v>1103</v>
      </c>
      <c r="H1119" s="100">
        <v>-5.0937875206394277E-2</v>
      </c>
      <c r="I1119" s="100">
        <v>-6.7087247272580919E-2</v>
      </c>
    </row>
    <row r="1120" spans="1:9">
      <c r="A1120" s="90">
        <v>1104</v>
      </c>
      <c r="B1120" s="110">
        <v>1.0992341897297873</v>
      </c>
      <c r="C1120" s="110">
        <v>1.0395256604453351</v>
      </c>
      <c r="G1120" s="90">
        <v>1104</v>
      </c>
      <c r="H1120" s="100">
        <v>-5.584923281163863E-2</v>
      </c>
      <c r="I1120" s="100">
        <v>-6.7082602815686482E-2</v>
      </c>
    </row>
    <row r="1121" spans="1:9">
      <c r="A1121" s="90">
        <v>1105</v>
      </c>
      <c r="B1121" s="110">
        <v>1.0985341665028228</v>
      </c>
      <c r="C1121" s="110">
        <v>1.0662934357119993</v>
      </c>
      <c r="G1121" s="90">
        <v>1105</v>
      </c>
      <c r="H1121" s="100">
        <v>-2.9788159342084643E-2</v>
      </c>
      <c r="I1121" s="100">
        <v>-6.7080867040973657E-2</v>
      </c>
    </row>
    <row r="1122" spans="1:9">
      <c r="A1122" s="90">
        <v>1106</v>
      </c>
      <c r="B1122" s="110">
        <v>1.0890118582164592</v>
      </c>
      <c r="C1122" s="110">
        <v>1.0433007866243407</v>
      </c>
      <c r="G1122" s="90">
        <v>1106</v>
      </c>
      <c r="H1122" s="100">
        <v>-4.2881212510562157E-2</v>
      </c>
      <c r="I1122" s="100">
        <v>-6.7066806759570857E-2</v>
      </c>
    </row>
    <row r="1123" spans="1:9">
      <c r="A1123" s="90">
        <v>1107</v>
      </c>
      <c r="B1123" s="110">
        <v>1.1501023635253107</v>
      </c>
      <c r="C1123" s="110">
        <v>1.0260218255118281</v>
      </c>
      <c r="G1123" s="90">
        <v>1107</v>
      </c>
      <c r="H1123" s="100">
        <v>-0.11416193122398141</v>
      </c>
      <c r="I1123" s="100">
        <v>-6.703480955887868E-2</v>
      </c>
    </row>
    <row r="1124" spans="1:9">
      <c r="A1124" s="90">
        <v>1108</v>
      </c>
      <c r="B1124" s="110">
        <v>1.1186401751346224</v>
      </c>
      <c r="C1124" s="110">
        <v>1.066818272031663</v>
      </c>
      <c r="G1124" s="90">
        <v>1108</v>
      </c>
      <c r="H1124" s="100">
        <v>-4.7433177243013942E-2</v>
      </c>
      <c r="I1124" s="100">
        <v>-6.703270683714245E-2</v>
      </c>
    </row>
    <row r="1125" spans="1:9">
      <c r="A1125" s="90">
        <v>1109</v>
      </c>
      <c r="B1125" s="110">
        <v>1.108787609846329</v>
      </c>
      <c r="C1125" s="110">
        <v>1.0434947447559608</v>
      </c>
      <c r="G1125" s="90">
        <v>1109</v>
      </c>
      <c r="H1125" s="100">
        <v>-6.0691763658231944E-2</v>
      </c>
      <c r="I1125" s="100">
        <v>-6.7028133563597284E-2</v>
      </c>
    </row>
    <row r="1126" spans="1:9">
      <c r="A1126" s="90">
        <v>1110</v>
      </c>
      <c r="B1126" s="110">
        <v>1.0869453977187311</v>
      </c>
      <c r="C1126" s="110">
        <v>1.0435416336823049</v>
      </c>
      <c r="G1126" s="90">
        <v>1110</v>
      </c>
      <c r="H1126" s="100">
        <v>-4.0751029934373642E-2</v>
      </c>
      <c r="I1126" s="100">
        <v>-6.7019591326862513E-2</v>
      </c>
    </row>
    <row r="1127" spans="1:9">
      <c r="A1127" s="90">
        <v>1111</v>
      </c>
      <c r="B1127" s="110">
        <v>1.1082894563805958</v>
      </c>
      <c r="C1127" s="110">
        <v>1.0411954136068067</v>
      </c>
      <c r="G1127" s="90">
        <v>1111</v>
      </c>
      <c r="H1127" s="100">
        <v>-6.244830721033337E-2</v>
      </c>
      <c r="I1127" s="100">
        <v>-6.7016024194060206E-2</v>
      </c>
    </row>
    <row r="1128" spans="1:9">
      <c r="A1128" s="90">
        <v>1112</v>
      </c>
      <c r="B1128" s="110">
        <v>1.1258024838579392</v>
      </c>
      <c r="C1128" s="110">
        <v>1.0710841458906371</v>
      </c>
      <c r="G1128" s="90">
        <v>1112</v>
      </c>
      <c r="H1128" s="100">
        <v>-4.982474437917981E-2</v>
      </c>
      <c r="I1128" s="100">
        <v>-6.70117543444846E-2</v>
      </c>
    </row>
    <row r="1129" spans="1:9">
      <c r="A1129" s="90">
        <v>1113</v>
      </c>
      <c r="B1129" s="110">
        <v>1.0782943998531276</v>
      </c>
      <c r="C1129" s="110">
        <v>1.057363465423496</v>
      </c>
      <c r="G1129" s="90">
        <v>1113</v>
      </c>
      <c r="H1129" s="100">
        <v>-1.9602020504128997E-2</v>
      </c>
      <c r="I1129" s="100">
        <v>-6.7005907173833104E-2</v>
      </c>
    </row>
    <row r="1130" spans="1:9">
      <c r="A1130" s="90">
        <v>1114</v>
      </c>
      <c r="B1130" s="110">
        <v>1.1292823398750531</v>
      </c>
      <c r="C1130" s="110">
        <v>1.0547278121114774</v>
      </c>
      <c r="G1130" s="90">
        <v>1114</v>
      </c>
      <c r="H1130" s="100">
        <v>-6.8299597866504538E-2</v>
      </c>
      <c r="I1130" s="100">
        <v>-6.6979144176946087E-2</v>
      </c>
    </row>
    <row r="1131" spans="1:9">
      <c r="A1131" s="90">
        <v>1115</v>
      </c>
      <c r="B1131" s="110">
        <v>1.0986151009143785</v>
      </c>
      <c r="C1131" s="110">
        <v>1.0379574954993329</v>
      </c>
      <c r="G1131" s="90">
        <v>1115</v>
      </c>
      <c r="H1131" s="100">
        <v>-5.6795551984222516E-2</v>
      </c>
      <c r="I1131" s="100">
        <v>-6.696030813594904E-2</v>
      </c>
    </row>
    <row r="1132" spans="1:9">
      <c r="A1132" s="90">
        <v>1116</v>
      </c>
      <c r="B1132" s="110">
        <v>1.1498183788148808</v>
      </c>
      <c r="C1132" s="110">
        <v>1.0517358739261251</v>
      </c>
      <c r="G1132" s="90">
        <v>1116</v>
      </c>
      <c r="H1132" s="100">
        <v>-8.9161986057713527E-2</v>
      </c>
      <c r="I1132" s="100">
        <v>-6.6954992419310924E-2</v>
      </c>
    </row>
    <row r="1133" spans="1:9">
      <c r="A1133" s="90">
        <v>1117</v>
      </c>
      <c r="B1133" s="110">
        <v>1.1533503985123428</v>
      </c>
      <c r="C1133" s="110">
        <v>1.0645041702770006</v>
      </c>
      <c r="G1133" s="90">
        <v>1117</v>
      </c>
      <c r="H1133" s="100">
        <v>-8.0161973754021884E-2</v>
      </c>
      <c r="I1133" s="100">
        <v>-6.6949371241726799E-2</v>
      </c>
    </row>
    <row r="1134" spans="1:9">
      <c r="A1134" s="90">
        <v>1118</v>
      </c>
      <c r="B1134" s="110">
        <v>1.0732263663657211</v>
      </c>
      <c r="C1134" s="110">
        <v>1.0731026668604502</v>
      </c>
      <c r="G1134" s="90">
        <v>1118</v>
      </c>
      <c r="H1134" s="100">
        <v>-1.1526611576597592E-4</v>
      </c>
      <c r="I1134" s="100">
        <v>-6.6948340385079505E-2</v>
      </c>
    </row>
    <row r="1135" spans="1:9">
      <c r="A1135" s="90">
        <v>1119</v>
      </c>
      <c r="B1135" s="110">
        <v>1.1256805137876986</v>
      </c>
      <c r="C1135" s="110">
        <v>1.0604183595165781</v>
      </c>
      <c r="G1135" s="90">
        <v>1119</v>
      </c>
      <c r="H1135" s="100">
        <v>-5.9724244874038185E-2</v>
      </c>
      <c r="I1135" s="100">
        <v>-6.6930903600175215E-2</v>
      </c>
    </row>
    <row r="1136" spans="1:9">
      <c r="A1136" s="90">
        <v>1120</v>
      </c>
      <c r="B1136" s="110">
        <v>1.0931661380937205</v>
      </c>
      <c r="C1136" s="110">
        <v>1.0672391306440514</v>
      </c>
      <c r="G1136" s="90">
        <v>1120</v>
      </c>
      <c r="H1136" s="100">
        <v>-2.4003137406360484E-2</v>
      </c>
      <c r="I1136" s="100">
        <v>-6.6924523562190655E-2</v>
      </c>
    </row>
    <row r="1137" spans="1:9">
      <c r="A1137" s="90">
        <v>1121</v>
      </c>
      <c r="B1137" s="110">
        <v>1.0973144708174578</v>
      </c>
      <c r="C1137" s="110">
        <v>1.0332022747848977</v>
      </c>
      <c r="G1137" s="90">
        <v>1121</v>
      </c>
      <c r="H1137" s="100">
        <v>-6.020282066001148E-2</v>
      </c>
      <c r="I1137" s="100">
        <v>-6.6886737710831271E-2</v>
      </c>
    </row>
    <row r="1138" spans="1:9">
      <c r="A1138" s="90">
        <v>1122</v>
      </c>
      <c r="B1138" s="110">
        <v>1.1141512664922788</v>
      </c>
      <c r="C1138" s="110">
        <v>1.0602002838293938</v>
      </c>
      <c r="G1138" s="90">
        <v>1122</v>
      </c>
      <c r="H1138" s="100">
        <v>-4.9635081799677308E-2</v>
      </c>
      <c r="I1138" s="100">
        <v>-6.6884596581559611E-2</v>
      </c>
    </row>
    <row r="1139" spans="1:9">
      <c r="A1139" s="90">
        <v>1123</v>
      </c>
      <c r="B1139" s="110">
        <v>1.0757805977954435</v>
      </c>
      <c r="C1139" s="110">
        <v>1.0508628259879971</v>
      </c>
      <c r="G1139" s="90">
        <v>1123</v>
      </c>
      <c r="H1139" s="100">
        <v>-2.3434969790547044E-2</v>
      </c>
      <c r="I1139" s="100">
        <v>-6.6877308185671364E-2</v>
      </c>
    </row>
    <row r="1140" spans="1:9">
      <c r="A1140" s="90">
        <v>1124</v>
      </c>
      <c r="B1140" s="110">
        <v>1.1173306951195723</v>
      </c>
      <c r="C1140" s="110">
        <v>1.0401790297423434</v>
      </c>
      <c r="G1140" s="90">
        <v>1124</v>
      </c>
      <c r="H1140" s="100">
        <v>-7.1549690457876833E-2</v>
      </c>
      <c r="I1140" s="100">
        <v>-6.6863381024501387E-2</v>
      </c>
    </row>
    <row r="1141" spans="1:9">
      <c r="A1141" s="90">
        <v>1125</v>
      </c>
      <c r="B1141" s="110">
        <v>1.1059888364927133</v>
      </c>
      <c r="C1141" s="110">
        <v>1.0588444574270923</v>
      </c>
      <c r="G1141" s="90">
        <v>1125</v>
      </c>
      <c r="H1141" s="100">
        <v>-4.3561630469717789E-2</v>
      </c>
      <c r="I1141" s="100">
        <v>-6.6853049861142863E-2</v>
      </c>
    </row>
    <row r="1142" spans="1:9">
      <c r="A1142" s="90">
        <v>1126</v>
      </c>
      <c r="B1142" s="110">
        <v>1.1014627759260924</v>
      </c>
      <c r="C1142" s="110">
        <v>1.0385035516475323</v>
      </c>
      <c r="G1142" s="90">
        <v>1126</v>
      </c>
      <c r="H1142" s="100">
        <v>-5.8858308398201518E-2</v>
      </c>
      <c r="I1142" s="100">
        <v>-6.6838958401437693E-2</v>
      </c>
    </row>
    <row r="1143" spans="1:9">
      <c r="A1143" s="90">
        <v>1127</v>
      </c>
      <c r="B1143" s="110">
        <v>1.1484842276434573</v>
      </c>
      <c r="C1143" s="110">
        <v>1.066463307068668</v>
      </c>
      <c r="G1143" s="90">
        <v>1127</v>
      </c>
      <c r="H1143" s="100">
        <v>-7.409515670895811E-2</v>
      </c>
      <c r="I1143" s="100">
        <v>-6.6838799862460788E-2</v>
      </c>
    </row>
    <row r="1144" spans="1:9">
      <c r="A1144" s="90">
        <v>1128</v>
      </c>
      <c r="B1144" s="110">
        <v>1.1050151740022698</v>
      </c>
      <c r="C1144" s="110">
        <v>1.0401596697983604</v>
      </c>
      <c r="G1144" s="90">
        <v>1128</v>
      </c>
      <c r="H1144" s="100">
        <v>-6.0484836982948785E-2</v>
      </c>
      <c r="I1144" s="100">
        <v>-6.6818212071105332E-2</v>
      </c>
    </row>
    <row r="1145" spans="1:9">
      <c r="A1145" s="90">
        <v>1129</v>
      </c>
      <c r="B1145" s="110">
        <v>1.107199611597709</v>
      </c>
      <c r="C1145" s="110">
        <v>1.0653508409921775</v>
      </c>
      <c r="G1145" s="90">
        <v>1129</v>
      </c>
      <c r="H1145" s="100">
        <v>-3.8529782010825221E-2</v>
      </c>
      <c r="I1145" s="100">
        <v>-6.6803059753313757E-2</v>
      </c>
    </row>
    <row r="1146" spans="1:9">
      <c r="A1146" s="90">
        <v>1130</v>
      </c>
      <c r="B1146" s="110">
        <v>1.1075270178619918</v>
      </c>
      <c r="C1146" s="110">
        <v>1.0503044840779445</v>
      </c>
      <c r="G1146" s="90">
        <v>1130</v>
      </c>
      <c r="H1146" s="100">
        <v>-5.304951103221299E-2</v>
      </c>
      <c r="I1146" s="100">
        <v>-6.6802716126896658E-2</v>
      </c>
    </row>
    <row r="1147" spans="1:9">
      <c r="A1147" s="90">
        <v>1131</v>
      </c>
      <c r="B1147" s="110">
        <v>1.1232183242910561</v>
      </c>
      <c r="C1147" s="110">
        <v>1.051996507320164</v>
      </c>
      <c r="G1147" s="90">
        <v>1131</v>
      </c>
      <c r="H1147" s="100">
        <v>-6.5508274245887205E-2</v>
      </c>
      <c r="I1147" s="100">
        <v>-6.6800802801490158E-2</v>
      </c>
    </row>
    <row r="1148" spans="1:9">
      <c r="A1148" s="90">
        <v>1132</v>
      </c>
      <c r="B1148" s="110">
        <v>1.0893502806309558</v>
      </c>
      <c r="C1148" s="110">
        <v>1.0403096443964681</v>
      </c>
      <c r="G1148" s="90">
        <v>1132</v>
      </c>
      <c r="H1148" s="100">
        <v>-4.6063041867770819E-2</v>
      </c>
      <c r="I1148" s="100">
        <v>-6.6792466225592748E-2</v>
      </c>
    </row>
    <row r="1149" spans="1:9">
      <c r="A1149" s="90">
        <v>1133</v>
      </c>
      <c r="B1149" s="110">
        <v>1.0760234203367269</v>
      </c>
      <c r="C1149" s="110">
        <v>1.0561896032137583</v>
      </c>
      <c r="G1149" s="90">
        <v>1133</v>
      </c>
      <c r="H1149" s="100">
        <v>-1.8604509949869483E-2</v>
      </c>
      <c r="I1149" s="100">
        <v>-6.6747369419810923E-2</v>
      </c>
    </row>
    <row r="1150" spans="1:9">
      <c r="A1150" s="90">
        <v>1134</v>
      </c>
      <c r="B1150" s="110">
        <v>1.1362725591224005</v>
      </c>
      <c r="C1150" s="110">
        <v>1.0533146534737023</v>
      </c>
      <c r="G1150" s="90">
        <v>1134</v>
      </c>
      <c r="H1150" s="100">
        <v>-7.5811215596069403E-2</v>
      </c>
      <c r="I1150" s="100">
        <v>-6.6740008578200588E-2</v>
      </c>
    </row>
    <row r="1151" spans="1:9">
      <c r="A1151" s="90">
        <v>1135</v>
      </c>
      <c r="B1151" s="110">
        <v>1.0639594627239655</v>
      </c>
      <c r="C1151" s="110">
        <v>1.0257329899487531</v>
      </c>
      <c r="G1151" s="90">
        <v>1135</v>
      </c>
      <c r="H1151" s="100">
        <v>-3.6589822085387608E-2</v>
      </c>
      <c r="I1151" s="100">
        <v>-6.673213910160547E-2</v>
      </c>
    </row>
    <row r="1152" spans="1:9">
      <c r="A1152" s="90">
        <v>1136</v>
      </c>
      <c r="B1152" s="110">
        <v>1.1186362740716977</v>
      </c>
      <c r="C1152" s="110">
        <v>1.0688538248090096</v>
      </c>
      <c r="G1152" s="90">
        <v>1136</v>
      </c>
      <c r="H1152" s="100">
        <v>-4.55234484081211E-2</v>
      </c>
      <c r="I1152" s="100">
        <v>-6.6722294697891524E-2</v>
      </c>
    </row>
    <row r="1153" spans="1:9">
      <c r="A1153" s="90">
        <v>1137</v>
      </c>
      <c r="B1153" s="110">
        <v>1.08601494573406</v>
      </c>
      <c r="C1153" s="110">
        <v>1.0508499083489511</v>
      </c>
      <c r="G1153" s="90">
        <v>1137</v>
      </c>
      <c r="H1153" s="100">
        <v>-3.2915710327933903E-2</v>
      </c>
      <c r="I1153" s="100">
        <v>-6.6698569400750321E-2</v>
      </c>
    </row>
    <row r="1154" spans="1:9">
      <c r="A1154" s="90">
        <v>1138</v>
      </c>
      <c r="B1154" s="110">
        <v>1.0998418599945972</v>
      </c>
      <c r="C1154" s="110">
        <v>1.071191041228273</v>
      </c>
      <c r="G1154" s="90">
        <v>1138</v>
      </c>
      <c r="H1154" s="100">
        <v>-2.6395253772663736E-2</v>
      </c>
      <c r="I1154" s="100">
        <v>-6.6697441028569532E-2</v>
      </c>
    </row>
    <row r="1155" spans="1:9">
      <c r="A1155" s="90">
        <v>1139</v>
      </c>
      <c r="B1155" s="110">
        <v>1.0926167847341692</v>
      </c>
      <c r="C1155" s="110">
        <v>1.0503592038083129</v>
      </c>
      <c r="G1155" s="90">
        <v>1139</v>
      </c>
      <c r="H1155" s="100">
        <v>-3.9443334524385296E-2</v>
      </c>
      <c r="I1155" s="100">
        <v>-6.6667107745166557E-2</v>
      </c>
    </row>
    <row r="1156" spans="1:9">
      <c r="A1156" s="90">
        <v>1140</v>
      </c>
      <c r="B1156" s="110">
        <v>1.1305094261614308</v>
      </c>
      <c r="C1156" s="110">
        <v>1.0538168601158051</v>
      </c>
      <c r="G1156" s="90">
        <v>1140</v>
      </c>
      <c r="H1156" s="100">
        <v>-7.0249672731708873E-2</v>
      </c>
      <c r="I1156" s="100">
        <v>-6.6658433533043487E-2</v>
      </c>
    </row>
    <row r="1157" spans="1:9">
      <c r="A1157" s="90">
        <v>1141</v>
      </c>
      <c r="B1157" s="110">
        <v>1.1295490077261232</v>
      </c>
      <c r="C1157" s="110">
        <v>1.065556320800203</v>
      </c>
      <c r="G1157" s="90">
        <v>1141</v>
      </c>
      <c r="H1157" s="100">
        <v>-5.8321415128585831E-2</v>
      </c>
      <c r="I1157" s="100">
        <v>-6.6637513784705227E-2</v>
      </c>
    </row>
    <row r="1158" spans="1:9">
      <c r="A1158" s="90">
        <v>1142</v>
      </c>
      <c r="B1158" s="110">
        <v>1.0918173309005512</v>
      </c>
      <c r="C1158" s="110">
        <v>1.0396593438127457</v>
      </c>
      <c r="G1158" s="90">
        <v>1142</v>
      </c>
      <c r="H1158" s="100">
        <v>-4.8950478465317492E-2</v>
      </c>
      <c r="I1158" s="100">
        <v>-6.6629558125634591E-2</v>
      </c>
    </row>
    <row r="1159" spans="1:9">
      <c r="A1159" s="90">
        <v>1143</v>
      </c>
      <c r="B1159" s="110">
        <v>1.1077961510935093</v>
      </c>
      <c r="C1159" s="110">
        <v>1.0701318085033182</v>
      </c>
      <c r="G1159" s="90">
        <v>1143</v>
      </c>
      <c r="H1159" s="100">
        <v>-3.4590765837146313E-2</v>
      </c>
      <c r="I1159" s="100">
        <v>-6.6608239935611796E-2</v>
      </c>
    </row>
    <row r="1160" spans="1:9">
      <c r="A1160" s="90">
        <v>1144</v>
      </c>
      <c r="B1160" s="110">
        <v>1.1228945153501808</v>
      </c>
      <c r="C1160" s="110">
        <v>1.0397481229271637</v>
      </c>
      <c r="G1160" s="90">
        <v>1144</v>
      </c>
      <c r="H1160" s="100">
        <v>-7.693124589511037E-2</v>
      </c>
      <c r="I1160" s="100">
        <v>-6.6551205748501638E-2</v>
      </c>
    </row>
    <row r="1161" spans="1:9">
      <c r="A1161" s="90">
        <v>1145</v>
      </c>
      <c r="B1161" s="110">
        <v>1.1042356604261376</v>
      </c>
      <c r="C1161" s="110">
        <v>1.0503468368069679</v>
      </c>
      <c r="G1161" s="90">
        <v>1145</v>
      </c>
      <c r="H1161" s="100">
        <v>-5.003295521228894E-2</v>
      </c>
      <c r="I1161" s="100">
        <v>-6.6521472887830002E-2</v>
      </c>
    </row>
    <row r="1162" spans="1:9">
      <c r="A1162" s="90">
        <v>1146</v>
      </c>
      <c r="B1162" s="110">
        <v>1.0819048992091147</v>
      </c>
      <c r="C1162" s="110">
        <v>1.0218042364140771</v>
      </c>
      <c r="G1162" s="90">
        <v>1146</v>
      </c>
      <c r="H1162" s="100">
        <v>-5.7153359102776996E-2</v>
      </c>
      <c r="I1162" s="100">
        <v>-6.649623580440249E-2</v>
      </c>
    </row>
    <row r="1163" spans="1:9">
      <c r="A1163" s="90">
        <v>1147</v>
      </c>
      <c r="B1163" s="110">
        <v>1.0841945801748385</v>
      </c>
      <c r="C1163" s="110">
        <v>1.0505345532990578</v>
      </c>
      <c r="G1163" s="90">
        <v>1147</v>
      </c>
      <c r="H1163" s="100">
        <v>-3.1538255912332711E-2</v>
      </c>
      <c r="I1163" s="100">
        <v>-6.648701667011786E-2</v>
      </c>
    </row>
    <row r="1164" spans="1:9">
      <c r="A1164" s="90">
        <v>1148</v>
      </c>
      <c r="B1164" s="110">
        <v>1.0989030172161485</v>
      </c>
      <c r="C1164" s="110">
        <v>1.0359765174800275</v>
      </c>
      <c r="G1164" s="90">
        <v>1148</v>
      </c>
      <c r="H1164" s="100">
        <v>-5.8967948081081023E-2</v>
      </c>
      <c r="I1164" s="100">
        <v>-6.6443098904795689E-2</v>
      </c>
    </row>
    <row r="1165" spans="1:9">
      <c r="A1165" s="90">
        <v>1149</v>
      </c>
      <c r="B1165" s="110">
        <v>1.119921165812449</v>
      </c>
      <c r="C1165" s="110">
        <v>1.0575668069577506</v>
      </c>
      <c r="G1165" s="90">
        <v>1149</v>
      </c>
      <c r="H1165" s="100">
        <v>-5.7287490791210087E-2</v>
      </c>
      <c r="I1165" s="100">
        <v>-6.6413509530970929E-2</v>
      </c>
    </row>
    <row r="1166" spans="1:9">
      <c r="A1166" s="90">
        <v>1150</v>
      </c>
      <c r="B1166" s="110">
        <v>1.1184535345398627</v>
      </c>
      <c r="C1166" s="110">
        <v>1.0562703560627917</v>
      </c>
      <c r="G1166" s="90">
        <v>1150</v>
      </c>
      <c r="H1166" s="100">
        <v>-5.7202786914008263E-2</v>
      </c>
      <c r="I1166" s="100">
        <v>-6.6381360577727519E-2</v>
      </c>
    </row>
    <row r="1167" spans="1:9">
      <c r="A1167" s="90">
        <v>1151</v>
      </c>
      <c r="B1167" s="110">
        <v>1.0817166370901872</v>
      </c>
      <c r="C1167" s="110">
        <v>1.0692864723731077</v>
      </c>
      <c r="G1167" s="90">
        <v>1151</v>
      </c>
      <c r="H1167" s="100">
        <v>-1.1557680256719997E-2</v>
      </c>
      <c r="I1167" s="100">
        <v>-6.6332720232021497E-2</v>
      </c>
    </row>
    <row r="1168" spans="1:9">
      <c r="A1168" s="90">
        <v>1152</v>
      </c>
      <c r="B1168" s="110">
        <v>1.1246539839697753</v>
      </c>
      <c r="C1168" s="110">
        <v>1.0524218772878169</v>
      </c>
      <c r="G1168" s="90">
        <v>1152</v>
      </c>
      <c r="H1168" s="100">
        <v>-6.6381360577727519E-2</v>
      </c>
      <c r="I1168" s="100">
        <v>-6.6324577104216104E-2</v>
      </c>
    </row>
    <row r="1169" spans="1:9">
      <c r="A1169" s="90">
        <v>1153</v>
      </c>
      <c r="B1169" s="110">
        <v>1.107183593332961</v>
      </c>
      <c r="C1169" s="110">
        <v>1.0621107408079313</v>
      </c>
      <c r="G1169" s="90">
        <v>1153</v>
      </c>
      <c r="H1169" s="100">
        <v>-4.1561294514123048E-2</v>
      </c>
      <c r="I1169" s="100">
        <v>-6.6317253013216587E-2</v>
      </c>
    </row>
    <row r="1170" spans="1:9">
      <c r="A1170" s="90">
        <v>1154</v>
      </c>
      <c r="B1170" s="110">
        <v>1.0988542598774445</v>
      </c>
      <c r="C1170" s="110">
        <v>1.0503044546247078</v>
      </c>
      <c r="G1170" s="90">
        <v>1154</v>
      </c>
      <c r="H1170" s="100">
        <v>-4.5187976125784513E-2</v>
      </c>
      <c r="I1170" s="100">
        <v>-6.6283348482015544E-2</v>
      </c>
    </row>
    <row r="1171" spans="1:9">
      <c r="A1171" s="90">
        <v>1155</v>
      </c>
      <c r="B1171" s="110">
        <v>1.1055904960295557</v>
      </c>
      <c r="C1171" s="110">
        <v>1.0451853915219915</v>
      </c>
      <c r="G1171" s="90">
        <v>1155</v>
      </c>
      <c r="H1171" s="100">
        <v>-5.6185299946891941E-2</v>
      </c>
      <c r="I1171" s="100">
        <v>-6.6268299362451363E-2</v>
      </c>
    </row>
    <row r="1172" spans="1:9">
      <c r="A1172" s="90">
        <v>1156</v>
      </c>
      <c r="B1172" s="110">
        <v>1.1053793354848618</v>
      </c>
      <c r="C1172" s="110">
        <v>1.0365975635646594</v>
      </c>
      <c r="G1172" s="90">
        <v>1156</v>
      </c>
      <c r="H1172" s="100">
        <v>-6.4244789730340188E-2</v>
      </c>
      <c r="I1172" s="100">
        <v>-6.6260518548542646E-2</v>
      </c>
    </row>
    <row r="1173" spans="1:9">
      <c r="A1173" s="90">
        <v>1157</v>
      </c>
      <c r="B1173" s="110">
        <v>1.1109378179568612</v>
      </c>
      <c r="C1173" s="110">
        <v>1.0630108202649746</v>
      </c>
      <c r="G1173" s="90">
        <v>1157</v>
      </c>
      <c r="H1173" s="100">
        <v>-4.4099261358684458E-2</v>
      </c>
      <c r="I1173" s="100">
        <v>-6.6242763516750527E-2</v>
      </c>
    </row>
    <row r="1174" spans="1:9">
      <c r="A1174" s="90">
        <v>1158</v>
      </c>
      <c r="B1174" s="110">
        <v>1.1097465760225809</v>
      </c>
      <c r="C1174" s="110">
        <v>1.0623070097724341</v>
      </c>
      <c r="G1174" s="90">
        <v>1158</v>
      </c>
      <c r="H1174" s="100">
        <v>-4.3688711910963407E-2</v>
      </c>
      <c r="I1174" s="100">
        <v>-6.6219988180231157E-2</v>
      </c>
    </row>
    <row r="1175" spans="1:9">
      <c r="A1175" s="90">
        <v>1159</v>
      </c>
      <c r="B1175" s="110">
        <v>1.0910914277999695</v>
      </c>
      <c r="C1175" s="110">
        <v>1.0307301485003619</v>
      </c>
      <c r="G1175" s="90">
        <v>1159</v>
      </c>
      <c r="H1175" s="100">
        <v>-5.6911072030372961E-2</v>
      </c>
      <c r="I1175" s="100">
        <v>-6.6209711582003186E-2</v>
      </c>
    </row>
    <row r="1176" spans="1:9">
      <c r="A1176" s="90">
        <v>1160</v>
      </c>
      <c r="B1176" s="110">
        <v>1.1465853010964711</v>
      </c>
      <c r="C1176" s="110">
        <v>1.0615458096960442</v>
      </c>
      <c r="G1176" s="90">
        <v>1160</v>
      </c>
      <c r="H1176" s="100">
        <v>-7.706206499833694E-2</v>
      </c>
      <c r="I1176" s="100">
        <v>-6.6195028477537651E-2</v>
      </c>
    </row>
    <row r="1177" spans="1:9">
      <c r="A1177" s="90">
        <v>1161</v>
      </c>
      <c r="B1177" s="110">
        <v>1.1121803778050234</v>
      </c>
      <c r="C1177" s="110">
        <v>1.0516723194221591</v>
      </c>
      <c r="G1177" s="90">
        <v>1161</v>
      </c>
      <c r="H1177" s="100">
        <v>-5.594081057458207E-2</v>
      </c>
      <c r="I1177" s="100">
        <v>-6.6192213483934725E-2</v>
      </c>
    </row>
    <row r="1178" spans="1:9">
      <c r="A1178" s="90">
        <v>1162</v>
      </c>
      <c r="B1178" s="110">
        <v>1.1054514251565848</v>
      </c>
      <c r="C1178" s="110">
        <v>1.0564444961994837</v>
      </c>
      <c r="G1178" s="90">
        <v>1162</v>
      </c>
      <c r="H1178" s="100">
        <v>-4.5344759946146833E-2</v>
      </c>
      <c r="I1178" s="100">
        <v>-6.6190515675297434E-2</v>
      </c>
    </row>
    <row r="1179" spans="1:9">
      <c r="A1179" s="90">
        <v>1163</v>
      </c>
      <c r="B1179" s="110">
        <v>1.1086660505632853</v>
      </c>
      <c r="C1179" s="110">
        <v>1.0592667588084352</v>
      </c>
      <c r="G1179" s="90">
        <v>1163</v>
      </c>
      <c r="H1179" s="100">
        <v>-4.5580604596462147E-2</v>
      </c>
      <c r="I1179" s="100">
        <v>-6.6182724275555285E-2</v>
      </c>
    </row>
    <row r="1180" spans="1:9">
      <c r="A1180" s="90">
        <v>1164</v>
      </c>
      <c r="B1180" s="110">
        <v>1.1272941337849272</v>
      </c>
      <c r="C1180" s="110">
        <v>1.0705615364750898</v>
      </c>
      <c r="G1180" s="90">
        <v>1164</v>
      </c>
      <c r="H1180" s="100">
        <v>-5.1636878022007421E-2</v>
      </c>
      <c r="I1180" s="100">
        <v>-6.6154633360652373E-2</v>
      </c>
    </row>
    <row r="1181" spans="1:9">
      <c r="A1181" s="90">
        <v>1165</v>
      </c>
      <c r="B1181" s="110">
        <v>1.0944232767447033</v>
      </c>
      <c r="C1181" s="110">
        <v>1.0550233103702906</v>
      </c>
      <c r="G1181" s="90">
        <v>1165</v>
      </c>
      <c r="H1181" s="100">
        <v>-3.6664674793636907E-2</v>
      </c>
      <c r="I1181" s="100">
        <v>-6.6138028447314881E-2</v>
      </c>
    </row>
    <row r="1182" spans="1:9">
      <c r="A1182" s="90">
        <v>1166</v>
      </c>
      <c r="B1182" s="110">
        <v>1.0900635728367312</v>
      </c>
      <c r="C1182" s="110">
        <v>1.0481020383841335</v>
      </c>
      <c r="G1182" s="90">
        <v>1166</v>
      </c>
      <c r="H1182" s="100">
        <v>-3.9255072214158859E-2</v>
      </c>
      <c r="I1182" s="100">
        <v>-6.6128968490092213E-2</v>
      </c>
    </row>
    <row r="1183" spans="1:9">
      <c r="A1183" s="90">
        <v>1167</v>
      </c>
      <c r="B1183" s="110">
        <v>1.1082712680724747</v>
      </c>
      <c r="C1183" s="110">
        <v>1.069051582729124</v>
      </c>
      <c r="G1183" s="90">
        <v>1167</v>
      </c>
      <c r="H1183" s="100">
        <v>-3.6029501006801648E-2</v>
      </c>
      <c r="I1183" s="100">
        <v>-6.6124343561253837E-2</v>
      </c>
    </row>
    <row r="1184" spans="1:9">
      <c r="A1184" s="90">
        <v>1168</v>
      </c>
      <c r="B1184" s="110">
        <v>1.0799638519927699</v>
      </c>
      <c r="C1184" s="110">
        <v>1.0415040498087416</v>
      </c>
      <c r="G1184" s="90">
        <v>1168</v>
      </c>
      <c r="H1184" s="100">
        <v>-3.6261700049046115E-2</v>
      </c>
      <c r="I1184" s="100">
        <v>-6.6113368649031015E-2</v>
      </c>
    </row>
    <row r="1185" spans="1:9">
      <c r="A1185" s="90">
        <v>1169</v>
      </c>
      <c r="B1185" s="110">
        <v>1.142615380475702</v>
      </c>
      <c r="C1185" s="110">
        <v>1.0332382173750549</v>
      </c>
      <c r="G1185" s="90">
        <v>1169</v>
      </c>
      <c r="H1185" s="100">
        <v>-0.10062205727779779</v>
      </c>
      <c r="I1185" s="100">
        <v>-6.6112004150149214E-2</v>
      </c>
    </row>
    <row r="1186" spans="1:9">
      <c r="A1186" s="90">
        <v>1170</v>
      </c>
      <c r="B1186" s="110">
        <v>1.119426690168271</v>
      </c>
      <c r="C1186" s="110">
        <v>1.0442778275734452</v>
      </c>
      <c r="G1186" s="90">
        <v>1170</v>
      </c>
      <c r="H1186" s="100">
        <v>-6.9491098048841959E-2</v>
      </c>
      <c r="I1186" s="100">
        <v>-6.6108209555451602E-2</v>
      </c>
    </row>
    <row r="1187" spans="1:9">
      <c r="A1187" s="90">
        <v>1171</v>
      </c>
      <c r="B1187" s="110">
        <v>1.1104841115055593</v>
      </c>
      <c r="C1187" s="110">
        <v>1.0442488681837054</v>
      </c>
      <c r="G1187" s="90">
        <v>1171</v>
      </c>
      <c r="H1187" s="100">
        <v>-6.1498216196982584E-2</v>
      </c>
      <c r="I1187" s="100">
        <v>-6.6094459323116292E-2</v>
      </c>
    </row>
    <row r="1188" spans="1:9">
      <c r="A1188" s="90">
        <v>1172</v>
      </c>
      <c r="B1188" s="110">
        <v>1.1112091534220576</v>
      </c>
      <c r="C1188" s="110">
        <v>1.0458212610565041</v>
      </c>
      <c r="G1188" s="90">
        <v>1172</v>
      </c>
      <c r="H1188" s="100">
        <v>-6.0646277334663115E-2</v>
      </c>
      <c r="I1188" s="100">
        <v>-6.6074448045739587E-2</v>
      </c>
    </row>
    <row r="1189" spans="1:9">
      <c r="A1189" s="90">
        <v>1173</v>
      </c>
      <c r="B1189" s="110">
        <v>1.1157564003147109</v>
      </c>
      <c r="C1189" s="110">
        <v>1.0562144167809342</v>
      </c>
      <c r="G1189" s="90">
        <v>1173</v>
      </c>
      <c r="H1189" s="100">
        <v>-5.4841349977787029E-2</v>
      </c>
      <c r="I1189" s="100">
        <v>-6.6041748148268242E-2</v>
      </c>
    </row>
    <row r="1190" spans="1:9">
      <c r="A1190" s="90">
        <v>1174</v>
      </c>
      <c r="B1190" s="110">
        <v>1.1194418788890248</v>
      </c>
      <c r="C1190" s="110">
        <v>1.0496175509445966</v>
      </c>
      <c r="G1190" s="90">
        <v>1174</v>
      </c>
      <c r="H1190" s="100">
        <v>-6.4404378059277789E-2</v>
      </c>
      <c r="I1190" s="100">
        <v>-6.6039984073456293E-2</v>
      </c>
    </row>
    <row r="1191" spans="1:9">
      <c r="A1191" s="90">
        <v>1175</v>
      </c>
      <c r="B1191" s="110">
        <v>1.1273617590853449</v>
      </c>
      <c r="C1191" s="110">
        <v>1.0578487838565789</v>
      </c>
      <c r="G1191" s="90">
        <v>1175</v>
      </c>
      <c r="H1191" s="100">
        <v>-6.3642779718047882E-2</v>
      </c>
      <c r="I1191" s="100">
        <v>-6.6036965101109693E-2</v>
      </c>
    </row>
    <row r="1192" spans="1:9">
      <c r="A1192" s="90">
        <v>1176</v>
      </c>
      <c r="B1192" s="110">
        <v>1.1207624159002314</v>
      </c>
      <c r="C1192" s="110">
        <v>1.0385252241753915</v>
      </c>
      <c r="G1192" s="90">
        <v>1176</v>
      </c>
      <c r="H1192" s="100">
        <v>-7.6207529112678696E-2</v>
      </c>
      <c r="I1192" s="100">
        <v>-6.602325780466789E-2</v>
      </c>
    </row>
    <row r="1193" spans="1:9">
      <c r="A1193" s="90">
        <v>1177</v>
      </c>
      <c r="B1193" s="110">
        <v>1.1084778691614094</v>
      </c>
      <c r="C1193" s="110">
        <v>1.0619878009552073</v>
      </c>
      <c r="G1193" s="90">
        <v>1177</v>
      </c>
      <c r="H1193" s="100">
        <v>-4.2845349308953312E-2</v>
      </c>
      <c r="I1193" s="100">
        <v>-6.6005582300250443E-2</v>
      </c>
    </row>
    <row r="1194" spans="1:9">
      <c r="A1194" s="90">
        <v>1178</v>
      </c>
      <c r="B1194" s="110">
        <v>1.1044474784425096</v>
      </c>
      <c r="C1194" s="110">
        <v>1.0671203495061083</v>
      </c>
      <c r="G1194" s="90">
        <v>1178</v>
      </c>
      <c r="H1194" s="100">
        <v>-3.4381432035855759E-2</v>
      </c>
      <c r="I1194" s="100">
        <v>-6.6000786009842508E-2</v>
      </c>
    </row>
    <row r="1195" spans="1:9">
      <c r="A1195" s="90">
        <v>1179</v>
      </c>
      <c r="B1195" s="110">
        <v>1.1029217047613111</v>
      </c>
      <c r="C1195" s="110">
        <v>1.0668752707847271</v>
      </c>
      <c r="G1195" s="90">
        <v>1179</v>
      </c>
      <c r="H1195" s="100">
        <v>-3.3228685476974301E-2</v>
      </c>
      <c r="I1195" s="100">
        <v>-6.5991499073594362E-2</v>
      </c>
    </row>
    <row r="1196" spans="1:9">
      <c r="A1196" s="90">
        <v>1180</v>
      </c>
      <c r="B1196" s="110">
        <v>1.0883116958923724</v>
      </c>
      <c r="C1196" s="110">
        <v>1.0446866550800868</v>
      </c>
      <c r="G1196" s="90">
        <v>1180</v>
      </c>
      <c r="H1196" s="100">
        <v>-4.0910603745606323E-2</v>
      </c>
      <c r="I1196" s="100">
        <v>-6.5974201867815024E-2</v>
      </c>
    </row>
    <row r="1197" spans="1:9">
      <c r="A1197" s="90">
        <v>1181</v>
      </c>
      <c r="B1197" s="110">
        <v>1.1563271711636682</v>
      </c>
      <c r="C1197" s="110">
        <v>1.0547819003958965</v>
      </c>
      <c r="G1197" s="90">
        <v>1181</v>
      </c>
      <c r="H1197" s="100">
        <v>-9.191473417136288E-2</v>
      </c>
      <c r="I1197" s="100">
        <v>-6.5950654181770013E-2</v>
      </c>
    </row>
    <row r="1198" spans="1:9">
      <c r="A1198" s="90">
        <v>1182</v>
      </c>
      <c r="B1198" s="110">
        <v>1.1092376748819399</v>
      </c>
      <c r="C1198" s="110">
        <v>1.0481065205393365</v>
      </c>
      <c r="G1198" s="90">
        <v>1182</v>
      </c>
      <c r="H1198" s="100">
        <v>-5.6687777527921042E-2</v>
      </c>
      <c r="I1198" s="100">
        <v>-6.5930438325428942E-2</v>
      </c>
    </row>
    <row r="1199" spans="1:9">
      <c r="A1199" s="90">
        <v>1183</v>
      </c>
      <c r="B1199" s="110">
        <v>1.093378443574238</v>
      </c>
      <c r="C1199" s="110">
        <v>1.0639013735490832</v>
      </c>
      <c r="G1199" s="90">
        <v>1183</v>
      </c>
      <c r="H1199" s="100">
        <v>-2.732969965320069E-2</v>
      </c>
      <c r="I1199" s="100">
        <v>-6.5915656661971453E-2</v>
      </c>
    </row>
    <row r="1200" spans="1:9">
      <c r="A1200" s="90">
        <v>1184</v>
      </c>
      <c r="B1200" s="110">
        <v>1.1483033897236843</v>
      </c>
      <c r="C1200" s="110">
        <v>1.0627575700492522</v>
      </c>
      <c r="G1200" s="90">
        <v>1184</v>
      </c>
      <c r="H1200" s="100">
        <v>-7.7418528437600567E-2</v>
      </c>
      <c r="I1200" s="100">
        <v>-6.5914982339827705E-2</v>
      </c>
    </row>
    <row r="1201" spans="1:9">
      <c r="A1201" s="90">
        <v>1185</v>
      </c>
      <c r="B1201" s="110">
        <v>1.1017367041428203</v>
      </c>
      <c r="C1201" s="110">
        <v>1.0669499513575307</v>
      </c>
      <c r="G1201" s="90">
        <v>1185</v>
      </c>
      <c r="H1201" s="100">
        <v>-3.2083691447961443E-2</v>
      </c>
      <c r="I1201" s="100">
        <v>-6.5884946426291488E-2</v>
      </c>
    </row>
    <row r="1202" spans="1:9">
      <c r="A1202" s="90">
        <v>1186</v>
      </c>
      <c r="B1202" s="110">
        <v>1.0672196709912398</v>
      </c>
      <c r="C1202" s="110">
        <v>1.0484681136383327</v>
      </c>
      <c r="G1202" s="90">
        <v>1186</v>
      </c>
      <c r="H1202" s="100">
        <v>-1.7726668858427455E-2</v>
      </c>
      <c r="I1202" s="100">
        <v>-6.5881352343837365E-2</v>
      </c>
    </row>
    <row r="1203" spans="1:9">
      <c r="A1203" s="90">
        <v>1187</v>
      </c>
      <c r="B1203" s="110">
        <v>1.1039245943855325</v>
      </c>
      <c r="C1203" s="110">
        <v>1.0726465567679484</v>
      </c>
      <c r="G1203" s="90">
        <v>1187</v>
      </c>
      <c r="H1203" s="100">
        <v>-2.8742631183780818E-2</v>
      </c>
      <c r="I1203" s="100">
        <v>-6.5859407907501943E-2</v>
      </c>
    </row>
    <row r="1204" spans="1:9">
      <c r="A1204" s="90">
        <v>1188</v>
      </c>
      <c r="B1204" s="110">
        <v>1.1044980888644773</v>
      </c>
      <c r="C1204" s="110">
        <v>1.0611378471553399</v>
      </c>
      <c r="G1204" s="90">
        <v>1188</v>
      </c>
      <c r="H1204" s="100">
        <v>-4.0049240448132274E-2</v>
      </c>
      <c r="I1204" s="100">
        <v>-6.5855793693739978E-2</v>
      </c>
    </row>
    <row r="1205" spans="1:9">
      <c r="A1205" s="90">
        <v>1189</v>
      </c>
      <c r="B1205" s="110">
        <v>1.1134651112447145</v>
      </c>
      <c r="C1205" s="110">
        <v>1.0519226724686122</v>
      </c>
      <c r="G1205" s="90">
        <v>1189</v>
      </c>
      <c r="H1205" s="100">
        <v>-5.6857268353660687E-2</v>
      </c>
      <c r="I1205" s="100">
        <v>-6.5853528878290463E-2</v>
      </c>
    </row>
    <row r="1206" spans="1:9">
      <c r="A1206" s="90">
        <v>1190</v>
      </c>
      <c r="B1206" s="110">
        <v>1.1528133324414764</v>
      </c>
      <c r="C1206" s="110">
        <v>1.0674218808276399</v>
      </c>
      <c r="G1206" s="90">
        <v>1190</v>
      </c>
      <c r="H1206" s="100">
        <v>-7.6959047014428086E-2</v>
      </c>
      <c r="I1206" s="100">
        <v>-6.5845371180907941E-2</v>
      </c>
    </row>
    <row r="1207" spans="1:9">
      <c r="A1207" s="90">
        <v>1191</v>
      </c>
      <c r="B1207" s="110">
        <v>1.1122518680473437</v>
      </c>
      <c r="C1207" s="110">
        <v>1.0692751767005684</v>
      </c>
      <c r="G1207" s="90">
        <v>1191</v>
      </c>
      <c r="H1207" s="100">
        <v>-3.9405656245031895E-2</v>
      </c>
      <c r="I1207" s="100">
        <v>-6.5843113552461932E-2</v>
      </c>
    </row>
    <row r="1208" spans="1:9">
      <c r="A1208" s="90">
        <v>1192</v>
      </c>
      <c r="B1208" s="110">
        <v>1.1266135583428947</v>
      </c>
      <c r="C1208" s="110">
        <v>1.0488516085109929</v>
      </c>
      <c r="G1208" s="90">
        <v>1192</v>
      </c>
      <c r="H1208" s="100">
        <v>-7.1520422693961139E-2</v>
      </c>
      <c r="I1208" s="100">
        <v>-6.5813911614831674E-2</v>
      </c>
    </row>
    <row r="1209" spans="1:9">
      <c r="A1209" s="90">
        <v>1193</v>
      </c>
      <c r="B1209" s="110">
        <v>1.1242394866940646</v>
      </c>
      <c r="C1209" s="110">
        <v>1.0512867367717904</v>
      </c>
      <c r="G1209" s="90">
        <v>1193</v>
      </c>
      <c r="H1209" s="100">
        <v>-6.7091917735866965E-2</v>
      </c>
      <c r="I1209" s="100">
        <v>-6.5813902386895509E-2</v>
      </c>
    </row>
    <row r="1210" spans="1:9">
      <c r="A1210" s="90">
        <v>1194</v>
      </c>
      <c r="B1210" s="110">
        <v>1.0790772587202111</v>
      </c>
      <c r="C1210" s="110">
        <v>1.0471020244827522</v>
      </c>
      <c r="G1210" s="90">
        <v>1194</v>
      </c>
      <c r="H1210" s="100">
        <v>-3.0079914134880321E-2</v>
      </c>
      <c r="I1210" s="100">
        <v>-6.5801193221694892E-2</v>
      </c>
    </row>
    <row r="1211" spans="1:9">
      <c r="A1211" s="90">
        <v>1195</v>
      </c>
      <c r="B1211" s="110">
        <v>1.1433547447570747</v>
      </c>
      <c r="C1211" s="110">
        <v>1.0646916637471224</v>
      </c>
      <c r="G1211" s="90">
        <v>1195</v>
      </c>
      <c r="H1211" s="100">
        <v>-7.1281459892424778E-2</v>
      </c>
      <c r="I1211" s="100">
        <v>-6.5784298450102918E-2</v>
      </c>
    </row>
    <row r="1212" spans="1:9">
      <c r="A1212" s="90">
        <v>1196</v>
      </c>
      <c r="B1212" s="110">
        <v>1.1257890519811851</v>
      </c>
      <c r="C1212" s="110">
        <v>1.0438744153358517</v>
      </c>
      <c r="G1212" s="90">
        <v>1196</v>
      </c>
      <c r="H1212" s="100">
        <v>-7.5544978942627627E-2</v>
      </c>
      <c r="I1212" s="100">
        <v>-6.577701483545853E-2</v>
      </c>
    </row>
    <row r="1213" spans="1:9">
      <c r="A1213" s="90">
        <v>1197</v>
      </c>
      <c r="B1213" s="110">
        <v>1.0877786795023923</v>
      </c>
      <c r="C1213" s="110">
        <v>1.0573102058006112</v>
      </c>
      <c r="G1213" s="90">
        <v>1197</v>
      </c>
      <c r="H1213" s="100">
        <v>-2.8409566755566648E-2</v>
      </c>
      <c r="I1213" s="100">
        <v>-6.5763732687680904E-2</v>
      </c>
    </row>
    <row r="1214" spans="1:9">
      <c r="A1214" s="90">
        <v>1198</v>
      </c>
      <c r="B1214" s="110">
        <v>1.1168929801251315</v>
      </c>
      <c r="C1214" s="110">
        <v>1.0281907358565063</v>
      </c>
      <c r="G1214" s="90">
        <v>1198</v>
      </c>
      <c r="H1214" s="100">
        <v>-8.2750014864230018E-2</v>
      </c>
      <c r="I1214" s="100">
        <v>-6.5760653673637592E-2</v>
      </c>
    </row>
    <row r="1215" spans="1:9">
      <c r="A1215" s="90">
        <v>1199</v>
      </c>
      <c r="B1215" s="110">
        <v>1.1016358688550287</v>
      </c>
      <c r="C1215" s="110">
        <v>1.0654788514996028</v>
      </c>
      <c r="G1215" s="90">
        <v>1199</v>
      </c>
      <c r="H1215" s="100">
        <v>-3.3371904660032967E-2</v>
      </c>
      <c r="I1215" s="100">
        <v>-6.5758688233122226E-2</v>
      </c>
    </row>
    <row r="1216" spans="1:9">
      <c r="A1216" s="90">
        <v>1200</v>
      </c>
      <c r="B1216" s="110">
        <v>1.1458336300856358</v>
      </c>
      <c r="C1216" s="110">
        <v>1.0682029096239407</v>
      </c>
      <c r="G1216" s="90">
        <v>1200</v>
      </c>
      <c r="H1216" s="100">
        <v>-7.0154720531650658E-2</v>
      </c>
      <c r="I1216" s="100">
        <v>-6.5699157048667481E-2</v>
      </c>
    </row>
    <row r="1217" spans="1:9">
      <c r="A1217" s="90">
        <v>1201</v>
      </c>
      <c r="B1217" s="110">
        <v>1.0924903988226229</v>
      </c>
      <c r="C1217" s="110">
        <v>1.047331434177645</v>
      </c>
      <c r="G1217" s="90">
        <v>1201</v>
      </c>
      <c r="H1217" s="100">
        <v>-4.2214421847243028E-2</v>
      </c>
      <c r="I1217" s="100">
        <v>-6.5688948495755989E-2</v>
      </c>
    </row>
    <row r="1218" spans="1:9">
      <c r="A1218" s="90">
        <v>1202</v>
      </c>
      <c r="B1218" s="110">
        <v>1.0987255136351717</v>
      </c>
      <c r="C1218" s="110">
        <v>1.0575932563631152</v>
      </c>
      <c r="G1218" s="90">
        <v>1202</v>
      </c>
      <c r="H1218" s="100">
        <v>-3.8155070376321404E-2</v>
      </c>
      <c r="I1218" s="100">
        <v>-6.5679529453077284E-2</v>
      </c>
    </row>
    <row r="1219" spans="1:9">
      <c r="A1219" s="90">
        <v>1203</v>
      </c>
      <c r="B1219" s="110">
        <v>1.1143923327046772</v>
      </c>
      <c r="C1219" s="110">
        <v>1.0455797738090107</v>
      </c>
      <c r="G1219" s="90">
        <v>1203</v>
      </c>
      <c r="H1219" s="100">
        <v>-6.3737724218645236E-2</v>
      </c>
      <c r="I1219" s="100">
        <v>-6.566657757405131E-2</v>
      </c>
    </row>
    <row r="1220" spans="1:9">
      <c r="A1220" s="90">
        <v>1204</v>
      </c>
      <c r="B1220" s="110">
        <v>1.1008479762535839</v>
      </c>
      <c r="C1220" s="110">
        <v>1.0456533952379177</v>
      </c>
      <c r="G1220" s="90">
        <v>1204</v>
      </c>
      <c r="H1220" s="100">
        <v>-5.1438821701491319E-2</v>
      </c>
      <c r="I1220" s="100">
        <v>-6.5659867568170577E-2</v>
      </c>
    </row>
    <row r="1221" spans="1:9">
      <c r="A1221" s="90">
        <v>1205</v>
      </c>
      <c r="B1221" s="110">
        <v>1.1165653520286742</v>
      </c>
      <c r="C1221" s="110">
        <v>1.0382323160046181</v>
      </c>
      <c r="G1221" s="90">
        <v>1205</v>
      </c>
      <c r="H1221" s="100">
        <v>-7.2737752644635167E-2</v>
      </c>
      <c r="I1221" s="100">
        <v>-6.5645693504329555E-2</v>
      </c>
    </row>
    <row r="1222" spans="1:9">
      <c r="A1222" s="90">
        <v>1206</v>
      </c>
      <c r="B1222" s="110">
        <v>1.0883332255581148</v>
      </c>
      <c r="C1222" s="110">
        <v>1.0697493064718118</v>
      </c>
      <c r="G1222" s="90">
        <v>1206</v>
      </c>
      <c r="H1222" s="100">
        <v>-1.7223047026594229E-2</v>
      </c>
      <c r="I1222" s="100">
        <v>-6.5643446651308487E-2</v>
      </c>
    </row>
    <row r="1223" spans="1:9">
      <c r="A1223" s="90">
        <v>1207</v>
      </c>
      <c r="B1223" s="110">
        <v>1.1216385254129988</v>
      </c>
      <c r="C1223" s="110">
        <v>1.0479429072892246</v>
      </c>
      <c r="G1223" s="90">
        <v>1207</v>
      </c>
      <c r="H1223" s="100">
        <v>-6.796147869158263E-2</v>
      </c>
      <c r="I1223" s="100">
        <v>-6.5636721669583231E-2</v>
      </c>
    </row>
    <row r="1224" spans="1:9">
      <c r="A1224" s="90">
        <v>1208</v>
      </c>
      <c r="B1224" s="110">
        <v>1.0813869327394412</v>
      </c>
      <c r="C1224" s="110">
        <v>1.0322479937738722</v>
      </c>
      <c r="G1224" s="90">
        <v>1208</v>
      </c>
      <c r="H1224" s="100">
        <v>-4.6505472005991207E-2</v>
      </c>
      <c r="I1224" s="100">
        <v>-6.5635947149851076E-2</v>
      </c>
    </row>
    <row r="1225" spans="1:9">
      <c r="A1225" s="90">
        <v>1209</v>
      </c>
      <c r="B1225" s="110">
        <v>1.0894755179606934</v>
      </c>
      <c r="C1225" s="110">
        <v>1.0578384164498544</v>
      </c>
      <c r="G1225" s="90">
        <v>1209</v>
      </c>
      <c r="H1225" s="100">
        <v>-2.9468807956136003E-2</v>
      </c>
      <c r="I1225" s="100">
        <v>-6.5626939171271048E-2</v>
      </c>
    </row>
    <row r="1226" spans="1:9">
      <c r="A1226" s="90">
        <v>1210</v>
      </c>
      <c r="B1226" s="110">
        <v>1.1013266813178286</v>
      </c>
      <c r="C1226" s="110">
        <v>1.0665754577111168</v>
      </c>
      <c r="G1226" s="90">
        <v>1210</v>
      </c>
      <c r="H1226" s="100">
        <v>-3.2062517921037419E-2</v>
      </c>
      <c r="I1226" s="100">
        <v>-6.5617707565820596E-2</v>
      </c>
    </row>
    <row r="1227" spans="1:9">
      <c r="A1227" s="90">
        <v>1211</v>
      </c>
      <c r="B1227" s="110">
        <v>1.1064292964804281</v>
      </c>
      <c r="C1227" s="110">
        <v>1.0580468771981646</v>
      </c>
      <c r="G1227" s="90">
        <v>1211</v>
      </c>
      <c r="H1227" s="100">
        <v>-4.4713340296400457E-2</v>
      </c>
      <c r="I1227" s="100">
        <v>-6.5607489687757717E-2</v>
      </c>
    </row>
    <row r="1228" spans="1:9">
      <c r="A1228" s="90">
        <v>1212</v>
      </c>
      <c r="B1228" s="110">
        <v>1.1121151768101964</v>
      </c>
      <c r="C1228" s="110">
        <v>1.0417431782899624</v>
      </c>
      <c r="G1228" s="90">
        <v>1212</v>
      </c>
      <c r="H1228" s="100">
        <v>-6.5368323751686747E-2</v>
      </c>
      <c r="I1228" s="100">
        <v>-6.5586923324896088E-2</v>
      </c>
    </row>
    <row r="1229" spans="1:9">
      <c r="A1229" s="90">
        <v>1213</v>
      </c>
      <c r="B1229" s="110">
        <v>1.140784043831824</v>
      </c>
      <c r="C1229" s="110">
        <v>1.0679322312970905</v>
      </c>
      <c r="G1229" s="90">
        <v>1213</v>
      </c>
      <c r="H1229" s="100">
        <v>-6.5991499073594362E-2</v>
      </c>
      <c r="I1229" s="100">
        <v>-6.5582291001263449E-2</v>
      </c>
    </row>
    <row r="1230" spans="1:9">
      <c r="A1230" s="90">
        <v>1214</v>
      </c>
      <c r="B1230" s="110">
        <v>1.1059672568003986</v>
      </c>
      <c r="C1230" s="110">
        <v>1.038571564454728</v>
      </c>
      <c r="G1230" s="90">
        <v>1214</v>
      </c>
      <c r="H1230" s="100">
        <v>-6.2874024272128223E-2</v>
      </c>
      <c r="I1230" s="100">
        <v>-6.5580859737067371E-2</v>
      </c>
    </row>
    <row r="1231" spans="1:9">
      <c r="A1231" s="90">
        <v>1215</v>
      </c>
      <c r="B1231" s="110">
        <v>1.070469406489803</v>
      </c>
      <c r="C1231" s="110">
        <v>1.0352323592309882</v>
      </c>
      <c r="G1231" s="90">
        <v>1215</v>
      </c>
      <c r="H1231" s="100">
        <v>-3.3471346735099106E-2</v>
      </c>
      <c r="I1231" s="100">
        <v>-6.5579078013684566E-2</v>
      </c>
    </row>
    <row r="1232" spans="1:9">
      <c r="A1232" s="90">
        <v>1216</v>
      </c>
      <c r="B1232" s="110">
        <v>1.1212036910087937</v>
      </c>
      <c r="C1232" s="110">
        <v>1.0410929045448316</v>
      </c>
      <c r="G1232" s="90">
        <v>1216</v>
      </c>
      <c r="H1232" s="100">
        <v>-7.4131801188646332E-2</v>
      </c>
      <c r="I1232" s="100">
        <v>-6.5571155881606114E-2</v>
      </c>
    </row>
    <row r="1233" spans="1:9">
      <c r="A1233" s="90">
        <v>1217</v>
      </c>
      <c r="B1233" s="110">
        <v>1.095885890860228</v>
      </c>
      <c r="C1233" s="110">
        <v>1.0402792130980298</v>
      </c>
      <c r="G1233" s="90">
        <v>1217</v>
      </c>
      <c r="H1233" s="100">
        <v>-5.207391767367095E-2</v>
      </c>
      <c r="I1233" s="100">
        <v>-6.5552326956622692E-2</v>
      </c>
    </row>
    <row r="1234" spans="1:9">
      <c r="A1234" s="90">
        <v>1218</v>
      </c>
      <c r="B1234" s="110">
        <v>1.0981873942535683</v>
      </c>
      <c r="C1234" s="110">
        <v>1.0337036103276949</v>
      </c>
      <c r="G1234" s="90">
        <v>1218</v>
      </c>
      <c r="H1234" s="100">
        <v>-6.0512906031791713E-2</v>
      </c>
      <c r="I1234" s="100">
        <v>-6.5526295880994428E-2</v>
      </c>
    </row>
    <row r="1235" spans="1:9">
      <c r="A1235" s="90">
        <v>1219</v>
      </c>
      <c r="B1235" s="110">
        <v>1.0949153295463565</v>
      </c>
      <c r="C1235" s="110">
        <v>1.060045945113719</v>
      </c>
      <c r="G1235" s="90">
        <v>1219</v>
      </c>
      <c r="H1235" s="100">
        <v>-3.2364784032025383E-2</v>
      </c>
      <c r="I1235" s="100">
        <v>-6.5512285938378531E-2</v>
      </c>
    </row>
    <row r="1236" spans="1:9">
      <c r="A1236" s="90">
        <v>1220</v>
      </c>
      <c r="B1236" s="110">
        <v>1.1299566624554231</v>
      </c>
      <c r="C1236" s="110">
        <v>1.0407070789544297</v>
      </c>
      <c r="G1236" s="90">
        <v>1220</v>
      </c>
      <c r="H1236" s="100">
        <v>-8.227891443228795E-2</v>
      </c>
      <c r="I1236" s="100">
        <v>-6.5508274245887205E-2</v>
      </c>
    </row>
    <row r="1237" spans="1:9">
      <c r="A1237" s="90">
        <v>1221</v>
      </c>
      <c r="B1237" s="110">
        <v>1.1165681478623548</v>
      </c>
      <c r="C1237" s="110">
        <v>1.0795143933056359</v>
      </c>
      <c r="G1237" s="90">
        <v>1221</v>
      </c>
      <c r="H1237" s="100">
        <v>-3.3748523290321887E-2</v>
      </c>
      <c r="I1237" s="100">
        <v>-6.547547724479956E-2</v>
      </c>
    </row>
    <row r="1238" spans="1:9">
      <c r="A1238" s="90">
        <v>1222</v>
      </c>
      <c r="B1238" s="110">
        <v>1.1095689706378173</v>
      </c>
      <c r="C1238" s="110">
        <v>1.0195308667064962</v>
      </c>
      <c r="G1238" s="90">
        <v>1222</v>
      </c>
      <c r="H1238" s="100">
        <v>-8.4629038277501428E-2</v>
      </c>
      <c r="I1238" s="100">
        <v>-6.5453307202287286E-2</v>
      </c>
    </row>
    <row r="1239" spans="1:9">
      <c r="A1239" s="90">
        <v>1223</v>
      </c>
      <c r="B1239" s="110">
        <v>1.1170609661687279</v>
      </c>
      <c r="C1239" s="110">
        <v>1.0389371875431439</v>
      </c>
      <c r="G1239" s="90">
        <v>1223</v>
      </c>
      <c r="H1239" s="100">
        <v>-7.2502843307046774E-2</v>
      </c>
      <c r="I1239" s="100">
        <v>-6.5441318160204376E-2</v>
      </c>
    </row>
    <row r="1240" spans="1:9">
      <c r="A1240" s="90">
        <v>1224</v>
      </c>
      <c r="B1240" s="110">
        <v>1.1143158509411064</v>
      </c>
      <c r="C1240" s="110">
        <v>1.0517886009655639</v>
      </c>
      <c r="G1240" s="90">
        <v>1224</v>
      </c>
      <c r="H1240" s="100">
        <v>-5.7748485520955829E-2</v>
      </c>
      <c r="I1240" s="100">
        <v>-6.5437530417352868E-2</v>
      </c>
    </row>
    <row r="1241" spans="1:9">
      <c r="A1241" s="90">
        <v>1225</v>
      </c>
      <c r="B1241" s="110">
        <v>1.1069790270542599</v>
      </c>
      <c r="C1241" s="110">
        <v>1.0379389139969333</v>
      </c>
      <c r="G1241" s="90">
        <v>1225</v>
      </c>
      <c r="H1241" s="100">
        <v>-6.4397774498536675E-2</v>
      </c>
      <c r="I1241" s="100">
        <v>-6.540291308500075E-2</v>
      </c>
    </row>
    <row r="1242" spans="1:9">
      <c r="A1242" s="90">
        <v>1226</v>
      </c>
      <c r="B1242" s="110">
        <v>1.1058084606933636</v>
      </c>
      <c r="C1242" s="110">
        <v>1.0279109380299616</v>
      </c>
      <c r="G1242" s="90">
        <v>1226</v>
      </c>
      <c r="H1242" s="100">
        <v>-7.3048178966953176E-2</v>
      </c>
      <c r="I1242" s="100">
        <v>-6.5392535597077209E-2</v>
      </c>
    </row>
    <row r="1243" spans="1:9">
      <c r="A1243" s="90">
        <v>1227</v>
      </c>
      <c r="B1243" s="110">
        <v>1.1207756756617238</v>
      </c>
      <c r="C1243" s="110">
        <v>1.0670636295774889</v>
      </c>
      <c r="G1243" s="90">
        <v>1227</v>
      </c>
      <c r="H1243" s="100">
        <v>-4.9110408513060838E-2</v>
      </c>
      <c r="I1243" s="100">
        <v>-6.5387153163285805E-2</v>
      </c>
    </row>
    <row r="1244" spans="1:9">
      <c r="A1244" s="90">
        <v>1228</v>
      </c>
      <c r="B1244" s="110">
        <v>1.1447768828013953</v>
      </c>
      <c r="C1244" s="110">
        <v>1.0430726057153976</v>
      </c>
      <c r="G1244" s="90">
        <v>1228</v>
      </c>
      <c r="H1244" s="100">
        <v>-9.3038969857176315E-2</v>
      </c>
      <c r="I1244" s="100">
        <v>-6.5378797103770134E-2</v>
      </c>
    </row>
    <row r="1245" spans="1:9">
      <c r="A1245" s="90">
        <v>1229</v>
      </c>
      <c r="B1245" s="110">
        <v>1.1348246580033856</v>
      </c>
      <c r="C1245" s="110">
        <v>1.0692788235823698</v>
      </c>
      <c r="G1245" s="90">
        <v>1229</v>
      </c>
      <c r="H1245" s="100">
        <v>-5.9493728074523029E-2</v>
      </c>
      <c r="I1245" s="100">
        <v>-6.5368323751686747E-2</v>
      </c>
    </row>
    <row r="1246" spans="1:9">
      <c r="A1246" s="90">
        <v>1230</v>
      </c>
      <c r="B1246" s="110">
        <v>1.0992887881723974</v>
      </c>
      <c r="C1246" s="110">
        <v>1.0441361352455072</v>
      </c>
      <c r="G1246" s="90">
        <v>1230</v>
      </c>
      <c r="H1246" s="100">
        <v>-5.1473535785672264E-2</v>
      </c>
      <c r="I1246" s="100">
        <v>-6.5361034117824499E-2</v>
      </c>
    </row>
    <row r="1247" spans="1:9">
      <c r="A1247" s="90">
        <v>1231</v>
      </c>
      <c r="B1247" s="110">
        <v>1.0787725520425826</v>
      </c>
      <c r="C1247" s="110">
        <v>1.036460929455054</v>
      </c>
      <c r="G1247" s="90">
        <v>1231</v>
      </c>
      <c r="H1247" s="100">
        <v>-4.0011911419891223E-2</v>
      </c>
      <c r="I1247" s="100">
        <v>-6.536038559745061E-2</v>
      </c>
    </row>
    <row r="1248" spans="1:9">
      <c r="A1248" s="90">
        <v>1232</v>
      </c>
      <c r="B1248" s="110">
        <v>1.114861613483201</v>
      </c>
      <c r="C1248" s="110">
        <v>1.0672261928438611</v>
      </c>
      <c r="G1248" s="90">
        <v>1232</v>
      </c>
      <c r="H1248" s="100">
        <v>-4.3667344343992068E-2</v>
      </c>
      <c r="I1248" s="100">
        <v>-6.5345952773330732E-2</v>
      </c>
    </row>
    <row r="1249" spans="1:9">
      <c r="A1249" s="90">
        <v>1233</v>
      </c>
      <c r="B1249" s="110">
        <v>1.1122333792023551</v>
      </c>
      <c r="C1249" s="110">
        <v>1.0416261771893425</v>
      </c>
      <c r="G1249" s="90">
        <v>1233</v>
      </c>
      <c r="H1249" s="100">
        <v>-6.5586923324896088E-2</v>
      </c>
      <c r="I1249" s="100">
        <v>-6.5332089056911749E-2</v>
      </c>
    </row>
    <row r="1250" spans="1:9">
      <c r="A1250" s="90">
        <v>1234</v>
      </c>
      <c r="B1250" s="110">
        <v>1.1032461405724572</v>
      </c>
      <c r="C1250" s="110">
        <v>1.0366530973816883</v>
      </c>
      <c r="G1250" s="90">
        <v>1234</v>
      </c>
      <c r="H1250" s="100">
        <v>-6.2259522831656977E-2</v>
      </c>
      <c r="I1250" s="100">
        <v>-6.5330949142841002E-2</v>
      </c>
    </row>
    <row r="1251" spans="1:9">
      <c r="A1251" s="90">
        <v>1235</v>
      </c>
      <c r="B1251" s="110">
        <v>1.0949841535608764</v>
      </c>
      <c r="C1251" s="110">
        <v>1.0503293884436442</v>
      </c>
      <c r="G1251" s="90">
        <v>1235</v>
      </c>
      <c r="H1251" s="100">
        <v>-4.1636073275338865E-2</v>
      </c>
      <c r="I1251" s="100">
        <v>-6.5329703549350415E-2</v>
      </c>
    </row>
    <row r="1252" spans="1:9">
      <c r="A1252" s="90">
        <v>1236</v>
      </c>
      <c r="B1252" s="110">
        <v>1.1470776759202981</v>
      </c>
      <c r="C1252" s="110">
        <v>1.0464768018135799</v>
      </c>
      <c r="G1252" s="90">
        <v>1236</v>
      </c>
      <c r="H1252" s="100">
        <v>-9.1788461540120908E-2</v>
      </c>
      <c r="I1252" s="100">
        <v>-6.5326797830647598E-2</v>
      </c>
    </row>
    <row r="1253" spans="1:9">
      <c r="A1253" s="90">
        <v>1237</v>
      </c>
      <c r="B1253" s="110">
        <v>1.1386711248646828</v>
      </c>
      <c r="C1253" s="110">
        <v>1.0765382216254742</v>
      </c>
      <c r="G1253" s="90">
        <v>1237</v>
      </c>
      <c r="H1253" s="100">
        <v>-5.6111359879918783E-2</v>
      </c>
      <c r="I1253" s="100">
        <v>-6.5318055024374433E-2</v>
      </c>
    </row>
    <row r="1254" spans="1:9">
      <c r="A1254" s="90">
        <v>1238</v>
      </c>
      <c r="B1254" s="110">
        <v>1.1434269145867366</v>
      </c>
      <c r="C1254" s="110">
        <v>1.0765344302414406</v>
      </c>
      <c r="G1254" s="90">
        <v>1238</v>
      </c>
      <c r="H1254" s="100">
        <v>-6.0282797838776797E-2</v>
      </c>
      <c r="I1254" s="100">
        <v>-6.5272014619497817E-2</v>
      </c>
    </row>
    <row r="1255" spans="1:9">
      <c r="A1255" s="90">
        <v>1239</v>
      </c>
      <c r="B1255" s="110">
        <v>1.0980174090476738</v>
      </c>
      <c r="C1255" s="110">
        <v>1.0508012910229829</v>
      </c>
      <c r="G1255" s="90">
        <v>1239</v>
      </c>
      <c r="H1255" s="100">
        <v>-4.3953190758213967E-2</v>
      </c>
      <c r="I1255" s="100">
        <v>-6.5271106671474913E-2</v>
      </c>
    </row>
    <row r="1256" spans="1:9">
      <c r="A1256" s="90">
        <v>1240</v>
      </c>
      <c r="B1256" s="110">
        <v>1.1119713809751968</v>
      </c>
      <c r="C1256" s="110">
        <v>1.0607643505596123</v>
      </c>
      <c r="G1256" s="90">
        <v>1240</v>
      </c>
      <c r="H1256" s="100">
        <v>-4.7144725263720995E-2</v>
      </c>
      <c r="I1256" s="100">
        <v>-6.5269457705363604E-2</v>
      </c>
    </row>
    <row r="1257" spans="1:9">
      <c r="A1257" s="90">
        <v>1241</v>
      </c>
      <c r="B1257" s="110">
        <v>1.1077702648147814</v>
      </c>
      <c r="C1257" s="110">
        <v>1.0498936599353743</v>
      </c>
      <c r="G1257" s="90">
        <v>1241</v>
      </c>
      <c r="H1257" s="100">
        <v>-5.3660341813173029E-2</v>
      </c>
      <c r="I1257" s="100">
        <v>-6.525769163777638E-2</v>
      </c>
    </row>
    <row r="1258" spans="1:9">
      <c r="A1258" s="90">
        <v>1242</v>
      </c>
      <c r="B1258" s="110">
        <v>1.1082167814007626</v>
      </c>
      <c r="C1258" s="110">
        <v>1.0772073805456526</v>
      </c>
      <c r="G1258" s="90">
        <v>1242</v>
      </c>
      <c r="H1258" s="100">
        <v>-2.8380286737821215E-2</v>
      </c>
      <c r="I1258" s="100">
        <v>-6.5250091784839759E-2</v>
      </c>
    </row>
    <row r="1259" spans="1:9">
      <c r="A1259" s="90">
        <v>1243</v>
      </c>
      <c r="B1259" s="110">
        <v>1.1082476071224749</v>
      </c>
      <c r="C1259" s="110">
        <v>1.0494616599079913</v>
      </c>
      <c r="G1259" s="90">
        <v>1243</v>
      </c>
      <c r="H1259" s="100">
        <v>-5.4502707649285081E-2</v>
      </c>
      <c r="I1259" s="100">
        <v>-6.5212306837712536E-2</v>
      </c>
    </row>
    <row r="1260" spans="1:9">
      <c r="A1260" s="90">
        <v>1244</v>
      </c>
      <c r="B1260" s="110">
        <v>1.1224342978312063</v>
      </c>
      <c r="C1260" s="110">
        <v>1.0428195596913674</v>
      </c>
      <c r="G1260" s="90">
        <v>1244</v>
      </c>
      <c r="H1260" s="100">
        <v>-7.3571647124771725E-2</v>
      </c>
      <c r="I1260" s="100">
        <v>-6.5204564004468044E-2</v>
      </c>
    </row>
    <row r="1261" spans="1:9">
      <c r="A1261" s="90">
        <v>1245</v>
      </c>
      <c r="B1261" s="110">
        <v>1.0957072660796165</v>
      </c>
      <c r="C1261" s="110">
        <v>1.0516928196909385</v>
      </c>
      <c r="G1261" s="90">
        <v>1245</v>
      </c>
      <c r="H1261" s="100">
        <v>-4.0998984672348367E-2</v>
      </c>
      <c r="I1261" s="100">
        <v>-6.5199430175954101E-2</v>
      </c>
    </row>
    <row r="1262" spans="1:9">
      <c r="A1262" s="90">
        <v>1246</v>
      </c>
      <c r="B1262" s="110">
        <v>1.101491575515718</v>
      </c>
      <c r="C1262" s="110">
        <v>1.0635321274518437</v>
      </c>
      <c r="G1262" s="90">
        <v>1246</v>
      </c>
      <c r="H1262" s="100">
        <v>-3.5069674666849703E-2</v>
      </c>
      <c r="I1262" s="100">
        <v>-6.5192675545122231E-2</v>
      </c>
    </row>
    <row r="1263" spans="1:9">
      <c r="A1263" s="90">
        <v>1247</v>
      </c>
      <c r="B1263" s="110">
        <v>1.1165433703137169</v>
      </c>
      <c r="C1263" s="110">
        <v>1.0697252984451946</v>
      </c>
      <c r="G1263" s="90">
        <v>1247</v>
      </c>
      <c r="H1263" s="100">
        <v>-4.283575134042119E-2</v>
      </c>
      <c r="I1263" s="100">
        <v>-6.5191903629258321E-2</v>
      </c>
    </row>
    <row r="1264" spans="1:9">
      <c r="A1264" s="90">
        <v>1248</v>
      </c>
      <c r="B1264" s="110">
        <v>1.0802125338679687</v>
      </c>
      <c r="C1264" s="110">
        <v>1.0529775073130809</v>
      </c>
      <c r="G1264" s="90">
        <v>1248</v>
      </c>
      <c r="H1264" s="100">
        <v>-2.5535940046557373E-2</v>
      </c>
      <c r="I1264" s="100">
        <v>-6.5190102204963976E-2</v>
      </c>
    </row>
    <row r="1265" spans="1:9">
      <c r="A1265" s="90">
        <v>1249</v>
      </c>
      <c r="B1265" s="110">
        <v>1.1095177407449666</v>
      </c>
      <c r="C1265" s="110">
        <v>1.075403238844066</v>
      </c>
      <c r="G1265" s="90">
        <v>1249</v>
      </c>
      <c r="H1265" s="100">
        <v>-3.1229755971983651E-2</v>
      </c>
      <c r="I1265" s="100">
        <v>-6.5186601163482807E-2</v>
      </c>
    </row>
    <row r="1266" spans="1:9">
      <c r="A1266" s="90">
        <v>1250</v>
      </c>
      <c r="B1266" s="110">
        <v>1.1038852478972216</v>
      </c>
      <c r="C1266" s="110">
        <v>1.0422035814354571</v>
      </c>
      <c r="G1266" s="90">
        <v>1250</v>
      </c>
      <c r="H1266" s="100">
        <v>-5.7498700424799765E-2</v>
      </c>
      <c r="I1266" s="100">
        <v>-6.5177025200048325E-2</v>
      </c>
    </row>
    <row r="1267" spans="1:9">
      <c r="A1267" s="90">
        <v>1251</v>
      </c>
      <c r="B1267" s="110">
        <v>1.1201751937084166</v>
      </c>
      <c r="C1267" s="110">
        <v>1.0522592275183196</v>
      </c>
      <c r="G1267" s="90">
        <v>1251</v>
      </c>
      <c r="H1267" s="100">
        <v>-6.2545598076776621E-2</v>
      </c>
      <c r="I1267" s="100">
        <v>-6.5159743313388641E-2</v>
      </c>
    </row>
    <row r="1268" spans="1:9">
      <c r="A1268" s="90">
        <v>1252</v>
      </c>
      <c r="B1268" s="110">
        <v>1.0815268911623004</v>
      </c>
      <c r="C1268" s="110">
        <v>1.0430935354873097</v>
      </c>
      <c r="G1268" s="90">
        <v>1252</v>
      </c>
      <c r="H1268" s="100">
        <v>-3.6182979515885262E-2</v>
      </c>
      <c r="I1268" s="100">
        <v>-6.515753886451367E-2</v>
      </c>
    </row>
    <row r="1269" spans="1:9">
      <c r="A1269" s="90">
        <v>1253</v>
      </c>
      <c r="B1269" s="110">
        <v>1.1187888229686356</v>
      </c>
      <c r="C1269" s="110">
        <v>1.0467867345508424</v>
      </c>
      <c r="G1269" s="90">
        <v>1253</v>
      </c>
      <c r="H1269" s="100">
        <v>-6.6521472887830002E-2</v>
      </c>
      <c r="I1269" s="100">
        <v>-6.5154237634300394E-2</v>
      </c>
    </row>
    <row r="1270" spans="1:9">
      <c r="A1270" s="90">
        <v>1254</v>
      </c>
      <c r="B1270" s="110">
        <v>1.1269884257062233</v>
      </c>
      <c r="C1270" s="110">
        <v>1.0428797091113584</v>
      </c>
      <c r="G1270" s="90">
        <v>1254</v>
      </c>
      <c r="H1270" s="100">
        <v>-7.7563127262730888E-2</v>
      </c>
      <c r="I1270" s="100">
        <v>-6.514936217108605E-2</v>
      </c>
    </row>
    <row r="1271" spans="1:9">
      <c r="A1271" s="90">
        <v>1255</v>
      </c>
      <c r="B1271" s="110">
        <v>1.1202385528785264</v>
      </c>
      <c r="C1271" s="110">
        <v>1.0611116766778548</v>
      </c>
      <c r="G1271" s="90">
        <v>1255</v>
      </c>
      <c r="H1271" s="100">
        <v>-5.4224546117504928E-2</v>
      </c>
      <c r="I1271" s="100">
        <v>-6.5123092429212465E-2</v>
      </c>
    </row>
    <row r="1272" spans="1:9">
      <c r="A1272" s="90">
        <v>1256</v>
      </c>
      <c r="B1272" s="110">
        <v>1.0995884648310623</v>
      </c>
      <c r="C1272" s="110">
        <v>1.0697111739161058</v>
      </c>
      <c r="G1272" s="90">
        <v>1256</v>
      </c>
      <c r="H1272" s="100">
        <v>-2.7547305805667839E-2</v>
      </c>
      <c r="I1272" s="100">
        <v>-6.5102603371468518E-2</v>
      </c>
    </row>
    <row r="1273" spans="1:9">
      <c r="A1273" s="90">
        <v>1257</v>
      </c>
      <c r="B1273" s="110">
        <v>1.1155377591221431</v>
      </c>
      <c r="C1273" s="110">
        <v>1.0544993237452427</v>
      </c>
      <c r="G1273" s="90">
        <v>1257</v>
      </c>
      <c r="H1273" s="100">
        <v>-5.6270504189173877E-2</v>
      </c>
      <c r="I1273" s="100">
        <v>-6.5062753759734276E-2</v>
      </c>
    </row>
    <row r="1274" spans="1:9">
      <c r="A1274" s="90">
        <v>1258</v>
      </c>
      <c r="B1274" s="110">
        <v>1.1001313538756716</v>
      </c>
      <c r="C1274" s="110">
        <v>1.0518740456825695</v>
      </c>
      <c r="G1274" s="90">
        <v>1258</v>
      </c>
      <c r="H1274" s="100">
        <v>-4.4856206580578852E-2</v>
      </c>
      <c r="I1274" s="100">
        <v>-6.5056934669417033E-2</v>
      </c>
    </row>
    <row r="1275" spans="1:9">
      <c r="A1275" s="90">
        <v>1259</v>
      </c>
      <c r="B1275" s="110">
        <v>1.1001605962842236</v>
      </c>
      <c r="C1275" s="110">
        <v>1.0521169938316186</v>
      </c>
      <c r="G1275" s="90">
        <v>1259</v>
      </c>
      <c r="H1275" s="100">
        <v>-4.4651846771270896E-2</v>
      </c>
      <c r="I1275" s="100">
        <v>-6.5056192994561252E-2</v>
      </c>
    </row>
    <row r="1276" spans="1:9">
      <c r="A1276" s="90">
        <v>1260</v>
      </c>
      <c r="B1276" s="110">
        <v>1.0997319053310459</v>
      </c>
      <c r="C1276" s="110">
        <v>1.0531850934489067</v>
      </c>
      <c r="G1276" s="90">
        <v>1260</v>
      </c>
      <c r="H1276" s="100">
        <v>-4.324743271361655E-2</v>
      </c>
      <c r="I1276" s="100">
        <v>-6.5049966432622328E-2</v>
      </c>
    </row>
    <row r="1277" spans="1:9">
      <c r="A1277" s="90">
        <v>1261</v>
      </c>
      <c r="B1277" s="110">
        <v>1.1016795999585913</v>
      </c>
      <c r="C1277" s="110">
        <v>1.0544740611383914</v>
      </c>
      <c r="G1277" s="90">
        <v>1261</v>
      </c>
      <c r="H1277" s="100">
        <v>-4.3793801939714536E-2</v>
      </c>
      <c r="I1277" s="100">
        <v>-6.5047822097613145E-2</v>
      </c>
    </row>
    <row r="1278" spans="1:9">
      <c r="A1278" s="90">
        <v>1262</v>
      </c>
      <c r="B1278" s="110">
        <v>1.1106800051466001</v>
      </c>
      <c r="C1278" s="110">
        <v>1.0536704392640972</v>
      </c>
      <c r="G1278" s="90">
        <v>1262</v>
      </c>
      <c r="H1278" s="100">
        <v>-5.2692719994340692E-2</v>
      </c>
      <c r="I1278" s="100">
        <v>-6.5046690735827514E-2</v>
      </c>
    </row>
    <row r="1279" spans="1:9">
      <c r="A1279" s="90">
        <v>1263</v>
      </c>
      <c r="B1279" s="110">
        <v>1.1124061644206249</v>
      </c>
      <c r="C1279" s="110">
        <v>1.0695267213408246</v>
      </c>
      <c r="G1279" s="90">
        <v>1263</v>
      </c>
      <c r="H1279" s="100">
        <v>-3.9309150793569732E-2</v>
      </c>
      <c r="I1279" s="100">
        <v>-6.5042384589770089E-2</v>
      </c>
    </row>
    <row r="1280" spans="1:9">
      <c r="A1280" s="90">
        <v>1264</v>
      </c>
      <c r="B1280" s="110">
        <v>1.1244988807524887</v>
      </c>
      <c r="C1280" s="110">
        <v>1.0406431365243543</v>
      </c>
      <c r="G1280" s="90">
        <v>1264</v>
      </c>
      <c r="H1280" s="100">
        <v>-7.7498574561023645E-2</v>
      </c>
      <c r="I1280" s="100">
        <v>-6.5038866539687643E-2</v>
      </c>
    </row>
    <row r="1281" spans="1:9">
      <c r="A1281" s="90">
        <v>1265</v>
      </c>
      <c r="B1281" s="110">
        <v>1.1315763054873458</v>
      </c>
      <c r="C1281" s="110">
        <v>1.0713670504071338</v>
      </c>
      <c r="G1281" s="90">
        <v>1265</v>
      </c>
      <c r="H1281" s="100">
        <v>-5.4676171060476453E-2</v>
      </c>
      <c r="I1281" s="100">
        <v>-6.5024186925859748E-2</v>
      </c>
    </row>
    <row r="1282" spans="1:9">
      <c r="A1282" s="90">
        <v>1266</v>
      </c>
      <c r="B1282" s="110">
        <v>1.0929040116000526</v>
      </c>
      <c r="C1282" s="110">
        <v>1.0596722103248106</v>
      </c>
      <c r="G1282" s="90">
        <v>1266</v>
      </c>
      <c r="H1282" s="100">
        <v>-3.0878759536780598E-2</v>
      </c>
      <c r="I1282" s="100">
        <v>-6.5016272314019699E-2</v>
      </c>
    </row>
    <row r="1283" spans="1:9">
      <c r="A1283" s="90">
        <v>1267</v>
      </c>
      <c r="B1283" s="110">
        <v>1.0923271972861632</v>
      </c>
      <c r="C1283" s="110">
        <v>1.0307287348031653</v>
      </c>
      <c r="G1283" s="90">
        <v>1267</v>
      </c>
      <c r="H1283" s="100">
        <v>-5.8044402064369158E-2</v>
      </c>
      <c r="I1283" s="100">
        <v>-6.5005262802107749E-2</v>
      </c>
    </row>
    <row r="1284" spans="1:9">
      <c r="A1284" s="90">
        <v>1268</v>
      </c>
      <c r="B1284" s="110">
        <v>1.0793673347163939</v>
      </c>
      <c r="C1284" s="110">
        <v>1.0764543231982373</v>
      </c>
      <c r="G1284" s="90">
        <v>1268</v>
      </c>
      <c r="H1284" s="100">
        <v>-2.7024622193079092E-3</v>
      </c>
      <c r="I1284" s="100">
        <v>-6.4970905346679667E-2</v>
      </c>
    </row>
    <row r="1285" spans="1:9">
      <c r="A1285" s="90">
        <v>1269</v>
      </c>
      <c r="B1285" s="110">
        <v>1.1297733520049138</v>
      </c>
      <c r="C1285" s="110">
        <v>1.0503389300516306</v>
      </c>
      <c r="G1285" s="90">
        <v>1269</v>
      </c>
      <c r="H1285" s="100">
        <v>-7.2904136550585308E-2</v>
      </c>
      <c r="I1285" s="100">
        <v>-6.4966277131164846E-2</v>
      </c>
    </row>
    <row r="1286" spans="1:9">
      <c r="A1286" s="90">
        <v>1270</v>
      </c>
      <c r="B1286" s="110">
        <v>1.093413676728213</v>
      </c>
      <c r="C1286" s="110">
        <v>1.046871136278466</v>
      </c>
      <c r="G1286" s="90">
        <v>1270</v>
      </c>
      <c r="H1286" s="100">
        <v>-4.3498770535049858E-2</v>
      </c>
      <c r="I1286" s="100">
        <v>-6.492881795995159E-2</v>
      </c>
    </row>
    <row r="1287" spans="1:9">
      <c r="A1287" s="90">
        <v>1271</v>
      </c>
      <c r="B1287" s="110">
        <v>1.1044262242706573</v>
      </c>
      <c r="C1287" s="110">
        <v>1.0676337573755563</v>
      </c>
      <c r="G1287" s="90">
        <v>1271</v>
      </c>
      <c r="H1287" s="100">
        <v>-3.3881188136409848E-2</v>
      </c>
      <c r="I1287" s="100">
        <v>-6.4906114857502598E-2</v>
      </c>
    </row>
    <row r="1288" spans="1:9">
      <c r="A1288" s="90">
        <v>1272</v>
      </c>
      <c r="B1288" s="110">
        <v>1.1123645760073477</v>
      </c>
      <c r="C1288" s="110">
        <v>1.0612065804619677</v>
      </c>
      <c r="G1288" s="90">
        <v>1272</v>
      </c>
      <c r="H1288" s="100">
        <v>-4.7081453991780188E-2</v>
      </c>
      <c r="I1288" s="100">
        <v>-6.4892238619781301E-2</v>
      </c>
    </row>
    <row r="1289" spans="1:9">
      <c r="A1289" s="90">
        <v>1273</v>
      </c>
      <c r="B1289" s="110">
        <v>1.1173976716341283</v>
      </c>
      <c r="C1289" s="110">
        <v>1.0533478086502899</v>
      </c>
      <c r="G1289" s="90">
        <v>1273</v>
      </c>
      <c r="H1289" s="100">
        <v>-5.9028993079596935E-2</v>
      </c>
      <c r="I1289" s="100">
        <v>-6.4891278952130024E-2</v>
      </c>
    </row>
    <row r="1290" spans="1:9">
      <c r="A1290" s="90">
        <v>1274</v>
      </c>
      <c r="B1290" s="110">
        <v>1.0980567055409367</v>
      </c>
      <c r="C1290" s="110">
        <v>1.0406180029074577</v>
      </c>
      <c r="G1290" s="90">
        <v>1274</v>
      </c>
      <c r="H1290" s="100">
        <v>-5.3727215913173573E-2</v>
      </c>
      <c r="I1290" s="100">
        <v>-6.4889851659995459E-2</v>
      </c>
    </row>
    <row r="1291" spans="1:9">
      <c r="A1291" s="90">
        <v>1275</v>
      </c>
      <c r="B1291" s="110">
        <v>1.1175289439554312</v>
      </c>
      <c r="C1291" s="110">
        <v>1.0623103184574436</v>
      </c>
      <c r="G1291" s="90">
        <v>1275</v>
      </c>
      <c r="H1291" s="100">
        <v>-5.0673865727024966E-2</v>
      </c>
      <c r="I1291" s="100">
        <v>-6.487774751143327E-2</v>
      </c>
    </row>
    <row r="1292" spans="1:9">
      <c r="A1292" s="90">
        <v>1276</v>
      </c>
      <c r="B1292" s="110">
        <v>1.1045209372822575</v>
      </c>
      <c r="C1292" s="110">
        <v>1.0380020992472034</v>
      </c>
      <c r="G1292" s="90">
        <v>1276</v>
      </c>
      <c r="H1292" s="100">
        <v>-6.2113892904844273E-2</v>
      </c>
      <c r="I1292" s="100">
        <v>-6.4867438987979906E-2</v>
      </c>
    </row>
    <row r="1293" spans="1:9">
      <c r="A1293" s="90">
        <v>1277</v>
      </c>
      <c r="B1293" s="110">
        <v>1.1369360837993672</v>
      </c>
      <c r="C1293" s="110">
        <v>1.0597182690710869</v>
      </c>
      <c r="G1293" s="90">
        <v>1277</v>
      </c>
      <c r="H1293" s="100">
        <v>-7.0333909510031434E-2</v>
      </c>
      <c r="I1293" s="100">
        <v>-6.4867396019104739E-2</v>
      </c>
    </row>
    <row r="1294" spans="1:9">
      <c r="A1294" s="90">
        <v>1278</v>
      </c>
      <c r="B1294" s="110">
        <v>1.1182268924718572</v>
      </c>
      <c r="C1294" s="110">
        <v>1.0562652249511486</v>
      </c>
      <c r="G1294" s="90">
        <v>1278</v>
      </c>
      <c r="H1294" s="100">
        <v>-5.7004985367949443E-2</v>
      </c>
      <c r="I1294" s="100">
        <v>-6.4864852033673759E-2</v>
      </c>
    </row>
    <row r="1295" spans="1:9">
      <c r="A1295" s="90">
        <v>1279</v>
      </c>
      <c r="B1295" s="110">
        <v>1.123259183300229</v>
      </c>
      <c r="C1295" s="110">
        <v>1.0272582398845596</v>
      </c>
      <c r="G1295" s="90">
        <v>1279</v>
      </c>
      <c r="H1295" s="100">
        <v>-8.9341094532691928E-2</v>
      </c>
      <c r="I1295" s="100">
        <v>-6.4855769427222487E-2</v>
      </c>
    </row>
    <row r="1296" spans="1:9">
      <c r="A1296" s="90">
        <v>1280</v>
      </c>
      <c r="B1296" s="110">
        <v>1.1126902635459264</v>
      </c>
      <c r="C1296" s="110">
        <v>1.0626666914867631</v>
      </c>
      <c r="G1296" s="90">
        <v>1280</v>
      </c>
      <c r="H1296" s="100">
        <v>-4.5999248231204701E-2</v>
      </c>
      <c r="I1296" s="100">
        <v>-6.4847441783452225E-2</v>
      </c>
    </row>
    <row r="1297" spans="1:9">
      <c r="A1297" s="90">
        <v>1281</v>
      </c>
      <c r="B1297" s="110">
        <v>1.1287469430624126</v>
      </c>
      <c r="C1297" s="110">
        <v>1.0468099133838755</v>
      </c>
      <c r="G1297" s="90">
        <v>1281</v>
      </c>
      <c r="H1297" s="100">
        <v>-7.5360755686548583E-2</v>
      </c>
      <c r="I1297" s="100">
        <v>-6.4833846563851841E-2</v>
      </c>
    </row>
    <row r="1298" spans="1:9">
      <c r="A1298" s="90">
        <v>1282</v>
      </c>
      <c r="B1298" s="110">
        <v>1.1106201084343668</v>
      </c>
      <c r="C1298" s="110">
        <v>1.0584094111490767</v>
      </c>
      <c r="G1298" s="90">
        <v>1282</v>
      </c>
      <c r="H1298" s="100">
        <v>-4.8151289937829224E-2</v>
      </c>
      <c r="I1298" s="100">
        <v>-6.4828272583422775E-2</v>
      </c>
    </row>
    <row r="1299" spans="1:9">
      <c r="A1299" s="90">
        <v>1283</v>
      </c>
      <c r="B1299" s="110">
        <v>1.1205539339836126</v>
      </c>
      <c r="C1299" s="110">
        <v>1.0619617844469176</v>
      </c>
      <c r="G1299" s="90">
        <v>1283</v>
      </c>
      <c r="H1299" s="100">
        <v>-5.3705209295602602E-2</v>
      </c>
      <c r="I1299" s="100">
        <v>-6.482188547418645E-2</v>
      </c>
    </row>
    <row r="1300" spans="1:9">
      <c r="A1300" s="90">
        <v>1284</v>
      </c>
      <c r="B1300" s="110">
        <v>1.0858878655956634</v>
      </c>
      <c r="C1300" s="110">
        <v>1.0507452368946193</v>
      </c>
      <c r="G1300" s="90">
        <v>1284</v>
      </c>
      <c r="H1300" s="100">
        <v>-3.2898299824794551E-2</v>
      </c>
      <c r="I1300" s="100">
        <v>-6.4808719533844247E-2</v>
      </c>
    </row>
    <row r="1301" spans="1:9">
      <c r="A1301" s="90">
        <v>1285</v>
      </c>
      <c r="B1301" s="110">
        <v>1.1038427600454432</v>
      </c>
      <c r="C1301" s="110">
        <v>1.0613104382395193</v>
      </c>
      <c r="G1301" s="90">
        <v>1285</v>
      </c>
      <c r="H1301" s="100">
        <v>-3.9293103145230636E-2</v>
      </c>
      <c r="I1301" s="100">
        <v>-6.4808595082648843E-2</v>
      </c>
    </row>
    <row r="1302" spans="1:9">
      <c r="A1302" s="90">
        <v>1286</v>
      </c>
      <c r="B1302" s="110">
        <v>1.0753654729851863</v>
      </c>
      <c r="C1302" s="110">
        <v>1.0657488305148406</v>
      </c>
      <c r="G1302" s="90">
        <v>1286</v>
      </c>
      <c r="H1302" s="100">
        <v>-8.9828993439847668E-3</v>
      </c>
      <c r="I1302" s="100">
        <v>-6.4793042455437405E-2</v>
      </c>
    </row>
    <row r="1303" spans="1:9">
      <c r="A1303" s="90">
        <v>1287</v>
      </c>
      <c r="B1303" s="110">
        <v>1.1173705638997353</v>
      </c>
      <c r="C1303" s="110">
        <v>1.0580754993756525</v>
      </c>
      <c r="G1303" s="90">
        <v>1287</v>
      </c>
      <c r="H1303" s="100">
        <v>-5.452652295069739E-2</v>
      </c>
      <c r="I1303" s="100">
        <v>-6.4770366962957487E-2</v>
      </c>
    </row>
    <row r="1304" spans="1:9">
      <c r="A1304" s="90">
        <v>1288</v>
      </c>
      <c r="B1304" s="110">
        <v>1.1169894780223997</v>
      </c>
      <c r="C1304" s="110">
        <v>1.0371475481872319</v>
      </c>
      <c r="G1304" s="90">
        <v>1288</v>
      </c>
      <c r="H1304" s="100">
        <v>-7.416289737138286E-2</v>
      </c>
      <c r="I1304" s="100">
        <v>-6.4769809160063904E-2</v>
      </c>
    </row>
    <row r="1305" spans="1:9">
      <c r="A1305" s="90">
        <v>1289</v>
      </c>
      <c r="B1305" s="110">
        <v>1.1312008640524476</v>
      </c>
      <c r="C1305" s="110">
        <v>1.0591009333025472</v>
      </c>
      <c r="G1305" s="90">
        <v>1289</v>
      </c>
      <c r="H1305" s="100">
        <v>-6.5859407907501943E-2</v>
      </c>
      <c r="I1305" s="100">
        <v>-6.4767172722024008E-2</v>
      </c>
    </row>
    <row r="1306" spans="1:9">
      <c r="A1306" s="90">
        <v>1290</v>
      </c>
      <c r="B1306" s="110">
        <v>1.0958487818167584</v>
      </c>
      <c r="C1306" s="110">
        <v>1.0477345402820197</v>
      </c>
      <c r="G1306" s="90">
        <v>1290</v>
      </c>
      <c r="H1306" s="100">
        <v>-4.4898953656719948E-2</v>
      </c>
      <c r="I1306" s="100">
        <v>-6.4766185722548594E-2</v>
      </c>
    </row>
    <row r="1307" spans="1:9">
      <c r="A1307" s="90">
        <v>1291</v>
      </c>
      <c r="B1307" s="110">
        <v>1.1255803586878297</v>
      </c>
      <c r="C1307" s="110">
        <v>1.040182920415947</v>
      </c>
      <c r="G1307" s="90">
        <v>1291</v>
      </c>
      <c r="H1307" s="100">
        <v>-7.8902194325458558E-2</v>
      </c>
      <c r="I1307" s="100">
        <v>-6.4747218789762168E-2</v>
      </c>
    </row>
    <row r="1308" spans="1:9">
      <c r="A1308" s="90">
        <v>1292</v>
      </c>
      <c r="B1308" s="110">
        <v>1.0989195491237775</v>
      </c>
      <c r="C1308" s="110">
        <v>1.051322491222151</v>
      </c>
      <c r="G1308" s="90">
        <v>1292</v>
      </c>
      <c r="H1308" s="100">
        <v>-4.4278581938023177E-2</v>
      </c>
      <c r="I1308" s="100">
        <v>-6.4689120713531598E-2</v>
      </c>
    </row>
    <row r="1309" spans="1:9">
      <c r="A1309" s="90">
        <v>1293</v>
      </c>
      <c r="B1309" s="110">
        <v>1.1144834665360448</v>
      </c>
      <c r="C1309" s="110">
        <v>1.0165390500570313</v>
      </c>
      <c r="G1309" s="90">
        <v>1293</v>
      </c>
      <c r="H1309" s="100">
        <v>-9.1987269324266943E-2</v>
      </c>
      <c r="I1309" s="100">
        <v>-6.4688595237176849E-2</v>
      </c>
    </row>
    <row r="1310" spans="1:9">
      <c r="A1310" s="90">
        <v>1294</v>
      </c>
      <c r="B1310" s="110">
        <v>1.1162481314130028</v>
      </c>
      <c r="C1310" s="110">
        <v>1.0423920610241952</v>
      </c>
      <c r="G1310" s="90">
        <v>1294</v>
      </c>
      <c r="H1310" s="100">
        <v>-6.8455048476632738E-2</v>
      </c>
      <c r="I1310" s="100">
        <v>-6.4673326230400632E-2</v>
      </c>
    </row>
    <row r="1311" spans="1:9">
      <c r="A1311" s="90">
        <v>1295</v>
      </c>
      <c r="B1311" s="110">
        <v>1.1215571030709841</v>
      </c>
      <c r="C1311" s="110">
        <v>1.051598265638847</v>
      </c>
      <c r="G1311" s="90">
        <v>1295</v>
      </c>
      <c r="H1311" s="100">
        <v>-6.4406825761863642E-2</v>
      </c>
      <c r="I1311" s="100">
        <v>-6.4639543789018372E-2</v>
      </c>
    </row>
    <row r="1312" spans="1:9">
      <c r="A1312" s="90">
        <v>1296</v>
      </c>
      <c r="B1312" s="110">
        <v>1.1315822105926496</v>
      </c>
      <c r="C1312" s="110">
        <v>1.0487222122574273</v>
      </c>
      <c r="G1312" s="90">
        <v>1296</v>
      </c>
      <c r="H1312" s="100">
        <v>-7.6044357353981296E-2</v>
      </c>
      <c r="I1312" s="100">
        <v>-6.4636316111095632E-2</v>
      </c>
    </row>
    <row r="1313" spans="1:9">
      <c r="A1313" s="90">
        <v>1297</v>
      </c>
      <c r="B1313" s="110">
        <v>1.1136124569645287</v>
      </c>
      <c r="C1313" s="110">
        <v>1.0519999265247653</v>
      </c>
      <c r="G1313" s="90">
        <v>1297</v>
      </c>
      <c r="H1313" s="100">
        <v>-5.6916152274279638E-2</v>
      </c>
      <c r="I1313" s="100">
        <v>-6.4605920284673657E-2</v>
      </c>
    </row>
    <row r="1314" spans="1:9">
      <c r="A1314" s="90">
        <v>1298</v>
      </c>
      <c r="B1314" s="110">
        <v>1.1326089361386746</v>
      </c>
      <c r="C1314" s="110">
        <v>1.0764091557545021</v>
      </c>
      <c r="G1314" s="90">
        <v>1298</v>
      </c>
      <c r="H1314" s="100">
        <v>-5.0893118862020394E-2</v>
      </c>
      <c r="I1314" s="100">
        <v>-6.4605578310977713E-2</v>
      </c>
    </row>
    <row r="1315" spans="1:9">
      <c r="A1315" s="90">
        <v>1299</v>
      </c>
      <c r="B1315" s="110">
        <v>1.1031675992636869</v>
      </c>
      <c r="C1315" s="110">
        <v>1.0468401842166235</v>
      </c>
      <c r="G1315" s="90">
        <v>1299</v>
      </c>
      <c r="H1315" s="100">
        <v>-5.2409398679602065E-2</v>
      </c>
      <c r="I1315" s="100">
        <v>-6.4603448787792464E-2</v>
      </c>
    </row>
    <row r="1316" spans="1:9">
      <c r="A1316" s="90">
        <v>1300</v>
      </c>
      <c r="B1316" s="110">
        <v>1.1171625651659598</v>
      </c>
      <c r="C1316" s="110">
        <v>1.0388619304651505</v>
      </c>
      <c r="G1316" s="90">
        <v>1300</v>
      </c>
      <c r="H1316" s="100">
        <v>-7.2666230456397113E-2</v>
      </c>
      <c r="I1316" s="100">
        <v>-6.4596817522443992E-2</v>
      </c>
    </row>
    <row r="1317" spans="1:9">
      <c r="A1317" s="90">
        <v>1301</v>
      </c>
      <c r="B1317" s="110">
        <v>1.1243962631744262</v>
      </c>
      <c r="C1317" s="110">
        <v>1.0593550174554549</v>
      </c>
      <c r="G1317" s="90">
        <v>1301</v>
      </c>
      <c r="H1317" s="100">
        <v>-5.9585987819651777E-2</v>
      </c>
      <c r="I1317" s="100">
        <v>-6.457644755111637E-2</v>
      </c>
    </row>
    <row r="1318" spans="1:9">
      <c r="A1318" s="90">
        <v>1302</v>
      </c>
      <c r="B1318" s="110">
        <v>1.1286270864337653</v>
      </c>
      <c r="C1318" s="110">
        <v>1.0546584666846575</v>
      </c>
      <c r="G1318" s="90">
        <v>1302</v>
      </c>
      <c r="H1318" s="100">
        <v>-6.7784940039087874E-2</v>
      </c>
      <c r="I1318" s="100">
        <v>-6.4569764690968215E-2</v>
      </c>
    </row>
    <row r="1319" spans="1:9">
      <c r="A1319" s="90">
        <v>1303</v>
      </c>
      <c r="B1319" s="110">
        <v>1.0740061369641531</v>
      </c>
      <c r="C1319" s="110">
        <v>1.0418693424884025</v>
      </c>
      <c r="G1319" s="90">
        <v>1303</v>
      </c>
      <c r="H1319" s="100">
        <v>-3.0379165806601102E-2</v>
      </c>
      <c r="I1319" s="100">
        <v>-6.4569279313040046E-2</v>
      </c>
    </row>
    <row r="1320" spans="1:9">
      <c r="A1320" s="90">
        <v>1304</v>
      </c>
      <c r="B1320" s="110">
        <v>1.1182966279881679</v>
      </c>
      <c r="C1320" s="110">
        <v>1.0427230487032175</v>
      </c>
      <c r="G1320" s="90">
        <v>1304</v>
      </c>
      <c r="H1320" s="100">
        <v>-6.9971052349609722E-2</v>
      </c>
      <c r="I1320" s="100">
        <v>-6.4558326060877497E-2</v>
      </c>
    </row>
    <row r="1321" spans="1:9">
      <c r="A1321" s="90">
        <v>1305</v>
      </c>
      <c r="B1321" s="110">
        <v>1.0990320193161056</v>
      </c>
      <c r="C1321" s="110">
        <v>1.0614328191083477</v>
      </c>
      <c r="G1321" s="90">
        <v>1305</v>
      </c>
      <c r="H1321" s="100">
        <v>-3.481009843449194E-2</v>
      </c>
      <c r="I1321" s="100">
        <v>-6.4557148178629842E-2</v>
      </c>
    </row>
    <row r="1322" spans="1:9">
      <c r="A1322" s="90">
        <v>1306</v>
      </c>
      <c r="B1322" s="110">
        <v>1.0886220004548921</v>
      </c>
      <c r="C1322" s="110">
        <v>1.0646460144862253</v>
      </c>
      <c r="G1322" s="90">
        <v>1306</v>
      </c>
      <c r="H1322" s="100">
        <v>-2.2270313528385384E-2</v>
      </c>
      <c r="I1322" s="100">
        <v>-6.4546755212640028E-2</v>
      </c>
    </row>
    <row r="1323" spans="1:9">
      <c r="A1323" s="90">
        <v>1307</v>
      </c>
      <c r="B1323" s="110">
        <v>1.1034888748911977</v>
      </c>
      <c r="C1323" s="110">
        <v>1.0593178300306947</v>
      </c>
      <c r="G1323" s="90">
        <v>1307</v>
      </c>
      <c r="H1323" s="100">
        <v>-4.0851720628821628E-2</v>
      </c>
      <c r="I1323" s="100">
        <v>-6.4512176054073903E-2</v>
      </c>
    </row>
    <row r="1324" spans="1:9">
      <c r="A1324" s="90">
        <v>1308</v>
      </c>
      <c r="B1324" s="110">
        <v>1.1155946117867341</v>
      </c>
      <c r="C1324" s="110">
        <v>1.0733220012919744</v>
      </c>
      <c r="G1324" s="90">
        <v>1308</v>
      </c>
      <c r="H1324" s="100">
        <v>-3.8629033850340735E-2</v>
      </c>
      <c r="I1324" s="100">
        <v>-6.4503123267348805E-2</v>
      </c>
    </row>
    <row r="1325" spans="1:9">
      <c r="A1325" s="90">
        <v>1309</v>
      </c>
      <c r="B1325" s="110">
        <v>1.1326488298054749</v>
      </c>
      <c r="C1325" s="110">
        <v>1.0604333384511078</v>
      </c>
      <c r="G1325" s="90">
        <v>1309</v>
      </c>
      <c r="H1325" s="100">
        <v>-6.5881352343837365E-2</v>
      </c>
      <c r="I1325" s="100">
        <v>-6.4473367269459347E-2</v>
      </c>
    </row>
    <row r="1326" spans="1:9">
      <c r="A1326" s="90">
        <v>1310</v>
      </c>
      <c r="B1326" s="110">
        <v>1.1340412939455018</v>
      </c>
      <c r="C1326" s="110">
        <v>1.0562470429432431</v>
      </c>
      <c r="G1326" s="90">
        <v>1310</v>
      </c>
      <c r="H1326" s="100">
        <v>-7.1065518951628201E-2</v>
      </c>
      <c r="I1326" s="100">
        <v>-6.4457596792634769E-2</v>
      </c>
    </row>
    <row r="1327" spans="1:9">
      <c r="A1327" s="90">
        <v>1311</v>
      </c>
      <c r="B1327" s="110">
        <v>1.1268049480344113</v>
      </c>
      <c r="C1327" s="110">
        <v>1.0517139471063162</v>
      </c>
      <c r="G1327" s="90">
        <v>1311</v>
      </c>
      <c r="H1327" s="100">
        <v>-6.8964984293956519E-2</v>
      </c>
      <c r="I1327" s="100">
        <v>-6.4438263872864568E-2</v>
      </c>
    </row>
    <row r="1328" spans="1:9">
      <c r="A1328" s="90">
        <v>1312</v>
      </c>
      <c r="B1328" s="110">
        <v>1.0983804386451488</v>
      </c>
      <c r="C1328" s="110">
        <v>1.0569213006937144</v>
      </c>
      <c r="G1328" s="90">
        <v>1312</v>
      </c>
      <c r="H1328" s="100">
        <v>-3.8476517594345623E-2</v>
      </c>
      <c r="I1328" s="100">
        <v>-6.4437636379929331E-2</v>
      </c>
    </row>
    <row r="1329" spans="1:9">
      <c r="A1329" s="90">
        <v>1313</v>
      </c>
      <c r="B1329" s="110">
        <v>1.1054297565422742</v>
      </c>
      <c r="C1329" s="110">
        <v>1.0569320778809079</v>
      </c>
      <c r="G1329" s="90">
        <v>1313</v>
      </c>
      <c r="H1329" s="100">
        <v>-4.4863733821224619E-2</v>
      </c>
      <c r="I1329" s="100">
        <v>-6.4432753602518461E-2</v>
      </c>
    </row>
    <row r="1330" spans="1:9">
      <c r="A1330" s="90">
        <v>1314</v>
      </c>
      <c r="B1330" s="110">
        <v>1.1196409394502085</v>
      </c>
      <c r="C1330" s="110">
        <v>1.0545258596640048</v>
      </c>
      <c r="G1330" s="90">
        <v>1314</v>
      </c>
      <c r="H1330" s="100">
        <v>-5.9916800342301318E-2</v>
      </c>
      <c r="I1330" s="100">
        <v>-6.4406825761863642E-2</v>
      </c>
    </row>
    <row r="1331" spans="1:9">
      <c r="A1331" s="90">
        <v>1315</v>
      </c>
      <c r="B1331" s="110">
        <v>1.10469820743559</v>
      </c>
      <c r="C1331" s="110">
        <v>1.0229404009617336</v>
      </c>
      <c r="G1331" s="90">
        <v>1315</v>
      </c>
      <c r="H1331" s="100">
        <v>-7.6890956031072419E-2</v>
      </c>
      <c r="I1331" s="100">
        <v>-6.4404378059277789E-2</v>
      </c>
    </row>
    <row r="1332" spans="1:9">
      <c r="A1332" s="90">
        <v>1316</v>
      </c>
      <c r="B1332" s="110">
        <v>1.1055364122661504</v>
      </c>
      <c r="C1332" s="110">
        <v>1.0532761007138802</v>
      </c>
      <c r="G1332" s="90">
        <v>1316</v>
      </c>
      <c r="H1332" s="100">
        <v>-4.8425255456990265E-2</v>
      </c>
      <c r="I1332" s="100">
        <v>-6.4397774498536675E-2</v>
      </c>
    </row>
    <row r="1333" spans="1:9">
      <c r="A1333" s="90">
        <v>1317</v>
      </c>
      <c r="B1333" s="110">
        <v>1.1057733586775995</v>
      </c>
      <c r="C1333" s="110">
        <v>1.0539128412110177</v>
      </c>
      <c r="G1333" s="90">
        <v>1317</v>
      </c>
      <c r="H1333" s="100">
        <v>-4.803520892816248E-2</v>
      </c>
      <c r="I1333" s="100">
        <v>-6.437824220666527E-2</v>
      </c>
    </row>
    <row r="1334" spans="1:9">
      <c r="A1334" s="90">
        <v>1318</v>
      </c>
      <c r="B1334" s="110">
        <v>1.1174190952967464</v>
      </c>
      <c r="C1334" s="110">
        <v>1.0647401136014325</v>
      </c>
      <c r="G1334" s="90">
        <v>1318</v>
      </c>
      <c r="H1334" s="100">
        <v>-4.8290902344875222E-2</v>
      </c>
      <c r="I1334" s="100">
        <v>-6.4355434768360864E-2</v>
      </c>
    </row>
    <row r="1335" spans="1:9">
      <c r="A1335" s="90">
        <v>1319</v>
      </c>
      <c r="B1335" s="110">
        <v>1.1141066796260937</v>
      </c>
      <c r="C1335" s="110">
        <v>1.0382039779668104</v>
      </c>
      <c r="G1335" s="90">
        <v>1319</v>
      </c>
      <c r="H1335" s="100">
        <v>-7.0560623597301655E-2</v>
      </c>
      <c r="I1335" s="100">
        <v>-6.4346905919560091E-2</v>
      </c>
    </row>
    <row r="1336" spans="1:9">
      <c r="A1336" s="90">
        <v>1320</v>
      </c>
      <c r="B1336" s="110">
        <v>1.1306346017936448</v>
      </c>
      <c r="C1336" s="110">
        <v>1.0746853618888825</v>
      </c>
      <c r="G1336" s="90">
        <v>1320</v>
      </c>
      <c r="H1336" s="100">
        <v>-5.0751137473172968E-2</v>
      </c>
      <c r="I1336" s="100">
        <v>-6.4342085155911805E-2</v>
      </c>
    </row>
    <row r="1337" spans="1:9">
      <c r="A1337" s="90">
        <v>1321</v>
      </c>
      <c r="B1337" s="110">
        <v>1.1355987746658274</v>
      </c>
      <c r="C1337" s="110">
        <v>1.0553431140507297</v>
      </c>
      <c r="G1337" s="90">
        <v>1321</v>
      </c>
      <c r="H1337" s="100">
        <v>-7.3294125955228023E-2</v>
      </c>
      <c r="I1337" s="100">
        <v>-6.433331329678775E-2</v>
      </c>
    </row>
    <row r="1338" spans="1:9">
      <c r="A1338" s="90">
        <v>1322</v>
      </c>
      <c r="B1338" s="110">
        <v>1.0986648935894623</v>
      </c>
      <c r="C1338" s="110">
        <v>1.0481925257431051</v>
      </c>
      <c r="G1338" s="90">
        <v>1322</v>
      </c>
      <c r="H1338" s="100">
        <v>-4.7028432736487776E-2</v>
      </c>
      <c r="I1338" s="100">
        <v>-6.4310084629635209E-2</v>
      </c>
    </row>
    <row r="1339" spans="1:9">
      <c r="A1339" s="90">
        <v>1323</v>
      </c>
      <c r="B1339" s="110">
        <v>1.1022811569530042</v>
      </c>
      <c r="C1339" s="110">
        <v>1.0443970360723649</v>
      </c>
      <c r="G1339" s="90">
        <v>1323</v>
      </c>
      <c r="H1339" s="100">
        <v>-5.3942091625935308E-2</v>
      </c>
      <c r="I1339" s="100">
        <v>-6.4289729233597243E-2</v>
      </c>
    </row>
    <row r="1340" spans="1:9">
      <c r="A1340" s="90">
        <v>1324</v>
      </c>
      <c r="B1340" s="110">
        <v>1.1104248664157044</v>
      </c>
      <c r="C1340" s="110">
        <v>1.0542657340272006</v>
      </c>
      <c r="G1340" s="90">
        <v>1324</v>
      </c>
      <c r="H1340" s="100">
        <v>-5.1898166713249115E-2</v>
      </c>
      <c r="I1340" s="100">
        <v>-6.4274548998441927E-2</v>
      </c>
    </row>
    <row r="1341" spans="1:9">
      <c r="A1341" s="90">
        <v>1325</v>
      </c>
      <c r="B1341" s="110">
        <v>1.1123390229138574</v>
      </c>
      <c r="C1341" s="110">
        <v>1.0127044198712394</v>
      </c>
      <c r="G1341" s="90">
        <v>1325</v>
      </c>
      <c r="H1341" s="100">
        <v>-9.3840630294628094E-2</v>
      </c>
      <c r="I1341" s="100">
        <v>-6.4274495059951225E-2</v>
      </c>
    </row>
    <row r="1342" spans="1:9">
      <c r="A1342" s="90">
        <v>1326</v>
      </c>
      <c r="B1342" s="110">
        <v>1.1208195819935716</v>
      </c>
      <c r="C1342" s="110">
        <v>1.0544187421353353</v>
      </c>
      <c r="G1342" s="90">
        <v>1326</v>
      </c>
      <c r="H1342" s="100">
        <v>-6.1070527556847325E-2</v>
      </c>
      <c r="I1342" s="100">
        <v>-6.4261779347514231E-2</v>
      </c>
    </row>
    <row r="1343" spans="1:9">
      <c r="A1343" s="90">
        <v>1327</v>
      </c>
      <c r="B1343" s="110">
        <v>1.0750724271778942</v>
      </c>
      <c r="C1343" s="110">
        <v>1.0732740407660573</v>
      </c>
      <c r="G1343" s="90">
        <v>1327</v>
      </c>
      <c r="H1343" s="100">
        <v>-1.6742055890321718E-3</v>
      </c>
      <c r="I1343" s="100">
        <v>-6.4260219748824482E-2</v>
      </c>
    </row>
    <row r="1344" spans="1:9">
      <c r="A1344" s="90">
        <v>1328</v>
      </c>
      <c r="B1344" s="110">
        <v>1.1283148591088212</v>
      </c>
      <c r="C1344" s="110">
        <v>1.051040522521429</v>
      </c>
      <c r="G1344" s="90">
        <v>1328</v>
      </c>
      <c r="H1344" s="100">
        <v>-7.0944597232896173E-2</v>
      </c>
      <c r="I1344" s="100">
        <v>-6.4251180623605256E-2</v>
      </c>
    </row>
    <row r="1345" spans="1:9">
      <c r="A1345" s="90">
        <v>1329</v>
      </c>
      <c r="B1345" s="110">
        <v>1.1228129772453104</v>
      </c>
      <c r="C1345" s="110">
        <v>1.0322684541221445</v>
      </c>
      <c r="G1345" s="90">
        <v>1329</v>
      </c>
      <c r="H1345" s="100">
        <v>-8.4078360175382866E-2</v>
      </c>
      <c r="I1345" s="100">
        <v>-6.4244789730340188E-2</v>
      </c>
    </row>
    <row r="1346" spans="1:9">
      <c r="A1346" s="90">
        <v>1330</v>
      </c>
      <c r="B1346" s="110">
        <v>1.1387040093913841</v>
      </c>
      <c r="C1346" s="110">
        <v>1.0592827942864365</v>
      </c>
      <c r="G1346" s="90">
        <v>1330</v>
      </c>
      <c r="H1346" s="100">
        <v>-7.2298711896460227E-2</v>
      </c>
      <c r="I1346" s="100">
        <v>-6.4226990802364742E-2</v>
      </c>
    </row>
    <row r="1347" spans="1:9">
      <c r="A1347" s="90">
        <v>1331</v>
      </c>
      <c r="B1347" s="110">
        <v>1.1010739498630322</v>
      </c>
      <c r="C1347" s="110">
        <v>1.0457129740173354</v>
      </c>
      <c r="G1347" s="90">
        <v>1331</v>
      </c>
      <c r="H1347" s="100">
        <v>-5.1587097011020142E-2</v>
      </c>
      <c r="I1347" s="100">
        <v>-6.4204292187317435E-2</v>
      </c>
    </row>
    <row r="1348" spans="1:9">
      <c r="A1348" s="90">
        <v>1332</v>
      </c>
      <c r="B1348" s="110">
        <v>1.1299812592813896</v>
      </c>
      <c r="C1348" s="110">
        <v>1.0666744262938428</v>
      </c>
      <c r="G1348" s="90">
        <v>1332</v>
      </c>
      <c r="H1348" s="100">
        <v>-5.7655252118397948E-2</v>
      </c>
      <c r="I1348" s="100">
        <v>-6.4174443952168397E-2</v>
      </c>
    </row>
    <row r="1349" spans="1:9">
      <c r="A1349" s="90">
        <v>1333</v>
      </c>
      <c r="B1349" s="110">
        <v>1.1459084116992191</v>
      </c>
      <c r="C1349" s="110">
        <v>1.0601403018727109</v>
      </c>
      <c r="G1349" s="90">
        <v>1333</v>
      </c>
      <c r="H1349" s="100">
        <v>-7.7796435493142135E-2</v>
      </c>
      <c r="I1349" s="100">
        <v>-6.4152127839265619E-2</v>
      </c>
    </row>
    <row r="1350" spans="1:9">
      <c r="A1350" s="90">
        <v>1334</v>
      </c>
      <c r="B1350" s="110">
        <v>1.115474683214196</v>
      </c>
      <c r="C1350" s="110">
        <v>1.0357131003146176</v>
      </c>
      <c r="G1350" s="90">
        <v>1334</v>
      </c>
      <c r="H1350" s="100">
        <v>-7.4189863885950683E-2</v>
      </c>
      <c r="I1350" s="100">
        <v>-6.4097372624940946E-2</v>
      </c>
    </row>
    <row r="1351" spans="1:9">
      <c r="A1351" s="90">
        <v>1335</v>
      </c>
      <c r="B1351" s="110">
        <v>1.1113656254519533</v>
      </c>
      <c r="C1351" s="110">
        <v>1.0692486206524758</v>
      </c>
      <c r="G1351" s="90">
        <v>1335</v>
      </c>
      <c r="H1351" s="100">
        <v>-3.8633374223684458E-2</v>
      </c>
      <c r="I1351" s="100">
        <v>-6.4040414850763561E-2</v>
      </c>
    </row>
    <row r="1352" spans="1:9">
      <c r="A1352" s="90">
        <v>1336</v>
      </c>
      <c r="B1352" s="110">
        <v>1.1163470721352391</v>
      </c>
      <c r="C1352" s="110">
        <v>1.0620565479974557</v>
      </c>
      <c r="G1352" s="90">
        <v>1336</v>
      </c>
      <c r="H1352" s="100">
        <v>-4.9854644042545318E-2</v>
      </c>
      <c r="I1352" s="100">
        <v>-6.4020793777128437E-2</v>
      </c>
    </row>
    <row r="1353" spans="1:9">
      <c r="A1353" s="90">
        <v>1337</v>
      </c>
      <c r="B1353" s="110">
        <v>1.1178470635040421</v>
      </c>
      <c r="C1353" s="110">
        <v>1.0616456205888076</v>
      </c>
      <c r="G1353" s="90">
        <v>1337</v>
      </c>
      <c r="H1353" s="100">
        <v>-5.1584394118243657E-2</v>
      </c>
      <c r="I1353" s="100">
        <v>-6.4014920671184028E-2</v>
      </c>
    </row>
    <row r="1354" spans="1:9">
      <c r="A1354" s="90">
        <v>1338</v>
      </c>
      <c r="B1354" s="110">
        <v>1.106563769485162</v>
      </c>
      <c r="C1354" s="110">
        <v>1.0550607253774333</v>
      </c>
      <c r="G1354" s="90">
        <v>1338</v>
      </c>
      <c r="H1354" s="100">
        <v>-4.7661185685556683E-2</v>
      </c>
      <c r="I1354" s="100">
        <v>-6.4005228623707486E-2</v>
      </c>
    </row>
    <row r="1355" spans="1:9">
      <c r="A1355" s="90">
        <v>1339</v>
      </c>
      <c r="B1355" s="110">
        <v>1.1111503131886968</v>
      </c>
      <c r="C1355" s="110">
        <v>1.049333691354396</v>
      </c>
      <c r="G1355" s="90">
        <v>1339</v>
      </c>
      <c r="H1355" s="100">
        <v>-5.7240413829205375E-2</v>
      </c>
      <c r="I1355" s="100">
        <v>-6.3994610892808751E-2</v>
      </c>
    </row>
    <row r="1356" spans="1:9">
      <c r="A1356" s="90">
        <v>1340</v>
      </c>
      <c r="B1356" s="110">
        <v>1.1370909211667803</v>
      </c>
      <c r="C1356" s="110">
        <v>1.0551237276948027</v>
      </c>
      <c r="G1356" s="90">
        <v>1340</v>
      </c>
      <c r="H1356" s="100">
        <v>-7.4815139929793342E-2</v>
      </c>
      <c r="I1356" s="100">
        <v>-6.3952052916161878E-2</v>
      </c>
    </row>
    <row r="1357" spans="1:9">
      <c r="A1357" s="90">
        <v>1341</v>
      </c>
      <c r="B1357" s="110">
        <v>1.0954438429130162</v>
      </c>
      <c r="C1357" s="110">
        <v>1.0569231107584407</v>
      </c>
      <c r="G1357" s="90">
        <v>1341</v>
      </c>
      <c r="H1357" s="100">
        <v>-3.5797655789897402E-2</v>
      </c>
      <c r="I1357" s="100">
        <v>-6.3931787492378281E-2</v>
      </c>
    </row>
    <row r="1358" spans="1:9">
      <c r="A1358" s="90">
        <v>1342</v>
      </c>
      <c r="B1358" s="110">
        <v>1.1092616033592435</v>
      </c>
      <c r="C1358" s="110">
        <v>1.0401461774015406</v>
      </c>
      <c r="G1358" s="90">
        <v>1342</v>
      </c>
      <c r="H1358" s="100">
        <v>-6.433331329678775E-2</v>
      </c>
      <c r="I1358" s="100">
        <v>-6.3926613614527866E-2</v>
      </c>
    </row>
    <row r="1359" spans="1:9">
      <c r="A1359" s="90">
        <v>1343</v>
      </c>
      <c r="B1359" s="110">
        <v>1.1348138279329694</v>
      </c>
      <c r="C1359" s="110">
        <v>1.0430610574306554</v>
      </c>
      <c r="G1359" s="90">
        <v>1343</v>
      </c>
      <c r="H1359" s="100">
        <v>-8.4308894719175229E-2</v>
      </c>
      <c r="I1359" s="100">
        <v>-6.3925144692701844E-2</v>
      </c>
    </row>
    <row r="1360" spans="1:9">
      <c r="A1360" s="90">
        <v>1344</v>
      </c>
      <c r="B1360" s="110">
        <v>1.0971160614759203</v>
      </c>
      <c r="C1360" s="110">
        <v>1.0471469099947104</v>
      </c>
      <c r="G1360" s="90">
        <v>1344</v>
      </c>
      <c r="H1360" s="100">
        <v>-4.6615737445751294E-2</v>
      </c>
      <c r="I1360" s="100">
        <v>-6.3904548758963536E-2</v>
      </c>
    </row>
    <row r="1361" spans="1:9">
      <c r="A1361" s="90">
        <v>1345</v>
      </c>
      <c r="B1361" s="110">
        <v>1.092991806953316</v>
      </c>
      <c r="C1361" s="110">
        <v>1.030276896575935</v>
      </c>
      <c r="G1361" s="90">
        <v>1345</v>
      </c>
      <c r="H1361" s="100">
        <v>-5.9091115500785198E-2</v>
      </c>
      <c r="I1361" s="100">
        <v>-6.390281200687134E-2</v>
      </c>
    </row>
    <row r="1362" spans="1:9">
      <c r="A1362" s="90">
        <v>1346</v>
      </c>
      <c r="B1362" s="110">
        <v>1.0980549990527193</v>
      </c>
      <c r="C1362" s="110">
        <v>1.0705045347829056</v>
      </c>
      <c r="G1362" s="90">
        <v>1346</v>
      </c>
      <c r="H1362" s="100">
        <v>-2.5410366870823903E-2</v>
      </c>
      <c r="I1362" s="100">
        <v>-6.3889270466058593E-2</v>
      </c>
    </row>
    <row r="1363" spans="1:9">
      <c r="A1363" s="90">
        <v>1347</v>
      </c>
      <c r="B1363" s="110">
        <v>1.1133125571338451</v>
      </c>
      <c r="C1363" s="110">
        <v>1.0598997399725933</v>
      </c>
      <c r="G1363" s="90">
        <v>1347</v>
      </c>
      <c r="H1363" s="100">
        <v>-4.9165538170327226E-2</v>
      </c>
      <c r="I1363" s="100">
        <v>-6.3888452360463518E-2</v>
      </c>
    </row>
    <row r="1364" spans="1:9">
      <c r="A1364" s="90">
        <v>1348</v>
      </c>
      <c r="B1364" s="110">
        <v>1.0899962053769221</v>
      </c>
      <c r="C1364" s="110">
        <v>1.0466150184511438</v>
      </c>
      <c r="G1364" s="90">
        <v>1348</v>
      </c>
      <c r="H1364" s="100">
        <v>-4.0613050323733461E-2</v>
      </c>
      <c r="I1364" s="100">
        <v>-6.3858288598055479E-2</v>
      </c>
    </row>
    <row r="1365" spans="1:9">
      <c r="A1365" s="90">
        <v>1349</v>
      </c>
      <c r="B1365" s="110">
        <v>1.1044776224949933</v>
      </c>
      <c r="C1365" s="110">
        <v>1.0420027033667454</v>
      </c>
      <c r="G1365" s="90">
        <v>1349</v>
      </c>
      <c r="H1365" s="100">
        <v>-5.8227945639804622E-2</v>
      </c>
      <c r="I1365" s="100">
        <v>-6.3846158620182128E-2</v>
      </c>
    </row>
    <row r="1366" spans="1:9">
      <c r="A1366" s="90">
        <v>1350</v>
      </c>
      <c r="B1366" s="110">
        <v>1.093643228292569</v>
      </c>
      <c r="C1366" s="110">
        <v>1.0309332887928437</v>
      </c>
      <c r="G1366" s="90">
        <v>1350</v>
      </c>
      <c r="H1366" s="100">
        <v>-5.9050036477991473E-2</v>
      </c>
      <c r="I1366" s="100">
        <v>-6.3845860496913265E-2</v>
      </c>
    </row>
    <row r="1367" spans="1:9">
      <c r="A1367" s="90">
        <v>1351</v>
      </c>
      <c r="B1367" s="110">
        <v>1.1043437017517925</v>
      </c>
      <c r="C1367" s="110">
        <v>1.034161916189019</v>
      </c>
      <c r="G1367" s="90">
        <v>1351</v>
      </c>
      <c r="H1367" s="100">
        <v>-6.5659867568170577E-2</v>
      </c>
      <c r="I1367" s="100">
        <v>-6.3842317274726945E-2</v>
      </c>
    </row>
    <row r="1368" spans="1:9">
      <c r="A1368" s="90">
        <v>1352</v>
      </c>
      <c r="B1368" s="110">
        <v>1.1083906887107038</v>
      </c>
      <c r="C1368" s="110">
        <v>1.0510727766252754</v>
      </c>
      <c r="G1368" s="90">
        <v>1352</v>
      </c>
      <c r="H1368" s="100">
        <v>-5.3097798691993603E-2</v>
      </c>
      <c r="I1368" s="100">
        <v>-6.3823982672069055E-2</v>
      </c>
    </row>
    <row r="1369" spans="1:9">
      <c r="A1369" s="90">
        <v>1353</v>
      </c>
      <c r="B1369" s="110">
        <v>1.1441949332385497</v>
      </c>
      <c r="C1369" s="110">
        <v>1.0606711699776341</v>
      </c>
      <c r="G1369" s="90">
        <v>1353</v>
      </c>
      <c r="H1369" s="100">
        <v>-7.5799387654597136E-2</v>
      </c>
      <c r="I1369" s="100">
        <v>-6.3811101550381999E-2</v>
      </c>
    </row>
    <row r="1370" spans="1:9">
      <c r="A1370" s="90">
        <v>1354</v>
      </c>
      <c r="B1370" s="110">
        <v>1.1235128857059624</v>
      </c>
      <c r="C1370" s="110">
        <v>1.0771947799443231</v>
      </c>
      <c r="G1370" s="90">
        <v>1354</v>
      </c>
      <c r="H1370" s="100">
        <v>-4.2100045835559465E-2</v>
      </c>
      <c r="I1370" s="100">
        <v>-6.3762381058176471E-2</v>
      </c>
    </row>
    <row r="1371" spans="1:9">
      <c r="A1371" s="90">
        <v>1355</v>
      </c>
      <c r="B1371" s="110">
        <v>1.090553007432439</v>
      </c>
      <c r="C1371" s="110">
        <v>1.0693240867130218</v>
      </c>
      <c r="G1371" s="90">
        <v>1355</v>
      </c>
      <c r="H1371" s="100">
        <v>-1.9658159642788671E-2</v>
      </c>
      <c r="I1371" s="100">
        <v>-6.3754511259036792E-2</v>
      </c>
    </row>
    <row r="1372" spans="1:9">
      <c r="A1372" s="90">
        <v>1356</v>
      </c>
      <c r="B1372" s="110">
        <v>1.1032746226370456</v>
      </c>
      <c r="C1372" s="110">
        <v>1.0401294040859619</v>
      </c>
      <c r="G1372" s="90">
        <v>1356</v>
      </c>
      <c r="H1372" s="100">
        <v>-5.8937554774992088E-2</v>
      </c>
      <c r="I1372" s="100">
        <v>-6.3741450757073659E-2</v>
      </c>
    </row>
    <row r="1373" spans="1:9">
      <c r="A1373" s="90">
        <v>1357</v>
      </c>
      <c r="B1373" s="110">
        <v>1.112715601582243</v>
      </c>
      <c r="C1373" s="110">
        <v>1.0426726194008069</v>
      </c>
      <c r="G1373" s="90">
        <v>1357</v>
      </c>
      <c r="H1373" s="100">
        <v>-6.5016272314019699E-2</v>
      </c>
      <c r="I1373" s="100">
        <v>-6.3737724218645236E-2</v>
      </c>
    </row>
    <row r="1374" spans="1:9">
      <c r="A1374" s="90">
        <v>1358</v>
      </c>
      <c r="B1374" s="110">
        <v>1.0791272654095128</v>
      </c>
      <c r="C1374" s="110">
        <v>1.042804725810607</v>
      </c>
      <c r="G1374" s="90">
        <v>1358</v>
      </c>
      <c r="H1374" s="100">
        <v>-3.4238691959097005E-2</v>
      </c>
      <c r="I1374" s="100">
        <v>-6.3711372871740196E-2</v>
      </c>
    </row>
    <row r="1375" spans="1:9">
      <c r="A1375" s="90">
        <v>1359</v>
      </c>
      <c r="B1375" s="110">
        <v>1.0997137477170253</v>
      </c>
      <c r="C1375" s="110">
        <v>1.0659637246025488</v>
      </c>
      <c r="G1375" s="90">
        <v>1359</v>
      </c>
      <c r="H1375" s="100">
        <v>-3.1170620879515037E-2</v>
      </c>
      <c r="I1375" s="100">
        <v>-6.3710108599016574E-2</v>
      </c>
    </row>
    <row r="1376" spans="1:9">
      <c r="A1376" s="90">
        <v>1360</v>
      </c>
      <c r="B1376" s="110">
        <v>1.0974826094539736</v>
      </c>
      <c r="C1376" s="110">
        <v>1.0515537915338862</v>
      </c>
      <c r="G1376" s="90">
        <v>1360</v>
      </c>
      <c r="H1376" s="100">
        <v>-4.2750148438563125E-2</v>
      </c>
      <c r="I1376" s="100">
        <v>-6.3707211951614648E-2</v>
      </c>
    </row>
    <row r="1377" spans="1:9">
      <c r="A1377" s="90">
        <v>1361</v>
      </c>
      <c r="B1377" s="110">
        <v>1.1014822259366541</v>
      </c>
      <c r="C1377" s="110">
        <v>1.0337842466839324</v>
      </c>
      <c r="G1377" s="90">
        <v>1361</v>
      </c>
      <c r="H1377" s="100">
        <v>-6.3430655493709451E-2</v>
      </c>
      <c r="I1377" s="100">
        <v>-6.3698560489540215E-2</v>
      </c>
    </row>
    <row r="1378" spans="1:9">
      <c r="A1378" s="90">
        <v>1362</v>
      </c>
      <c r="B1378" s="110">
        <v>1.1322523919462515</v>
      </c>
      <c r="C1378" s="110">
        <v>1.0393620547311735</v>
      </c>
      <c r="G1378" s="90">
        <v>1362</v>
      </c>
      <c r="H1378" s="100">
        <v>-8.5601799983393984E-2</v>
      </c>
      <c r="I1378" s="100">
        <v>-6.3671558997945299E-2</v>
      </c>
    </row>
    <row r="1379" spans="1:9">
      <c r="A1379" s="90">
        <v>1363</v>
      </c>
      <c r="B1379" s="110">
        <v>1.1377594534569586</v>
      </c>
      <c r="C1379" s="110">
        <v>1.0456139021438484</v>
      </c>
      <c r="G1379" s="90">
        <v>1363</v>
      </c>
      <c r="H1379" s="100">
        <v>-8.4456757692914927E-2</v>
      </c>
      <c r="I1379" s="100">
        <v>-6.366972771026666E-2</v>
      </c>
    </row>
    <row r="1380" spans="1:9">
      <c r="A1380" s="90">
        <v>1364</v>
      </c>
      <c r="B1380" s="110">
        <v>1.1215591276001127</v>
      </c>
      <c r="C1380" s="110">
        <v>1.0531170278854785</v>
      </c>
      <c r="G1380" s="90">
        <v>1364</v>
      </c>
      <c r="H1380" s="100">
        <v>-6.2965430909241171E-2</v>
      </c>
      <c r="I1380" s="100">
        <v>-6.3663422615816145E-2</v>
      </c>
    </row>
    <row r="1381" spans="1:9">
      <c r="A1381" s="90">
        <v>1365</v>
      </c>
      <c r="B1381" s="110">
        <v>1.1230726982186821</v>
      </c>
      <c r="C1381" s="110">
        <v>1.0708821709759837</v>
      </c>
      <c r="G1381" s="90">
        <v>1365</v>
      </c>
      <c r="H1381" s="100">
        <v>-4.7585641735240589E-2</v>
      </c>
      <c r="I1381" s="100">
        <v>-6.3654139065564913E-2</v>
      </c>
    </row>
    <row r="1382" spans="1:9">
      <c r="A1382" s="90">
        <v>1366</v>
      </c>
      <c r="B1382" s="110">
        <v>1.0888132359514751</v>
      </c>
      <c r="C1382" s="110">
        <v>1.050213361508362</v>
      </c>
      <c r="G1382" s="90">
        <v>1366</v>
      </c>
      <c r="H1382" s="100">
        <v>-3.6094983775882709E-2</v>
      </c>
      <c r="I1382" s="100">
        <v>-6.3648281796428549E-2</v>
      </c>
    </row>
    <row r="1383" spans="1:9">
      <c r="A1383" s="90">
        <v>1367</v>
      </c>
      <c r="B1383" s="110">
        <v>1.1023540698355248</v>
      </c>
      <c r="C1383" s="110">
        <v>1.0745886083216976</v>
      </c>
      <c r="G1383" s="90">
        <v>1367</v>
      </c>
      <c r="H1383" s="100">
        <v>-2.5510058215297136E-2</v>
      </c>
      <c r="I1383" s="100">
        <v>-6.3643498519084171E-2</v>
      </c>
    </row>
    <row r="1384" spans="1:9">
      <c r="A1384" s="90">
        <v>1368</v>
      </c>
      <c r="B1384" s="110">
        <v>1.0795839950673183</v>
      </c>
      <c r="C1384" s="110">
        <v>1.0622632086301893</v>
      </c>
      <c r="G1384" s="90">
        <v>1368</v>
      </c>
      <c r="H1384" s="100">
        <v>-1.6174042665815642E-2</v>
      </c>
      <c r="I1384" s="100">
        <v>-6.3642779718047882E-2</v>
      </c>
    </row>
    <row r="1385" spans="1:9">
      <c r="A1385" s="90">
        <v>1369</v>
      </c>
      <c r="B1385" s="110">
        <v>1.111824791808061</v>
      </c>
      <c r="C1385" s="110">
        <v>1.0464452674365743</v>
      </c>
      <c r="G1385" s="90">
        <v>1369</v>
      </c>
      <c r="H1385" s="100">
        <v>-6.0603661140590008E-2</v>
      </c>
      <c r="I1385" s="100">
        <v>-6.3627521459500236E-2</v>
      </c>
    </row>
    <row r="1386" spans="1:9">
      <c r="A1386" s="90">
        <v>1370</v>
      </c>
      <c r="B1386" s="110">
        <v>1.0883024480369166</v>
      </c>
      <c r="C1386" s="110">
        <v>1.0405230496449733</v>
      </c>
      <c r="G1386" s="90">
        <v>1370</v>
      </c>
      <c r="H1386" s="100">
        <v>-4.4895576054906496E-2</v>
      </c>
      <c r="I1386" s="100">
        <v>-6.3617764445946898E-2</v>
      </c>
    </row>
    <row r="1387" spans="1:9">
      <c r="A1387" s="90">
        <v>1371</v>
      </c>
      <c r="B1387" s="110">
        <v>1.1197123849009638</v>
      </c>
      <c r="C1387" s="110">
        <v>1.0513165493047183</v>
      </c>
      <c r="G1387" s="90">
        <v>1371</v>
      </c>
      <c r="H1387" s="100">
        <v>-6.3028617904327983E-2</v>
      </c>
      <c r="I1387" s="100">
        <v>-6.3596366251685965E-2</v>
      </c>
    </row>
    <row r="1388" spans="1:9">
      <c r="A1388" s="90">
        <v>1372</v>
      </c>
      <c r="B1388" s="110">
        <v>1.1360455558112825</v>
      </c>
      <c r="C1388" s="110">
        <v>1.0313090040299766</v>
      </c>
      <c r="G1388" s="90">
        <v>1372</v>
      </c>
      <c r="H1388" s="100">
        <v>-9.672454838240227E-2</v>
      </c>
      <c r="I1388" s="100">
        <v>-6.3579316769755145E-2</v>
      </c>
    </row>
    <row r="1389" spans="1:9">
      <c r="A1389" s="90">
        <v>1373</v>
      </c>
      <c r="B1389" s="110">
        <v>1.0727651782231427</v>
      </c>
      <c r="C1389" s="110">
        <v>1.063189689352261</v>
      </c>
      <c r="G1389" s="90">
        <v>1373</v>
      </c>
      <c r="H1389" s="100">
        <v>-8.9660630607705585E-3</v>
      </c>
      <c r="I1389" s="100">
        <v>-6.3560328011957851E-2</v>
      </c>
    </row>
    <row r="1390" spans="1:9">
      <c r="A1390" s="90">
        <v>1374</v>
      </c>
      <c r="B1390" s="110">
        <v>1.1117310090514096</v>
      </c>
      <c r="C1390" s="110">
        <v>1.0552764555271992</v>
      </c>
      <c r="G1390" s="90">
        <v>1374</v>
      </c>
      <c r="H1390" s="100">
        <v>-5.2115492476743415E-2</v>
      </c>
      <c r="I1390" s="100">
        <v>-6.353601619627014E-2</v>
      </c>
    </row>
    <row r="1391" spans="1:9">
      <c r="A1391" s="90">
        <v>1375</v>
      </c>
      <c r="B1391" s="110">
        <v>1.1320844093989386</v>
      </c>
      <c r="C1391" s="110">
        <v>1.0592631521673617</v>
      </c>
      <c r="G1391" s="90">
        <v>1375</v>
      </c>
      <c r="H1391" s="100">
        <v>-6.648701667011786E-2</v>
      </c>
      <c r="I1391" s="100">
        <v>-6.3524860178851159E-2</v>
      </c>
    </row>
    <row r="1392" spans="1:9">
      <c r="A1392" s="90">
        <v>1376</v>
      </c>
      <c r="B1392" s="110">
        <v>1.1015922239309142</v>
      </c>
      <c r="C1392" s="110">
        <v>1.0415582553543763</v>
      </c>
      <c r="G1392" s="90">
        <v>1376</v>
      </c>
      <c r="H1392" s="100">
        <v>-5.6038695276858091E-2</v>
      </c>
      <c r="I1392" s="100">
        <v>-6.3517071124257043E-2</v>
      </c>
    </row>
    <row r="1393" spans="1:9">
      <c r="A1393" s="90">
        <v>1377</v>
      </c>
      <c r="B1393" s="110">
        <v>1.1206389359562212</v>
      </c>
      <c r="C1393" s="110">
        <v>1.0632966897597655</v>
      </c>
      <c r="G1393" s="90">
        <v>1377</v>
      </c>
      <c r="H1393" s="100">
        <v>-5.2524834684450405E-2</v>
      </c>
      <c r="I1393" s="100">
        <v>-6.351279423459727E-2</v>
      </c>
    </row>
    <row r="1394" spans="1:9">
      <c r="A1394" s="90">
        <v>1378</v>
      </c>
      <c r="B1394" s="110">
        <v>1.1091130887288034</v>
      </c>
      <c r="C1394" s="110">
        <v>1.0416052170191552</v>
      </c>
      <c r="G1394" s="90">
        <v>1378</v>
      </c>
      <c r="H1394" s="100">
        <v>-6.2797675656481741E-2</v>
      </c>
      <c r="I1394" s="100">
        <v>-6.3505072566154216E-2</v>
      </c>
    </row>
    <row r="1395" spans="1:9">
      <c r="A1395" s="90">
        <v>1379</v>
      </c>
      <c r="B1395" s="110">
        <v>1.0994433730015727</v>
      </c>
      <c r="C1395" s="110">
        <v>1.0559595687105769</v>
      </c>
      <c r="G1395" s="90">
        <v>1379</v>
      </c>
      <c r="H1395" s="100">
        <v>-4.035412984147016E-2</v>
      </c>
      <c r="I1395" s="100">
        <v>-6.3490729153408337E-2</v>
      </c>
    </row>
    <row r="1396" spans="1:9">
      <c r="A1396" s="90">
        <v>1380</v>
      </c>
      <c r="B1396" s="110">
        <v>1.1136731253627541</v>
      </c>
      <c r="C1396" s="110">
        <v>1.0459612468679458</v>
      </c>
      <c r="G1396" s="90">
        <v>1380</v>
      </c>
      <c r="H1396" s="100">
        <v>-6.2727358104362571E-2</v>
      </c>
      <c r="I1396" s="100">
        <v>-6.3445646036828465E-2</v>
      </c>
    </row>
    <row r="1397" spans="1:9">
      <c r="A1397" s="90">
        <v>1381</v>
      </c>
      <c r="B1397" s="110">
        <v>1.1137929658714358</v>
      </c>
      <c r="C1397" s="110">
        <v>1.0575967306198366</v>
      </c>
      <c r="G1397" s="90">
        <v>1381</v>
      </c>
      <c r="H1397" s="100">
        <v>-5.1772177930744942E-2</v>
      </c>
      <c r="I1397" s="100">
        <v>-6.3440445201943224E-2</v>
      </c>
    </row>
    <row r="1398" spans="1:9">
      <c r="A1398" s="90">
        <v>1382</v>
      </c>
      <c r="B1398" s="110">
        <v>1.1005379841385388</v>
      </c>
      <c r="C1398" s="110">
        <v>1.0669867602849534</v>
      </c>
      <c r="G1398" s="90">
        <v>1382</v>
      </c>
      <c r="H1398" s="100">
        <v>-3.0960572847593033E-2</v>
      </c>
      <c r="I1398" s="100">
        <v>-6.3430655493709451E-2</v>
      </c>
    </row>
    <row r="1399" spans="1:9">
      <c r="A1399" s="90">
        <v>1383</v>
      </c>
      <c r="B1399" s="110">
        <v>1.1178862012464712</v>
      </c>
      <c r="C1399" s="110">
        <v>1.0389072368822827</v>
      </c>
      <c r="G1399" s="90">
        <v>1383</v>
      </c>
      <c r="H1399" s="100">
        <v>-7.3270154779793081E-2</v>
      </c>
      <c r="I1399" s="100">
        <v>-6.3419668339657037E-2</v>
      </c>
    </row>
    <row r="1400" spans="1:9">
      <c r="A1400" s="90">
        <v>1384</v>
      </c>
      <c r="B1400" s="110">
        <v>1.0870658194695475</v>
      </c>
      <c r="C1400" s="110">
        <v>1.0613255452824186</v>
      </c>
      <c r="G1400" s="90">
        <v>1384</v>
      </c>
      <c r="H1400" s="100">
        <v>-2.3963516496396241E-2</v>
      </c>
      <c r="I1400" s="100">
        <v>-6.3413667425245873E-2</v>
      </c>
    </row>
    <row r="1401" spans="1:9">
      <c r="A1401" s="90">
        <v>1385</v>
      </c>
      <c r="B1401" s="110">
        <v>1.1169241598943336</v>
      </c>
      <c r="C1401" s="110">
        <v>1.0571953343068974</v>
      </c>
      <c r="G1401" s="90">
        <v>1385</v>
      </c>
      <c r="H1401" s="100">
        <v>-5.4959131053670472E-2</v>
      </c>
      <c r="I1401" s="100">
        <v>-6.3405946266058485E-2</v>
      </c>
    </row>
    <row r="1402" spans="1:9">
      <c r="A1402" s="90">
        <v>1386</v>
      </c>
      <c r="B1402" s="110">
        <v>1.0768372844044873</v>
      </c>
      <c r="C1402" s="110">
        <v>1.0646462485000943</v>
      </c>
      <c r="G1402" s="90">
        <v>1386</v>
      </c>
      <c r="H1402" s="100">
        <v>-1.1385721547872788E-2</v>
      </c>
      <c r="I1402" s="100">
        <v>-6.3390750240204102E-2</v>
      </c>
    </row>
    <row r="1403" spans="1:9">
      <c r="A1403" s="90">
        <v>1387</v>
      </c>
      <c r="B1403" s="110">
        <v>1.0957698115431027</v>
      </c>
      <c r="C1403" s="110">
        <v>1.0511812016013442</v>
      </c>
      <c r="G1403" s="90">
        <v>1387</v>
      </c>
      <c r="H1403" s="100">
        <v>-4.1542654713980179E-2</v>
      </c>
      <c r="I1403" s="100">
        <v>-6.3379452677045672E-2</v>
      </c>
    </row>
    <row r="1404" spans="1:9">
      <c r="A1404" s="90">
        <v>1388</v>
      </c>
      <c r="B1404" s="110">
        <v>1.1177648744927884</v>
      </c>
      <c r="C1404" s="110">
        <v>1.0807805542123208</v>
      </c>
      <c r="G1404" s="90">
        <v>1388</v>
      </c>
      <c r="H1404" s="100">
        <v>-3.3647528103958234E-2</v>
      </c>
      <c r="I1404" s="100">
        <v>-6.3379262258967048E-2</v>
      </c>
    </row>
    <row r="1405" spans="1:9">
      <c r="A1405" s="90">
        <v>1389</v>
      </c>
      <c r="B1405" s="110">
        <v>1.1096016212068995</v>
      </c>
      <c r="C1405" s="110">
        <v>1.0519509430439735</v>
      </c>
      <c r="G1405" s="90">
        <v>1389</v>
      </c>
      <c r="H1405" s="100">
        <v>-5.3354569949955744E-2</v>
      </c>
      <c r="I1405" s="100">
        <v>-6.3371295662629154E-2</v>
      </c>
    </row>
    <row r="1406" spans="1:9">
      <c r="A1406" s="90">
        <v>1390</v>
      </c>
      <c r="B1406" s="110">
        <v>1.1287674467922997</v>
      </c>
      <c r="C1406" s="110">
        <v>1.0697733765313369</v>
      </c>
      <c r="G1406" s="90">
        <v>1390</v>
      </c>
      <c r="H1406" s="100">
        <v>-5.3679453959704283E-2</v>
      </c>
      <c r="I1406" s="100">
        <v>-6.335247294723341E-2</v>
      </c>
    </row>
    <row r="1407" spans="1:9">
      <c r="A1407" s="90">
        <v>1391</v>
      </c>
      <c r="B1407" s="110">
        <v>1.1025028607678895</v>
      </c>
      <c r="C1407" s="110">
        <v>1.050600371710424</v>
      </c>
      <c r="G1407" s="90">
        <v>1391</v>
      </c>
      <c r="H1407" s="100">
        <v>-4.8221139790891071E-2</v>
      </c>
      <c r="I1407" s="100">
        <v>-6.3331733014407074E-2</v>
      </c>
    </row>
    <row r="1408" spans="1:9">
      <c r="A1408" s="90">
        <v>1392</v>
      </c>
      <c r="B1408" s="110">
        <v>1.0903515856330599</v>
      </c>
      <c r="C1408" s="110">
        <v>1.0540926340664778</v>
      </c>
      <c r="G1408" s="90">
        <v>1392</v>
      </c>
      <c r="H1408" s="100">
        <v>-3.3819865491980607E-2</v>
      </c>
      <c r="I1408" s="100">
        <v>-6.3330055422884307E-2</v>
      </c>
    </row>
    <row r="1409" spans="1:9">
      <c r="A1409" s="90">
        <v>1393</v>
      </c>
      <c r="B1409" s="110">
        <v>1.1033367343333136</v>
      </c>
      <c r="C1409" s="110">
        <v>1.0589946776717565</v>
      </c>
      <c r="G1409" s="90">
        <v>1393</v>
      </c>
      <c r="H1409" s="100">
        <v>-4.1018942392501284E-2</v>
      </c>
      <c r="I1409" s="100">
        <v>-6.3325514407283567E-2</v>
      </c>
    </row>
    <row r="1410" spans="1:9">
      <c r="A1410" s="90">
        <v>1394</v>
      </c>
      <c r="B1410" s="110">
        <v>1.1028730980649597</v>
      </c>
      <c r="C1410" s="110">
        <v>1.0391129206930794</v>
      </c>
      <c r="G1410" s="90">
        <v>1394</v>
      </c>
      <c r="H1410" s="100">
        <v>-5.9551293730939932E-2</v>
      </c>
      <c r="I1410" s="100">
        <v>-6.3318540898801345E-2</v>
      </c>
    </row>
    <row r="1411" spans="1:9">
      <c r="A1411" s="90">
        <v>1395</v>
      </c>
      <c r="B1411" s="110">
        <v>1.1307331576736659</v>
      </c>
      <c r="C1411" s="110">
        <v>1.0627693666602276</v>
      </c>
      <c r="G1411" s="90">
        <v>1395</v>
      </c>
      <c r="H1411" s="100">
        <v>-6.1988123189422824E-2</v>
      </c>
      <c r="I1411" s="100">
        <v>-6.3313830136153521E-2</v>
      </c>
    </row>
    <row r="1412" spans="1:9">
      <c r="A1412" s="90">
        <v>1396</v>
      </c>
      <c r="B1412" s="110">
        <v>1.0939028503772843</v>
      </c>
      <c r="C1412" s="110">
        <v>1.0791305525923014</v>
      </c>
      <c r="G1412" s="90">
        <v>1396</v>
      </c>
      <c r="H1412" s="100">
        <v>-1.359622482383754E-2</v>
      </c>
      <c r="I1412" s="100">
        <v>-6.3294251202896973E-2</v>
      </c>
    </row>
    <row r="1413" spans="1:9">
      <c r="A1413" s="90">
        <v>1397</v>
      </c>
      <c r="B1413" s="110">
        <v>1.1119808469005403</v>
      </c>
      <c r="C1413" s="110">
        <v>1.0458354384171074</v>
      </c>
      <c r="G1413" s="90">
        <v>1397</v>
      </c>
      <c r="H1413" s="100">
        <v>-6.1326943052876684E-2</v>
      </c>
      <c r="I1413" s="100">
        <v>-6.3293648093548038E-2</v>
      </c>
    </row>
    <row r="1414" spans="1:9">
      <c r="A1414" s="90">
        <v>1398</v>
      </c>
      <c r="B1414" s="110">
        <v>1.0611375859265322</v>
      </c>
      <c r="C1414" s="110">
        <v>1.0481821071293134</v>
      </c>
      <c r="G1414" s="90">
        <v>1398</v>
      </c>
      <c r="H1414" s="100">
        <v>-1.2284189785010065E-2</v>
      </c>
      <c r="I1414" s="100">
        <v>-6.3288870758118093E-2</v>
      </c>
    </row>
    <row r="1415" spans="1:9">
      <c r="A1415" s="90">
        <v>1399</v>
      </c>
      <c r="B1415" s="110">
        <v>1.0968339265435503</v>
      </c>
      <c r="C1415" s="110">
        <v>1.0492757874032499</v>
      </c>
      <c r="G1415" s="90">
        <v>1399</v>
      </c>
      <c r="H1415" s="100">
        <v>-4.4327581168545876E-2</v>
      </c>
      <c r="I1415" s="100">
        <v>-6.326590773479962E-2</v>
      </c>
    </row>
    <row r="1416" spans="1:9">
      <c r="A1416" s="90">
        <v>1400</v>
      </c>
      <c r="B1416" s="110">
        <v>1.1148512622749904</v>
      </c>
      <c r="C1416" s="110">
        <v>1.0694567826259624</v>
      </c>
      <c r="G1416" s="90">
        <v>1400</v>
      </c>
      <c r="H1416" s="100">
        <v>-4.1570159179135958E-2</v>
      </c>
      <c r="I1416" s="100">
        <v>-6.3247911839568238E-2</v>
      </c>
    </row>
    <row r="1417" spans="1:9">
      <c r="A1417" s="90">
        <v>1401</v>
      </c>
      <c r="B1417" s="110">
        <v>1.0993838654874022</v>
      </c>
      <c r="C1417" s="110">
        <v>1.0702050629761892</v>
      </c>
      <c r="G1417" s="90">
        <v>1401</v>
      </c>
      <c r="H1417" s="100">
        <v>-2.689962284000684E-2</v>
      </c>
      <c r="I1417" s="100">
        <v>-6.3235957494196485E-2</v>
      </c>
    </row>
    <row r="1418" spans="1:9">
      <c r="A1418" s="90">
        <v>1402</v>
      </c>
      <c r="B1418" s="110">
        <v>1.1137283634238409</v>
      </c>
      <c r="C1418" s="110">
        <v>1.0459313311922158</v>
      </c>
      <c r="G1418" s="90">
        <v>1402</v>
      </c>
      <c r="H1418" s="100">
        <v>-6.2805558302311229E-2</v>
      </c>
      <c r="I1418" s="100">
        <v>-6.3233545062422916E-2</v>
      </c>
    </row>
    <row r="1419" spans="1:9">
      <c r="A1419" s="90">
        <v>1403</v>
      </c>
      <c r="B1419" s="110">
        <v>1.1139534568438736</v>
      </c>
      <c r="C1419" s="110">
        <v>1.0482683332858918</v>
      </c>
      <c r="G1419" s="90">
        <v>1403</v>
      </c>
      <c r="H1419" s="100">
        <v>-6.0775764083202066E-2</v>
      </c>
      <c r="I1419" s="100">
        <v>-6.321583132981165E-2</v>
      </c>
    </row>
    <row r="1420" spans="1:9">
      <c r="A1420" s="90">
        <v>1404</v>
      </c>
      <c r="B1420" s="110">
        <v>1.1166683038405001</v>
      </c>
      <c r="C1420" s="110">
        <v>1.0550752559903498</v>
      </c>
      <c r="G1420" s="90">
        <v>1404</v>
      </c>
      <c r="H1420" s="100">
        <v>-5.6737426217362587E-2</v>
      </c>
      <c r="I1420" s="100">
        <v>-6.3209499479464609E-2</v>
      </c>
    </row>
    <row r="1421" spans="1:9">
      <c r="A1421" s="90">
        <v>1405</v>
      </c>
      <c r="B1421" s="110">
        <v>1.1327457243266663</v>
      </c>
      <c r="C1421" s="110">
        <v>1.0487183445362689</v>
      </c>
      <c r="G1421" s="90">
        <v>1405</v>
      </c>
      <c r="H1421" s="100">
        <v>-7.7075735612528118E-2</v>
      </c>
      <c r="I1421" s="100">
        <v>-6.3203682549984638E-2</v>
      </c>
    </row>
    <row r="1422" spans="1:9">
      <c r="A1422" s="90">
        <v>1406</v>
      </c>
      <c r="B1422" s="110">
        <v>1.1256648474657944</v>
      </c>
      <c r="C1422" s="110">
        <v>1.0536241664158958</v>
      </c>
      <c r="G1422" s="90">
        <v>1406</v>
      </c>
      <c r="H1422" s="100">
        <v>-6.6138028447314881E-2</v>
      </c>
      <c r="I1422" s="100">
        <v>-6.319762508072109E-2</v>
      </c>
    </row>
    <row r="1423" spans="1:9">
      <c r="A1423" s="90">
        <v>1407</v>
      </c>
      <c r="B1423" s="110">
        <v>1.1054630006074189</v>
      </c>
      <c r="C1423" s="110">
        <v>1.0572032409282173</v>
      </c>
      <c r="G1423" s="90">
        <v>1407</v>
      </c>
      <c r="H1423" s="100">
        <v>-4.4637282965690681E-2</v>
      </c>
      <c r="I1423" s="100">
        <v>-6.3188362193485836E-2</v>
      </c>
    </row>
    <row r="1424" spans="1:9">
      <c r="A1424" s="90">
        <v>1408</v>
      </c>
      <c r="B1424" s="110">
        <v>1.114438811402785</v>
      </c>
      <c r="C1424" s="110">
        <v>1.0537122018584975</v>
      </c>
      <c r="G1424" s="90">
        <v>1408</v>
      </c>
      <c r="H1424" s="100">
        <v>-5.6031610482920637E-2</v>
      </c>
      <c r="I1424" s="100">
        <v>-6.3187268553359932E-2</v>
      </c>
    </row>
    <row r="1425" spans="1:9">
      <c r="A1425" s="90">
        <v>1409</v>
      </c>
      <c r="B1425" s="110">
        <v>1.1272169345754282</v>
      </c>
      <c r="C1425" s="110">
        <v>1.0713211000214502</v>
      </c>
      <c r="G1425" s="90">
        <v>1409</v>
      </c>
      <c r="H1425" s="100">
        <v>-5.0859145256721368E-2</v>
      </c>
      <c r="I1425" s="100">
        <v>-6.317366715824714E-2</v>
      </c>
    </row>
    <row r="1426" spans="1:9">
      <c r="A1426" s="90">
        <v>1410</v>
      </c>
      <c r="B1426" s="110">
        <v>1.10033141470032</v>
      </c>
      <c r="C1426" s="110">
        <v>1.0576209876765719</v>
      </c>
      <c r="G1426" s="90">
        <v>1410</v>
      </c>
      <c r="H1426" s="100">
        <v>-3.9589385973493804E-2</v>
      </c>
      <c r="I1426" s="100">
        <v>-6.3169425625955497E-2</v>
      </c>
    </row>
    <row r="1427" spans="1:9">
      <c r="A1427" s="90">
        <v>1411</v>
      </c>
      <c r="B1427" s="110">
        <v>1.1021195354513091</v>
      </c>
      <c r="C1427" s="110">
        <v>1.0509435089290944</v>
      </c>
      <c r="G1427" s="90">
        <v>1411</v>
      </c>
      <c r="H1427" s="100">
        <v>-4.7546835598908814E-2</v>
      </c>
      <c r="I1427" s="100">
        <v>-6.3162157024945029E-2</v>
      </c>
    </row>
    <row r="1428" spans="1:9">
      <c r="A1428" s="90">
        <v>1412</v>
      </c>
      <c r="B1428" s="110">
        <v>1.1325465421789351</v>
      </c>
      <c r="C1428" s="110">
        <v>1.0463801843706886</v>
      </c>
      <c r="G1428" s="90">
        <v>1412</v>
      </c>
      <c r="H1428" s="100">
        <v>-7.9131909790467969E-2</v>
      </c>
      <c r="I1428" s="100">
        <v>-6.3147886958426949E-2</v>
      </c>
    </row>
    <row r="1429" spans="1:9">
      <c r="A1429" s="90">
        <v>1413</v>
      </c>
      <c r="B1429" s="110">
        <v>1.110860400243991</v>
      </c>
      <c r="C1429" s="110">
        <v>1.0483638168278919</v>
      </c>
      <c r="G1429" s="90">
        <v>1413</v>
      </c>
      <c r="H1429" s="100">
        <v>-5.7904171300174445E-2</v>
      </c>
      <c r="I1429" s="100">
        <v>-6.3137689475037673E-2</v>
      </c>
    </row>
    <row r="1430" spans="1:9">
      <c r="A1430" s="90">
        <v>1414</v>
      </c>
      <c r="B1430" s="110">
        <v>1.1205271504596563</v>
      </c>
      <c r="C1430" s="110">
        <v>1.0693677223727096</v>
      </c>
      <c r="G1430" s="90">
        <v>1414</v>
      </c>
      <c r="H1430" s="100">
        <v>-4.6731684484703537E-2</v>
      </c>
      <c r="I1430" s="100">
        <v>-6.3120921193764098E-2</v>
      </c>
    </row>
    <row r="1431" spans="1:9">
      <c r="A1431" s="90">
        <v>1415</v>
      </c>
      <c r="B1431" s="110">
        <v>1.121059978308057</v>
      </c>
      <c r="C1431" s="110">
        <v>1.0386413275249817</v>
      </c>
      <c r="G1431" s="90">
        <v>1415</v>
      </c>
      <c r="H1431" s="100">
        <v>-7.6361203741014363E-2</v>
      </c>
      <c r="I1431" s="100">
        <v>-6.310467378543691E-2</v>
      </c>
    </row>
    <row r="1432" spans="1:9">
      <c r="A1432" s="90">
        <v>1416</v>
      </c>
      <c r="B1432" s="110">
        <v>1.1092652493236432</v>
      </c>
      <c r="C1432" s="110">
        <v>1.0684434155482831</v>
      </c>
      <c r="G1432" s="90">
        <v>1416</v>
      </c>
      <c r="H1432" s="100">
        <v>-3.7495021129598495E-2</v>
      </c>
      <c r="I1432" s="100">
        <v>-6.3056469893126216E-2</v>
      </c>
    </row>
    <row r="1433" spans="1:9">
      <c r="A1433" s="90">
        <v>1417</v>
      </c>
      <c r="B1433" s="110">
        <v>1.1185462753441777</v>
      </c>
      <c r="C1433" s="110">
        <v>1.0503559646248262</v>
      </c>
      <c r="G1433" s="90">
        <v>1417</v>
      </c>
      <c r="H1433" s="100">
        <v>-6.2900753128049477E-2</v>
      </c>
      <c r="I1433" s="100">
        <v>-6.304846767900793E-2</v>
      </c>
    </row>
    <row r="1434" spans="1:9">
      <c r="A1434" s="90">
        <v>1418</v>
      </c>
      <c r="B1434" s="110">
        <v>1.115884135831527</v>
      </c>
      <c r="C1434" s="110">
        <v>1.0392243695240688</v>
      </c>
      <c r="G1434" s="90">
        <v>1418</v>
      </c>
      <c r="H1434" s="100">
        <v>-7.1172401257207765E-2</v>
      </c>
      <c r="I1434" s="100">
        <v>-6.3047973972131313E-2</v>
      </c>
    </row>
    <row r="1435" spans="1:9">
      <c r="A1435" s="90">
        <v>1419</v>
      </c>
      <c r="B1435" s="110">
        <v>1.1090338070960093</v>
      </c>
      <c r="C1435" s="110">
        <v>1.0755194077246351</v>
      </c>
      <c r="G1435" s="90">
        <v>1419</v>
      </c>
      <c r="H1435" s="100">
        <v>-3.0685477343180445E-2</v>
      </c>
      <c r="I1435" s="100">
        <v>-6.3032491474326852E-2</v>
      </c>
    </row>
    <row r="1436" spans="1:9">
      <c r="A1436" s="90">
        <v>1420</v>
      </c>
      <c r="B1436" s="110">
        <v>1.1112304777658808</v>
      </c>
      <c r="C1436" s="110">
        <v>1.053867676705404</v>
      </c>
      <c r="G1436" s="90">
        <v>1420</v>
      </c>
      <c r="H1436" s="100">
        <v>-5.3001041561824891E-2</v>
      </c>
      <c r="I1436" s="100">
        <v>-6.3028617904327983E-2</v>
      </c>
    </row>
    <row r="1437" spans="1:9">
      <c r="A1437" s="90">
        <v>1421</v>
      </c>
      <c r="B1437" s="110">
        <v>1.1165085805875199</v>
      </c>
      <c r="C1437" s="110">
        <v>1.0580767277084857</v>
      </c>
      <c r="G1437" s="90">
        <v>1421</v>
      </c>
      <c r="H1437" s="100">
        <v>-5.3753625253673387E-2</v>
      </c>
      <c r="I1437" s="100">
        <v>-6.3027787956360035E-2</v>
      </c>
    </row>
    <row r="1438" spans="1:9">
      <c r="A1438" s="90">
        <v>1422</v>
      </c>
      <c r="B1438" s="110">
        <v>1.1346416933453158</v>
      </c>
      <c r="C1438" s="110">
        <v>1.0456823741427261</v>
      </c>
      <c r="G1438" s="90">
        <v>1422</v>
      </c>
      <c r="H1438" s="100">
        <v>-8.1647250488574935E-2</v>
      </c>
      <c r="I1438" s="100">
        <v>-6.3026069653513261E-2</v>
      </c>
    </row>
    <row r="1439" spans="1:9">
      <c r="A1439" s="90">
        <v>1423</v>
      </c>
      <c r="B1439" s="110">
        <v>1.1034593552002945</v>
      </c>
      <c r="C1439" s="110">
        <v>1.0635382205597133</v>
      </c>
      <c r="G1439" s="90">
        <v>1423</v>
      </c>
      <c r="H1439" s="100">
        <v>-3.6848819933673505E-2</v>
      </c>
      <c r="I1439" s="100">
        <v>-6.3005037882038969E-2</v>
      </c>
    </row>
    <row r="1440" spans="1:9">
      <c r="A1440" s="90">
        <v>1424</v>
      </c>
      <c r="B1440" s="110">
        <v>1.0851409544872941</v>
      </c>
      <c r="C1440" s="110">
        <v>1.0476944799176955</v>
      </c>
      <c r="G1440" s="90">
        <v>1424</v>
      </c>
      <c r="H1440" s="100">
        <v>-3.5117873923888633E-2</v>
      </c>
      <c r="I1440" s="100">
        <v>-6.2988890062986608E-2</v>
      </c>
    </row>
    <row r="1441" spans="1:9">
      <c r="A1441" s="90">
        <v>1425</v>
      </c>
      <c r="B1441" s="110">
        <v>1.1060544584675736</v>
      </c>
      <c r="C1441" s="110">
        <v>1.0449595684023849</v>
      </c>
      <c r="G1441" s="90">
        <v>1425</v>
      </c>
      <c r="H1441" s="100">
        <v>-5.6820946864465961E-2</v>
      </c>
      <c r="I1441" s="100">
        <v>-6.296754998404043E-2</v>
      </c>
    </row>
    <row r="1442" spans="1:9">
      <c r="A1442" s="90">
        <v>1426</v>
      </c>
      <c r="B1442" s="110">
        <v>1.0945748942516913</v>
      </c>
      <c r="C1442" s="110">
        <v>1.0473383117613271</v>
      </c>
      <c r="G1442" s="90">
        <v>1426</v>
      </c>
      <c r="H1442" s="100">
        <v>-4.4114058875946938E-2</v>
      </c>
      <c r="I1442" s="100">
        <v>-6.2965430909241171E-2</v>
      </c>
    </row>
    <row r="1443" spans="1:9">
      <c r="A1443" s="90">
        <v>1427</v>
      </c>
      <c r="B1443" s="110">
        <v>1.0888451884452301</v>
      </c>
      <c r="C1443" s="110">
        <v>1.0359399085288745</v>
      </c>
      <c r="G1443" s="90">
        <v>1427</v>
      </c>
      <c r="H1443" s="100">
        <v>-4.9808535669926407E-2</v>
      </c>
      <c r="I1443" s="100">
        <v>-6.2952681279512784E-2</v>
      </c>
    </row>
    <row r="1444" spans="1:9">
      <c r="A1444" s="90">
        <v>1428</v>
      </c>
      <c r="B1444" s="110">
        <v>1.1273101884284176</v>
      </c>
      <c r="C1444" s="110">
        <v>1.0534686219277025</v>
      </c>
      <c r="G1444" s="90">
        <v>1428</v>
      </c>
      <c r="H1444" s="100">
        <v>-6.774626170868514E-2</v>
      </c>
      <c r="I1444" s="100">
        <v>-6.2935907892092594E-2</v>
      </c>
    </row>
    <row r="1445" spans="1:9">
      <c r="A1445" s="90">
        <v>1429</v>
      </c>
      <c r="B1445" s="110">
        <v>1.1199569189925702</v>
      </c>
      <c r="C1445" s="110">
        <v>1.0512462753656349</v>
      </c>
      <c r="G1445" s="90">
        <v>1429</v>
      </c>
      <c r="H1445" s="100">
        <v>-6.3313830136153521E-2</v>
      </c>
      <c r="I1445" s="100">
        <v>-6.291269682580608E-2</v>
      </c>
    </row>
    <row r="1446" spans="1:9">
      <c r="A1446" s="90">
        <v>1430</v>
      </c>
      <c r="B1446" s="110">
        <v>1.0992699518588995</v>
      </c>
      <c r="C1446" s="110">
        <v>1.0569262478718826</v>
      </c>
      <c r="G1446" s="90">
        <v>1430</v>
      </c>
      <c r="H1446" s="100">
        <v>-3.9281349844833266E-2</v>
      </c>
      <c r="I1446" s="100">
        <v>-6.2900753128049477E-2</v>
      </c>
    </row>
    <row r="1447" spans="1:9">
      <c r="A1447" s="90">
        <v>1431</v>
      </c>
      <c r="B1447" s="110">
        <v>1.1193417612770091</v>
      </c>
      <c r="C1447" s="110">
        <v>1.066060133119821</v>
      </c>
      <c r="G1447" s="90">
        <v>1431</v>
      </c>
      <c r="H1447" s="100">
        <v>-4.8771065181625689E-2</v>
      </c>
      <c r="I1447" s="100">
        <v>-6.2895285794724351E-2</v>
      </c>
    </row>
    <row r="1448" spans="1:9">
      <c r="A1448" s="90">
        <v>1432</v>
      </c>
      <c r="B1448" s="110">
        <v>1.1345271054121193</v>
      </c>
      <c r="C1448" s="110">
        <v>1.0762578275388497</v>
      </c>
      <c r="G1448" s="90">
        <v>1432</v>
      </c>
      <c r="H1448" s="100">
        <v>-5.2725867189910437E-2</v>
      </c>
      <c r="I1448" s="100">
        <v>-6.2893346059409438E-2</v>
      </c>
    </row>
    <row r="1449" spans="1:9">
      <c r="A1449" s="90">
        <v>1433</v>
      </c>
      <c r="B1449" s="110">
        <v>1.1271782703187656</v>
      </c>
      <c r="C1449" s="110">
        <v>1.0645682412476334</v>
      </c>
      <c r="G1449" s="90">
        <v>1433</v>
      </c>
      <c r="H1449" s="100">
        <v>-5.7148094160253939E-2</v>
      </c>
      <c r="I1449" s="100">
        <v>-6.288174269719439E-2</v>
      </c>
    </row>
    <row r="1450" spans="1:9">
      <c r="A1450" s="90">
        <v>1434</v>
      </c>
      <c r="B1450" s="110">
        <v>1.1277331312858172</v>
      </c>
      <c r="C1450" s="110">
        <v>1.0548607171398696</v>
      </c>
      <c r="G1450" s="90">
        <v>1434</v>
      </c>
      <c r="H1450" s="100">
        <v>-6.6800802801490158E-2</v>
      </c>
      <c r="I1450" s="100">
        <v>-6.2874024272128223E-2</v>
      </c>
    </row>
    <row r="1451" spans="1:9">
      <c r="A1451" s="90">
        <v>1435</v>
      </c>
      <c r="B1451" s="110">
        <v>1.1063658812171995</v>
      </c>
      <c r="C1451" s="110">
        <v>1.0447157817200448</v>
      </c>
      <c r="G1451" s="90">
        <v>1435</v>
      </c>
      <c r="H1451" s="100">
        <v>-5.7335794028286778E-2</v>
      </c>
      <c r="I1451" s="100">
        <v>-6.2868771414052227E-2</v>
      </c>
    </row>
    <row r="1452" spans="1:9">
      <c r="A1452" s="90">
        <v>1436</v>
      </c>
      <c r="B1452" s="110">
        <v>1.1166527602256406</v>
      </c>
      <c r="C1452" s="110">
        <v>1.0461937504463188</v>
      </c>
      <c r="G1452" s="90">
        <v>1436</v>
      </c>
      <c r="H1452" s="100">
        <v>-6.5177025200048325E-2</v>
      </c>
      <c r="I1452" s="100">
        <v>-6.2866008125103193E-2</v>
      </c>
    </row>
    <row r="1453" spans="1:9">
      <c r="A1453" s="90">
        <v>1437</v>
      </c>
      <c r="B1453" s="110">
        <v>1.0802367251161651</v>
      </c>
      <c r="C1453" s="110">
        <v>1.0595431282100052</v>
      </c>
      <c r="G1453" s="90">
        <v>1437</v>
      </c>
      <c r="H1453" s="100">
        <v>-1.9342402950555178E-2</v>
      </c>
      <c r="I1453" s="100">
        <v>-6.284538043979121E-2</v>
      </c>
    </row>
    <row r="1454" spans="1:9">
      <c r="A1454" s="90">
        <v>1438</v>
      </c>
      <c r="B1454" s="110">
        <v>1.1098959990876918</v>
      </c>
      <c r="C1454" s="110">
        <v>1.0400419549284365</v>
      </c>
      <c r="G1454" s="90">
        <v>1438</v>
      </c>
      <c r="H1454" s="100">
        <v>-6.5005262802107749E-2</v>
      </c>
      <c r="I1454" s="100">
        <v>-6.2826375284239455E-2</v>
      </c>
    </row>
    <row r="1455" spans="1:9">
      <c r="A1455" s="90">
        <v>1439</v>
      </c>
      <c r="B1455" s="110">
        <v>1.1046882266144564</v>
      </c>
      <c r="C1455" s="110">
        <v>1.0430393769628268</v>
      </c>
      <c r="G1455" s="90">
        <v>1439</v>
      </c>
      <c r="H1455" s="100">
        <v>-5.742421843255472E-2</v>
      </c>
      <c r="I1455" s="100">
        <v>-6.2814376173973979E-2</v>
      </c>
    </row>
    <row r="1456" spans="1:9">
      <c r="A1456" s="90">
        <v>1440</v>
      </c>
      <c r="B1456" s="110">
        <v>1.1192811186550182</v>
      </c>
      <c r="C1456" s="110">
        <v>1.063508500773642</v>
      </c>
      <c r="G1456" s="90">
        <v>1440</v>
      </c>
      <c r="H1456" s="100">
        <v>-5.1113272052689125E-2</v>
      </c>
      <c r="I1456" s="100">
        <v>-6.2811409026601664E-2</v>
      </c>
    </row>
    <row r="1457" spans="1:9">
      <c r="A1457" s="90">
        <v>1441</v>
      </c>
      <c r="B1457" s="110">
        <v>1.1115379377581367</v>
      </c>
      <c r="C1457" s="110">
        <v>1.0513480783516695</v>
      </c>
      <c r="G1457" s="90">
        <v>1441</v>
      </c>
      <c r="H1457" s="100">
        <v>-5.5671361036353721E-2</v>
      </c>
      <c r="I1457" s="100">
        <v>-6.2805558302311229E-2</v>
      </c>
    </row>
    <row r="1458" spans="1:9">
      <c r="A1458" s="90">
        <v>1442</v>
      </c>
      <c r="B1458" s="110">
        <v>1.1124989779095942</v>
      </c>
      <c r="C1458" s="110">
        <v>1.0637137564584598</v>
      </c>
      <c r="G1458" s="90">
        <v>1442</v>
      </c>
      <c r="H1458" s="100">
        <v>-4.484248748429568E-2</v>
      </c>
      <c r="I1458" s="100">
        <v>-6.2797675656481741E-2</v>
      </c>
    </row>
    <row r="1459" spans="1:9">
      <c r="A1459" s="90">
        <v>1443</v>
      </c>
      <c r="B1459" s="110">
        <v>1.0692726178788976</v>
      </c>
      <c r="C1459" s="110">
        <v>1.0486453156566462</v>
      </c>
      <c r="G1459" s="90">
        <v>1443</v>
      </c>
      <c r="H1459" s="100">
        <v>-1.9479465321336965E-2</v>
      </c>
      <c r="I1459" s="100">
        <v>-6.2747829167858787E-2</v>
      </c>
    </row>
    <row r="1460" spans="1:9">
      <c r="A1460" s="90">
        <v>1444</v>
      </c>
      <c r="B1460" s="110">
        <v>1.1159099102619812</v>
      </c>
      <c r="C1460" s="110">
        <v>1.0437991390203007</v>
      </c>
      <c r="G1460" s="90">
        <v>1444</v>
      </c>
      <c r="H1460" s="100">
        <v>-6.6803059753313757E-2</v>
      </c>
      <c r="I1460" s="100">
        <v>-6.2741788283308633E-2</v>
      </c>
    </row>
    <row r="1461" spans="1:9">
      <c r="A1461" s="90">
        <v>1445</v>
      </c>
      <c r="B1461" s="110">
        <v>1.1225918680579916</v>
      </c>
      <c r="C1461" s="110">
        <v>1.0568463461798143</v>
      </c>
      <c r="G1461" s="90">
        <v>1445</v>
      </c>
      <c r="H1461" s="100">
        <v>-6.035085118470758E-2</v>
      </c>
      <c r="I1461" s="100">
        <v>-6.2734185401514778E-2</v>
      </c>
    </row>
    <row r="1462" spans="1:9">
      <c r="A1462" s="90">
        <v>1446</v>
      </c>
      <c r="B1462" s="110">
        <v>1.1077120199905197</v>
      </c>
      <c r="C1462" s="110">
        <v>1.0700145320018302</v>
      </c>
      <c r="G1462" s="90">
        <v>1446</v>
      </c>
      <c r="H1462" s="100">
        <v>-3.4624415095137841E-2</v>
      </c>
      <c r="I1462" s="100">
        <v>-6.2727358104362571E-2</v>
      </c>
    </row>
    <row r="1463" spans="1:9">
      <c r="A1463" s="90">
        <v>1447</v>
      </c>
      <c r="B1463" s="110">
        <v>1.1114726005524522</v>
      </c>
      <c r="C1463" s="110">
        <v>1.0467187412029075</v>
      </c>
      <c r="G1463" s="90">
        <v>1447</v>
      </c>
      <c r="H1463" s="100">
        <v>-6.0025540487232534E-2</v>
      </c>
      <c r="I1463" s="100">
        <v>-6.2724526445822743E-2</v>
      </c>
    </row>
    <row r="1464" spans="1:9">
      <c r="A1464" s="90">
        <v>1448</v>
      </c>
      <c r="B1464" s="110">
        <v>1.0944763772816632</v>
      </c>
      <c r="C1464" s="110">
        <v>1.0571412950289312</v>
      </c>
      <c r="G1464" s="90">
        <v>1448</v>
      </c>
      <c r="H1464" s="100">
        <v>-3.4707681155419938E-2</v>
      </c>
      <c r="I1464" s="100">
        <v>-6.2723226575559204E-2</v>
      </c>
    </row>
    <row r="1465" spans="1:9">
      <c r="A1465" s="90">
        <v>1449</v>
      </c>
      <c r="B1465" s="110">
        <v>1.0937964101687097</v>
      </c>
      <c r="C1465" s="110">
        <v>1.053437317589375</v>
      </c>
      <c r="G1465" s="90">
        <v>1449</v>
      </c>
      <c r="H1465" s="100">
        <v>-3.7596136655009771E-2</v>
      </c>
      <c r="I1465" s="100">
        <v>-6.2700005694444699E-2</v>
      </c>
    </row>
    <row r="1466" spans="1:9">
      <c r="A1466" s="90">
        <v>1450</v>
      </c>
      <c r="B1466" s="110">
        <v>1.1179184323786622</v>
      </c>
      <c r="C1466" s="110">
        <v>1.0406193598549591</v>
      </c>
      <c r="G1466" s="90">
        <v>1450</v>
      </c>
      <c r="H1466" s="100">
        <v>-7.1652339342117954E-2</v>
      </c>
      <c r="I1466" s="100">
        <v>-6.2670835185824628E-2</v>
      </c>
    </row>
    <row r="1467" spans="1:9">
      <c r="A1467" s="90">
        <v>1451</v>
      </c>
      <c r="B1467" s="110">
        <v>1.0871597201551877</v>
      </c>
      <c r="C1467" s="110">
        <v>1.0380784506721668</v>
      </c>
      <c r="G1467" s="90">
        <v>1451</v>
      </c>
      <c r="H1467" s="100">
        <v>-4.6197173440230208E-2</v>
      </c>
      <c r="I1467" s="100">
        <v>-6.2648593818666859E-2</v>
      </c>
    </row>
    <row r="1468" spans="1:9">
      <c r="A1468" s="90">
        <v>1452</v>
      </c>
      <c r="B1468" s="110">
        <v>1.1153525577094607</v>
      </c>
      <c r="C1468" s="110">
        <v>1.0309245571816101</v>
      </c>
      <c r="G1468" s="90">
        <v>1452</v>
      </c>
      <c r="H1468" s="100">
        <v>-7.8714522242203683E-2</v>
      </c>
      <c r="I1468" s="100">
        <v>-6.2632631670683808E-2</v>
      </c>
    </row>
    <row r="1469" spans="1:9">
      <c r="A1469" s="90">
        <v>1453</v>
      </c>
      <c r="B1469" s="110">
        <v>1.1339144982586193</v>
      </c>
      <c r="C1469" s="110">
        <v>1.0597341081336744</v>
      </c>
      <c r="G1469" s="90">
        <v>1453</v>
      </c>
      <c r="H1469" s="100">
        <v>-6.7657768827267317E-2</v>
      </c>
      <c r="I1469" s="100">
        <v>-6.2547692989056033E-2</v>
      </c>
    </row>
    <row r="1470" spans="1:9">
      <c r="A1470" s="90">
        <v>1454</v>
      </c>
      <c r="B1470" s="110">
        <v>1.1291898755656216</v>
      </c>
      <c r="C1470" s="110">
        <v>1.044360205440608</v>
      </c>
      <c r="G1470" s="90">
        <v>1454</v>
      </c>
      <c r="H1470" s="100">
        <v>-7.8095997011308121E-2</v>
      </c>
      <c r="I1470" s="100">
        <v>-6.2545598076776621E-2</v>
      </c>
    </row>
    <row r="1471" spans="1:9">
      <c r="A1471" s="90">
        <v>1455</v>
      </c>
      <c r="B1471" s="110">
        <v>1.1017376080103227</v>
      </c>
      <c r="C1471" s="110">
        <v>1.0618492022581223</v>
      </c>
      <c r="G1471" s="90">
        <v>1455</v>
      </c>
      <c r="H1471" s="100">
        <v>-3.6876658494975685E-2</v>
      </c>
      <c r="I1471" s="100">
        <v>-6.2543573311682282E-2</v>
      </c>
    </row>
    <row r="1472" spans="1:9">
      <c r="A1472" s="90">
        <v>1456</v>
      </c>
      <c r="B1472" s="110">
        <v>1.1068764825149118</v>
      </c>
      <c r="C1472" s="110">
        <v>1.0509466979149815</v>
      </c>
      <c r="G1472" s="90">
        <v>1456</v>
      </c>
      <c r="H1472" s="100">
        <v>-5.1850693905028722E-2</v>
      </c>
      <c r="I1472" s="100">
        <v>-6.2534565658227029E-2</v>
      </c>
    </row>
    <row r="1473" spans="1:9">
      <c r="A1473" s="90">
        <v>1457</v>
      </c>
      <c r="B1473" s="110">
        <v>1.1270668645273116</v>
      </c>
      <c r="C1473" s="110">
        <v>1.0521898501480269</v>
      </c>
      <c r="G1473" s="90">
        <v>1457</v>
      </c>
      <c r="H1473" s="100">
        <v>-6.8744999004460308E-2</v>
      </c>
      <c r="I1473" s="100">
        <v>-6.2526495698068368E-2</v>
      </c>
    </row>
    <row r="1474" spans="1:9">
      <c r="A1474" s="90">
        <v>1458</v>
      </c>
      <c r="B1474" s="110">
        <v>1.1035325818268635</v>
      </c>
      <c r="C1474" s="110">
        <v>1.0524505004923457</v>
      </c>
      <c r="G1474" s="90">
        <v>1458</v>
      </c>
      <c r="H1474" s="100">
        <v>-4.7395217117979997E-2</v>
      </c>
      <c r="I1474" s="100">
        <v>-6.2472332623911456E-2</v>
      </c>
    </row>
    <row r="1475" spans="1:9">
      <c r="A1475" s="90">
        <v>1459</v>
      </c>
      <c r="B1475" s="110">
        <v>1.1278413462579604</v>
      </c>
      <c r="C1475" s="110">
        <v>1.0540260441630354</v>
      </c>
      <c r="G1475" s="90">
        <v>1459</v>
      </c>
      <c r="H1475" s="100">
        <v>-6.7688333057139616E-2</v>
      </c>
      <c r="I1475" s="100">
        <v>-6.2468937372860057E-2</v>
      </c>
    </row>
    <row r="1476" spans="1:9">
      <c r="A1476" s="90">
        <v>1460</v>
      </c>
      <c r="B1476" s="110">
        <v>1.0845033363683685</v>
      </c>
      <c r="C1476" s="110">
        <v>1.050134045790527</v>
      </c>
      <c r="G1476" s="90">
        <v>1460</v>
      </c>
      <c r="H1476" s="100">
        <v>-3.2204309012755866E-2</v>
      </c>
      <c r="I1476" s="100">
        <v>-6.244830721033337E-2</v>
      </c>
    </row>
    <row r="1477" spans="1:9">
      <c r="A1477" s="90">
        <v>1461</v>
      </c>
      <c r="B1477" s="110">
        <v>1.1180929989668897</v>
      </c>
      <c r="C1477" s="110">
        <v>1.0584957875150045</v>
      </c>
      <c r="G1477" s="90">
        <v>1461</v>
      </c>
      <c r="H1477" s="100">
        <v>-5.477572269609754E-2</v>
      </c>
      <c r="I1477" s="100">
        <v>-6.244472123710796E-2</v>
      </c>
    </row>
    <row r="1478" spans="1:9">
      <c r="A1478" s="90">
        <v>1462</v>
      </c>
      <c r="B1478" s="110">
        <v>1.1302240857715999</v>
      </c>
      <c r="C1478" s="110">
        <v>1.0627603495760902</v>
      </c>
      <c r="G1478" s="90">
        <v>1462</v>
      </c>
      <c r="H1478" s="100">
        <v>-6.1546292361349418E-2</v>
      </c>
      <c r="I1478" s="100">
        <v>-6.2442714539482996E-2</v>
      </c>
    </row>
    <row r="1479" spans="1:9">
      <c r="A1479" s="90">
        <v>1463</v>
      </c>
      <c r="B1479" s="110">
        <v>1.0964112465470279</v>
      </c>
      <c r="C1479" s="110">
        <v>1.038484592136443</v>
      </c>
      <c r="G1479" s="90">
        <v>1463</v>
      </c>
      <c r="H1479" s="100">
        <v>-5.4279815526686766E-2</v>
      </c>
      <c r="I1479" s="100">
        <v>-6.2437484961441442E-2</v>
      </c>
    </row>
    <row r="1480" spans="1:9">
      <c r="A1480" s="90">
        <v>1464</v>
      </c>
      <c r="B1480" s="110">
        <v>1.1224103567271533</v>
      </c>
      <c r="C1480" s="110">
        <v>1.0726857915972243</v>
      </c>
      <c r="G1480" s="90">
        <v>1464</v>
      </c>
      <c r="H1480" s="100">
        <v>-4.5312887993017623E-2</v>
      </c>
      <c r="I1480" s="100">
        <v>-6.2424681923769224E-2</v>
      </c>
    </row>
    <row r="1481" spans="1:9">
      <c r="A1481" s="90">
        <v>1465</v>
      </c>
      <c r="B1481" s="110">
        <v>1.0984765364157472</v>
      </c>
      <c r="C1481" s="110">
        <v>1.051606630433461</v>
      </c>
      <c r="G1481" s="90">
        <v>1465</v>
      </c>
      <c r="H1481" s="100">
        <v>-4.3605134011972871E-2</v>
      </c>
      <c r="I1481" s="100">
        <v>-6.2414363102165193E-2</v>
      </c>
    </row>
    <row r="1482" spans="1:9">
      <c r="A1482" s="90">
        <v>1466</v>
      </c>
      <c r="B1482" s="110">
        <v>1.0927083896763343</v>
      </c>
      <c r="C1482" s="110">
        <v>1.0413466398241613</v>
      </c>
      <c r="G1482" s="90">
        <v>1466</v>
      </c>
      <c r="H1482" s="100">
        <v>-4.814465394917701E-2</v>
      </c>
      <c r="I1482" s="100">
        <v>-6.2412223657212135E-2</v>
      </c>
    </row>
    <row r="1483" spans="1:9">
      <c r="A1483" s="90">
        <v>1467</v>
      </c>
      <c r="B1483" s="110">
        <v>1.0896510076715529</v>
      </c>
      <c r="C1483" s="110">
        <v>1.0547224422576795</v>
      </c>
      <c r="G1483" s="90">
        <v>1467</v>
      </c>
      <c r="H1483" s="100">
        <v>-3.2579824118590894E-2</v>
      </c>
      <c r="I1483" s="100">
        <v>-6.2401779738211288E-2</v>
      </c>
    </row>
    <row r="1484" spans="1:9">
      <c r="A1484" s="90">
        <v>1468</v>
      </c>
      <c r="B1484" s="110">
        <v>1.1155798988590897</v>
      </c>
      <c r="C1484" s="110">
        <v>1.0461163880951057</v>
      </c>
      <c r="G1484" s="90">
        <v>1468</v>
      </c>
      <c r="H1484" s="100">
        <v>-6.4289729233597243E-2</v>
      </c>
      <c r="I1484" s="100">
        <v>-6.2394290882544522E-2</v>
      </c>
    </row>
    <row r="1485" spans="1:9">
      <c r="A1485" s="90">
        <v>1469</v>
      </c>
      <c r="B1485" s="110">
        <v>1.1434300322296924</v>
      </c>
      <c r="C1485" s="110">
        <v>1.0418333287781827</v>
      </c>
      <c r="G1485" s="90">
        <v>1469</v>
      </c>
      <c r="H1485" s="100">
        <v>-9.305056787818218E-2</v>
      </c>
      <c r="I1485" s="100">
        <v>-6.2389464482378296E-2</v>
      </c>
    </row>
    <row r="1486" spans="1:9">
      <c r="A1486" s="90">
        <v>1470</v>
      </c>
      <c r="B1486" s="110">
        <v>1.1094073683486494</v>
      </c>
      <c r="C1486" s="110">
        <v>1.0647069513026286</v>
      </c>
      <c r="G1486" s="90">
        <v>1470</v>
      </c>
      <c r="H1486" s="100">
        <v>-4.1126372158053856E-2</v>
      </c>
      <c r="I1486" s="100">
        <v>-6.2389304153759421E-2</v>
      </c>
    </row>
    <row r="1487" spans="1:9">
      <c r="A1487" s="90">
        <v>1471</v>
      </c>
      <c r="B1487" s="110">
        <v>1.1227864680014341</v>
      </c>
      <c r="C1487" s="110">
        <v>1.0607862361699285</v>
      </c>
      <c r="G1487" s="90">
        <v>1471</v>
      </c>
      <c r="H1487" s="100">
        <v>-5.6803148009064018E-2</v>
      </c>
      <c r="I1487" s="100">
        <v>-6.2385333441472748E-2</v>
      </c>
    </row>
    <row r="1488" spans="1:9">
      <c r="A1488" s="90">
        <v>1472</v>
      </c>
      <c r="B1488" s="110">
        <v>1.1157718437347284</v>
      </c>
      <c r="C1488" s="110">
        <v>1.0318132646817515</v>
      </c>
      <c r="G1488" s="90">
        <v>1472</v>
      </c>
      <c r="H1488" s="100">
        <v>-7.8228696349262078E-2</v>
      </c>
      <c r="I1488" s="100">
        <v>-6.2379327795921528E-2</v>
      </c>
    </row>
    <row r="1489" spans="1:9">
      <c r="A1489" s="90">
        <v>1473</v>
      </c>
      <c r="B1489" s="110">
        <v>1.0990145465642609</v>
      </c>
      <c r="C1489" s="110">
        <v>1.0331693007458782</v>
      </c>
      <c r="G1489" s="90">
        <v>1473</v>
      </c>
      <c r="H1489" s="100">
        <v>-6.1782842507503197E-2</v>
      </c>
      <c r="I1489" s="100">
        <v>-6.2348327875389582E-2</v>
      </c>
    </row>
    <row r="1490" spans="1:9">
      <c r="A1490" s="90">
        <v>1474</v>
      </c>
      <c r="B1490" s="110">
        <v>1.1092254395998709</v>
      </c>
      <c r="C1490" s="110">
        <v>1.0396342068792637</v>
      </c>
      <c r="G1490" s="90">
        <v>1474</v>
      </c>
      <c r="H1490" s="100">
        <v>-6.4793042455437405E-2</v>
      </c>
      <c r="I1490" s="100">
        <v>-6.2316539326574473E-2</v>
      </c>
    </row>
    <row r="1491" spans="1:9">
      <c r="A1491" s="90">
        <v>1475</v>
      </c>
      <c r="B1491" s="110">
        <v>1.1060775654666752</v>
      </c>
      <c r="C1491" s="110">
        <v>1.0491434912255375</v>
      </c>
      <c r="G1491" s="90">
        <v>1475</v>
      </c>
      <c r="H1491" s="100">
        <v>-5.2845923521732223E-2</v>
      </c>
      <c r="I1491" s="100">
        <v>-6.2314900609530752E-2</v>
      </c>
    </row>
    <row r="1492" spans="1:9">
      <c r="A1492" s="90">
        <v>1476</v>
      </c>
      <c r="B1492" s="110">
        <v>1.118909379160884</v>
      </c>
      <c r="C1492" s="110">
        <v>1.0316585382220513</v>
      </c>
      <c r="G1492" s="90">
        <v>1476</v>
      </c>
      <c r="H1492" s="100">
        <v>-8.1186703787280448E-2</v>
      </c>
      <c r="I1492" s="100">
        <v>-6.2259522831656977E-2</v>
      </c>
    </row>
    <row r="1493" spans="1:9">
      <c r="A1493" s="90">
        <v>1477</v>
      </c>
      <c r="B1493" s="110">
        <v>1.1530410545755423</v>
      </c>
      <c r="C1493" s="110">
        <v>1.0664026103829354</v>
      </c>
      <c r="G1493" s="90">
        <v>1477</v>
      </c>
      <c r="H1493" s="100">
        <v>-7.8111909671436344E-2</v>
      </c>
      <c r="I1493" s="100">
        <v>-6.2258777416801789E-2</v>
      </c>
    </row>
    <row r="1494" spans="1:9">
      <c r="A1494" s="90">
        <v>1478</v>
      </c>
      <c r="B1494" s="110">
        <v>1.1096071520807798</v>
      </c>
      <c r="C1494" s="110">
        <v>1.0754205065581846</v>
      </c>
      <c r="G1494" s="90">
        <v>1478</v>
      </c>
      <c r="H1494" s="100">
        <v>-3.1294281652126971E-2</v>
      </c>
      <c r="I1494" s="100">
        <v>-6.2246722082244181E-2</v>
      </c>
    </row>
    <row r="1495" spans="1:9">
      <c r="A1495" s="90">
        <v>1479</v>
      </c>
      <c r="B1495" s="110">
        <v>1.1087961982730075</v>
      </c>
      <c r="C1495" s="110">
        <v>1.0454905581894858</v>
      </c>
      <c r="G1495" s="90">
        <v>1479</v>
      </c>
      <c r="H1495" s="100">
        <v>-5.8788711820256898E-2</v>
      </c>
      <c r="I1495" s="100">
        <v>-6.2246715408256333E-2</v>
      </c>
    </row>
    <row r="1496" spans="1:9">
      <c r="A1496" s="90">
        <v>1480</v>
      </c>
      <c r="B1496" s="110">
        <v>1.1011287467695221</v>
      </c>
      <c r="C1496" s="110">
        <v>1.0509539348919359</v>
      </c>
      <c r="G1496" s="90">
        <v>1480</v>
      </c>
      <c r="H1496" s="100">
        <v>-4.6637525970709783E-2</v>
      </c>
      <c r="I1496" s="100">
        <v>-6.2246127125357154E-2</v>
      </c>
    </row>
    <row r="1497" spans="1:9">
      <c r="A1497" s="90">
        <v>1481</v>
      </c>
      <c r="B1497" s="110">
        <v>1.1199999582885289</v>
      </c>
      <c r="C1497" s="110">
        <v>1.0493008487564708</v>
      </c>
      <c r="G1497" s="90">
        <v>1481</v>
      </c>
      <c r="H1497" s="100">
        <v>-6.5204564004468044E-2</v>
      </c>
      <c r="I1497" s="100">
        <v>-6.2231603363288264E-2</v>
      </c>
    </row>
    <row r="1498" spans="1:9">
      <c r="A1498" s="90">
        <v>1482</v>
      </c>
      <c r="B1498" s="110">
        <v>1.1085727415949718</v>
      </c>
      <c r="C1498" s="110">
        <v>1.0566461908938338</v>
      </c>
      <c r="G1498" s="90">
        <v>1482</v>
      </c>
      <c r="H1498" s="100">
        <v>-4.7973448237233512E-2</v>
      </c>
      <c r="I1498" s="100">
        <v>-6.220323960753283E-2</v>
      </c>
    </row>
    <row r="1499" spans="1:9">
      <c r="A1499" s="90">
        <v>1483</v>
      </c>
      <c r="B1499" s="110">
        <v>1.0947708778272867</v>
      </c>
      <c r="C1499" s="110">
        <v>1.0391226055098897</v>
      </c>
      <c r="G1499" s="90">
        <v>1483</v>
      </c>
      <c r="H1499" s="100">
        <v>-5.216838884715852E-2</v>
      </c>
      <c r="I1499" s="100">
        <v>-6.2189864702364837E-2</v>
      </c>
    </row>
    <row r="1500" spans="1:9">
      <c r="A1500" s="90">
        <v>1484</v>
      </c>
      <c r="B1500" s="110">
        <v>1.1296848640910904</v>
      </c>
      <c r="C1500" s="110">
        <v>1.0413014716316875</v>
      </c>
      <c r="G1500" s="90">
        <v>1484</v>
      </c>
      <c r="H1500" s="100">
        <v>-8.1467366677696398E-2</v>
      </c>
      <c r="I1500" s="100">
        <v>-6.218577706862654E-2</v>
      </c>
    </row>
    <row r="1501" spans="1:9">
      <c r="A1501" s="90">
        <v>1485</v>
      </c>
      <c r="B1501" s="110">
        <v>1.1020096057291198</v>
      </c>
      <c r="C1501" s="110">
        <v>1.0530552602334529</v>
      </c>
      <c r="G1501" s="90">
        <v>1485</v>
      </c>
      <c r="H1501" s="100">
        <v>-4.5439716696275383E-2</v>
      </c>
      <c r="I1501" s="100">
        <v>-6.2163708825664979E-2</v>
      </c>
    </row>
    <row r="1502" spans="1:9">
      <c r="A1502" s="90">
        <v>1486</v>
      </c>
      <c r="B1502" s="110">
        <v>1.1187318400553352</v>
      </c>
      <c r="C1502" s="110">
        <v>1.0520345300512584</v>
      </c>
      <c r="G1502" s="90">
        <v>1486</v>
      </c>
      <c r="H1502" s="100">
        <v>-6.1469821102920694E-2</v>
      </c>
      <c r="I1502" s="100">
        <v>-6.2162570832269635E-2</v>
      </c>
    </row>
    <row r="1503" spans="1:9">
      <c r="A1503" s="90">
        <v>1487</v>
      </c>
      <c r="B1503" s="110">
        <v>1.1095570504194416</v>
      </c>
      <c r="C1503" s="110">
        <v>1.0430999257211229</v>
      </c>
      <c r="G1503" s="90">
        <v>1487</v>
      </c>
      <c r="H1503" s="100">
        <v>-6.1763904514908784E-2</v>
      </c>
      <c r="I1503" s="100">
        <v>-6.215331878939976E-2</v>
      </c>
    </row>
    <row r="1504" spans="1:9">
      <c r="A1504" s="90">
        <v>1488</v>
      </c>
      <c r="B1504" s="110">
        <v>1.0721401817907783</v>
      </c>
      <c r="C1504" s="110">
        <v>1.0688106848290531</v>
      </c>
      <c r="G1504" s="90">
        <v>1488</v>
      </c>
      <c r="H1504" s="100">
        <v>-3.1102999118343966E-3</v>
      </c>
      <c r="I1504" s="100">
        <v>-6.2146152154825988E-2</v>
      </c>
    </row>
    <row r="1505" spans="1:9">
      <c r="A1505" s="90">
        <v>1489</v>
      </c>
      <c r="B1505" s="110">
        <v>1.1612410948753542</v>
      </c>
      <c r="C1505" s="110">
        <v>1.065492436768114</v>
      </c>
      <c r="G1505" s="90">
        <v>1489</v>
      </c>
      <c r="H1505" s="100">
        <v>-8.605226831076962E-2</v>
      </c>
      <c r="I1505" s="100">
        <v>-6.2113892904844273E-2</v>
      </c>
    </row>
    <row r="1506" spans="1:9">
      <c r="A1506" s="90">
        <v>1490</v>
      </c>
      <c r="B1506" s="110">
        <v>1.1348344945070317</v>
      </c>
      <c r="C1506" s="110">
        <v>1.0463743185297338</v>
      </c>
      <c r="G1506" s="90">
        <v>1490</v>
      </c>
      <c r="H1506" s="100">
        <v>-8.1155661752883607E-2</v>
      </c>
      <c r="I1506" s="100">
        <v>-6.2086787960953953E-2</v>
      </c>
    </row>
    <row r="1507" spans="1:9">
      <c r="A1507" s="90">
        <v>1491</v>
      </c>
      <c r="B1507" s="110">
        <v>1.1532459828509791</v>
      </c>
      <c r="C1507" s="110">
        <v>1.0603605404769716</v>
      </c>
      <c r="G1507" s="90">
        <v>1491</v>
      </c>
      <c r="H1507" s="100">
        <v>-8.3971577303388098E-2</v>
      </c>
      <c r="I1507" s="100">
        <v>-6.2081988831126936E-2</v>
      </c>
    </row>
    <row r="1508" spans="1:9">
      <c r="A1508" s="90">
        <v>1492</v>
      </c>
      <c r="B1508" s="110">
        <v>1.0831325588438985</v>
      </c>
      <c r="C1508" s="110">
        <v>1.0550096751498133</v>
      </c>
      <c r="G1508" s="90">
        <v>1492</v>
      </c>
      <c r="H1508" s="100">
        <v>-2.630742255571928E-2</v>
      </c>
      <c r="I1508" s="100">
        <v>-6.2075674710524428E-2</v>
      </c>
    </row>
    <row r="1509" spans="1:9">
      <c r="A1509" s="90">
        <v>1493</v>
      </c>
      <c r="B1509" s="110">
        <v>1.1274575810003036</v>
      </c>
      <c r="C1509" s="110">
        <v>1.0511952310862183</v>
      </c>
      <c r="G1509" s="90">
        <v>1493</v>
      </c>
      <c r="H1509" s="100">
        <v>-7.0037337414286721E-2</v>
      </c>
      <c r="I1509" s="100">
        <v>-6.2068108755849248E-2</v>
      </c>
    </row>
    <row r="1510" spans="1:9">
      <c r="A1510" s="90">
        <v>1494</v>
      </c>
      <c r="B1510" s="110">
        <v>1.0893329345415033</v>
      </c>
      <c r="C1510" s="110">
        <v>1.0706237700604182</v>
      </c>
      <c r="G1510" s="90">
        <v>1494</v>
      </c>
      <c r="H1510" s="100">
        <v>-1.7324080951234611E-2</v>
      </c>
      <c r="I1510" s="100">
        <v>-6.2066151100086765E-2</v>
      </c>
    </row>
    <row r="1511" spans="1:9">
      <c r="A1511" s="90">
        <v>1495</v>
      </c>
      <c r="B1511" s="110">
        <v>1.1098625166159832</v>
      </c>
      <c r="C1511" s="110">
        <v>1.0525034654691958</v>
      </c>
      <c r="G1511" s="90">
        <v>1495</v>
      </c>
      <c r="H1511" s="100">
        <v>-5.3064569572284843E-2</v>
      </c>
      <c r="I1511" s="100">
        <v>-6.2049239771641798E-2</v>
      </c>
    </row>
    <row r="1512" spans="1:9">
      <c r="A1512" s="90">
        <v>1496</v>
      </c>
      <c r="B1512" s="110">
        <v>1.0938157236541994</v>
      </c>
      <c r="C1512" s="110">
        <v>1.0615065713417282</v>
      </c>
      <c r="G1512" s="90">
        <v>1496</v>
      </c>
      <c r="H1512" s="100">
        <v>-2.9983054321777381E-2</v>
      </c>
      <c r="I1512" s="100">
        <v>-6.2044128205133463E-2</v>
      </c>
    </row>
    <row r="1513" spans="1:9">
      <c r="A1513" s="90">
        <v>1497</v>
      </c>
      <c r="B1513" s="110">
        <v>1.0974222334618966</v>
      </c>
      <c r="C1513" s="110">
        <v>1.0645435124985847</v>
      </c>
      <c r="G1513" s="90">
        <v>1497</v>
      </c>
      <c r="H1513" s="100">
        <v>-3.0417925050374005E-2</v>
      </c>
      <c r="I1513" s="100">
        <v>-6.2012219432856015E-2</v>
      </c>
    </row>
    <row r="1514" spans="1:9">
      <c r="A1514" s="90">
        <v>1498</v>
      </c>
      <c r="B1514" s="110">
        <v>1.1193354407967302</v>
      </c>
      <c r="C1514" s="110">
        <v>1.0590786337210796</v>
      </c>
      <c r="G1514" s="90">
        <v>1498</v>
      </c>
      <c r="H1514" s="100">
        <v>-5.5335836101700925E-2</v>
      </c>
      <c r="I1514" s="100">
        <v>-6.1988158061647584E-2</v>
      </c>
    </row>
    <row r="1515" spans="1:9">
      <c r="A1515" s="90">
        <v>1499</v>
      </c>
      <c r="B1515" s="110">
        <v>1.135795451567557</v>
      </c>
      <c r="C1515" s="110">
        <v>1.0394372599795989</v>
      </c>
      <c r="G1515" s="90">
        <v>1499</v>
      </c>
      <c r="H1515" s="100">
        <v>-8.8653773311887396E-2</v>
      </c>
      <c r="I1515" s="100">
        <v>-6.1988123189422824E-2</v>
      </c>
    </row>
    <row r="1516" spans="1:9">
      <c r="A1516" s="90">
        <v>1500</v>
      </c>
      <c r="B1516" s="110">
        <v>1.0893314956319227</v>
      </c>
      <c r="C1516" s="110">
        <v>1.0592040684419788</v>
      </c>
      <c r="G1516" s="90">
        <v>1500</v>
      </c>
      <c r="H1516" s="100">
        <v>-2.8046454086877778E-2</v>
      </c>
      <c r="I1516" s="100">
        <v>-6.1976637817647388E-2</v>
      </c>
    </row>
    <row r="1517" spans="1:9">
      <c r="A1517" s="90">
        <v>1501</v>
      </c>
      <c r="B1517" s="110">
        <v>1.1125754514742947</v>
      </c>
      <c r="C1517" s="110">
        <v>1.0660947532483682</v>
      </c>
      <c r="G1517" s="90">
        <v>1501</v>
      </c>
      <c r="H1517" s="100">
        <v>-4.2675345790398701E-2</v>
      </c>
      <c r="I1517" s="100">
        <v>-6.1969076218993432E-2</v>
      </c>
    </row>
    <row r="1518" spans="1:9">
      <c r="A1518" s="90">
        <v>1502</v>
      </c>
      <c r="B1518" s="110">
        <v>1.1045661241114384</v>
      </c>
      <c r="C1518" s="110">
        <v>1.0550092288734934</v>
      </c>
      <c r="G1518" s="90">
        <v>1502</v>
      </c>
      <c r="H1518" s="100">
        <v>-4.5903095363252371E-2</v>
      </c>
      <c r="I1518" s="100">
        <v>-6.1965991902548825E-2</v>
      </c>
    </row>
    <row r="1519" spans="1:9">
      <c r="A1519" s="90">
        <v>1503</v>
      </c>
      <c r="B1519" s="110">
        <v>1.1241795378092905</v>
      </c>
      <c r="C1519" s="110">
        <v>1.0553422349795269</v>
      </c>
      <c r="G1519" s="90">
        <v>1503</v>
      </c>
      <c r="H1519" s="100">
        <v>-6.3188362193485836E-2</v>
      </c>
      <c r="I1519" s="100">
        <v>-6.1958382885570353E-2</v>
      </c>
    </row>
    <row r="1520" spans="1:9">
      <c r="A1520" s="90">
        <v>1504</v>
      </c>
      <c r="B1520" s="110">
        <v>1.1450624781851038</v>
      </c>
      <c r="C1520" s="110">
        <v>1.0407279885051421</v>
      </c>
      <c r="G1520" s="90">
        <v>1504</v>
      </c>
      <c r="H1520" s="100">
        <v>-9.5538744395516587E-2</v>
      </c>
      <c r="I1520" s="100">
        <v>-6.1948198021099243E-2</v>
      </c>
    </row>
    <row r="1521" spans="1:9">
      <c r="A1521" s="90">
        <v>1505</v>
      </c>
      <c r="B1521" s="110">
        <v>1.1031104833907681</v>
      </c>
      <c r="C1521" s="110">
        <v>1.0584696560053879</v>
      </c>
      <c r="G1521" s="90">
        <v>1505</v>
      </c>
      <c r="H1521" s="100">
        <v>-4.1309757315099407E-2</v>
      </c>
      <c r="I1521" s="100">
        <v>-6.1944073700885172E-2</v>
      </c>
    </row>
    <row r="1522" spans="1:9">
      <c r="A1522" s="90">
        <v>1506</v>
      </c>
      <c r="B1522" s="110">
        <v>1.1109623944361904</v>
      </c>
      <c r="C1522" s="110">
        <v>1.0475449918644677</v>
      </c>
      <c r="G1522" s="90">
        <v>1506</v>
      </c>
      <c r="H1522" s="100">
        <v>-5.8777338140006019E-2</v>
      </c>
      <c r="I1522" s="100">
        <v>-6.1917692044147925E-2</v>
      </c>
    </row>
    <row r="1523" spans="1:9">
      <c r="A1523" s="90">
        <v>1507</v>
      </c>
      <c r="B1523" s="110">
        <v>1.1156543114799096</v>
      </c>
      <c r="C1523" s="110">
        <v>1.0498779909677252</v>
      </c>
      <c r="G1523" s="90">
        <v>1507</v>
      </c>
      <c r="H1523" s="100">
        <v>-6.0767100896720015E-2</v>
      </c>
      <c r="I1523" s="100">
        <v>-6.1902861595335423E-2</v>
      </c>
    </row>
    <row r="1524" spans="1:9">
      <c r="A1524" s="90">
        <v>1508</v>
      </c>
      <c r="B1524" s="110">
        <v>1.1435952861296552</v>
      </c>
      <c r="C1524" s="110">
        <v>1.0393345323740033</v>
      </c>
      <c r="G1524" s="90">
        <v>1508</v>
      </c>
      <c r="H1524" s="100">
        <v>-9.5596423870186534E-2</v>
      </c>
      <c r="I1524" s="100">
        <v>-6.1890163492642584E-2</v>
      </c>
    </row>
    <row r="1525" spans="1:9">
      <c r="A1525" s="90">
        <v>1509</v>
      </c>
      <c r="B1525" s="110">
        <v>1.1083679673237967</v>
      </c>
      <c r="C1525" s="110">
        <v>1.0499220915858609</v>
      </c>
      <c r="G1525" s="90">
        <v>1509</v>
      </c>
      <c r="H1525" s="100">
        <v>-5.4172670737745385E-2</v>
      </c>
      <c r="I1525" s="100">
        <v>-6.18870373786276E-2</v>
      </c>
    </row>
    <row r="1526" spans="1:9">
      <c r="A1526" s="90">
        <v>1510</v>
      </c>
      <c r="B1526" s="110">
        <v>1.1206244301427755</v>
      </c>
      <c r="C1526" s="110">
        <v>1.045681981949546</v>
      </c>
      <c r="G1526" s="90">
        <v>1510</v>
      </c>
      <c r="H1526" s="100">
        <v>-6.921676999735922E-2</v>
      </c>
      <c r="I1526" s="100">
        <v>-6.1864974461717799E-2</v>
      </c>
    </row>
    <row r="1527" spans="1:9">
      <c r="A1527" s="90">
        <v>1511</v>
      </c>
      <c r="B1527" s="110">
        <v>1.1299344824654001</v>
      </c>
      <c r="C1527" s="110">
        <v>1.0808466198783584</v>
      </c>
      <c r="G1527" s="90">
        <v>1511</v>
      </c>
      <c r="H1527" s="100">
        <v>-4.4415009588162108E-2</v>
      </c>
      <c r="I1527" s="100">
        <v>-6.1863211344878474E-2</v>
      </c>
    </row>
    <row r="1528" spans="1:9">
      <c r="A1528" s="90">
        <v>1512</v>
      </c>
      <c r="B1528" s="110">
        <v>1.1247797835891815</v>
      </c>
      <c r="C1528" s="110">
        <v>1.0594518672984297</v>
      </c>
      <c r="G1528" s="90">
        <v>1512</v>
      </c>
      <c r="H1528" s="100">
        <v>-5.9835600518374908E-2</v>
      </c>
      <c r="I1528" s="100">
        <v>-6.1854482721682931E-2</v>
      </c>
    </row>
    <row r="1529" spans="1:9">
      <c r="A1529" s="90">
        <v>1513</v>
      </c>
      <c r="B1529" s="110">
        <v>1.087764982279501</v>
      </c>
      <c r="C1529" s="110">
        <v>1.0657910690878614</v>
      </c>
      <c r="G1529" s="90">
        <v>1513</v>
      </c>
      <c r="H1529" s="100">
        <v>-2.0407804859247432E-2</v>
      </c>
      <c r="I1529" s="100">
        <v>-6.1851100171744812E-2</v>
      </c>
    </row>
    <row r="1530" spans="1:9">
      <c r="A1530" s="90">
        <v>1514</v>
      </c>
      <c r="B1530" s="110">
        <v>1.1402182258282256</v>
      </c>
      <c r="C1530" s="110">
        <v>1.0409074078749634</v>
      </c>
      <c r="G1530" s="90">
        <v>1514</v>
      </c>
      <c r="H1530" s="100">
        <v>-9.1126829939974285E-2</v>
      </c>
      <c r="I1530" s="100">
        <v>-6.1849969001967861E-2</v>
      </c>
    </row>
    <row r="1531" spans="1:9">
      <c r="A1531" s="90">
        <v>1515</v>
      </c>
      <c r="B1531" s="110">
        <v>1.1162379020499935</v>
      </c>
      <c r="C1531" s="110">
        <v>1.0346757602394663</v>
      </c>
      <c r="G1531" s="90">
        <v>1515</v>
      </c>
      <c r="H1531" s="100">
        <v>-7.58759126152415E-2</v>
      </c>
      <c r="I1531" s="100">
        <v>-6.184091797832194E-2</v>
      </c>
    </row>
    <row r="1532" spans="1:9">
      <c r="A1532" s="90">
        <v>1516</v>
      </c>
      <c r="B1532" s="110">
        <v>1.1002153745229311</v>
      </c>
      <c r="C1532" s="110">
        <v>1.0634999965224061</v>
      </c>
      <c r="G1532" s="90">
        <v>1516</v>
      </c>
      <c r="H1532" s="100">
        <v>-3.3940603271624889E-2</v>
      </c>
      <c r="I1532" s="100">
        <v>-6.1828445829741965E-2</v>
      </c>
    </row>
    <row r="1533" spans="1:9">
      <c r="A1533" s="90">
        <v>1517</v>
      </c>
      <c r="B1533" s="110">
        <v>1.1131111659374746</v>
      </c>
      <c r="C1533" s="110">
        <v>1.0557153717283199</v>
      </c>
      <c r="G1533" s="90">
        <v>1517</v>
      </c>
      <c r="H1533" s="100">
        <v>-5.2940332249295591E-2</v>
      </c>
      <c r="I1533" s="100">
        <v>-6.179570446142784E-2</v>
      </c>
    </row>
    <row r="1534" spans="1:9">
      <c r="A1534" s="90">
        <v>1518</v>
      </c>
      <c r="B1534" s="110">
        <v>1.1350356527103123</v>
      </c>
      <c r="C1534" s="110">
        <v>1.0551815429785218</v>
      </c>
      <c r="G1534" s="90">
        <v>1518</v>
      </c>
      <c r="H1534" s="100">
        <v>-7.2951231742763092E-2</v>
      </c>
      <c r="I1534" s="100">
        <v>-6.1790194945102336E-2</v>
      </c>
    </row>
    <row r="1535" spans="1:9">
      <c r="A1535" s="90">
        <v>1519</v>
      </c>
      <c r="B1535" s="110">
        <v>1.1061322837522158</v>
      </c>
      <c r="C1535" s="110">
        <v>1.0484690714948555</v>
      </c>
      <c r="G1535" s="90">
        <v>1519</v>
      </c>
      <c r="H1535" s="100">
        <v>-5.3538428444766757E-2</v>
      </c>
      <c r="I1535" s="100">
        <v>-6.1786397745665585E-2</v>
      </c>
    </row>
    <row r="1536" spans="1:9">
      <c r="A1536" s="90">
        <v>1520</v>
      </c>
      <c r="B1536" s="110">
        <v>1.1172475207182193</v>
      </c>
      <c r="C1536" s="110">
        <v>1.0672199859595848</v>
      </c>
      <c r="G1536" s="90">
        <v>1520</v>
      </c>
      <c r="H1536" s="100">
        <v>-4.5810966258609198E-2</v>
      </c>
      <c r="I1536" s="100">
        <v>-6.1782842507503197E-2</v>
      </c>
    </row>
    <row r="1537" spans="1:9">
      <c r="A1537" s="90">
        <v>1521</v>
      </c>
      <c r="B1537" s="110">
        <v>1.134492387313871</v>
      </c>
      <c r="C1537" s="110">
        <v>1.0695157932177002</v>
      </c>
      <c r="G1537" s="90">
        <v>1521</v>
      </c>
      <c r="H1537" s="100">
        <v>-5.8979298698512143E-2</v>
      </c>
      <c r="I1537" s="100">
        <v>-6.1776345735389676E-2</v>
      </c>
    </row>
    <row r="1538" spans="1:9">
      <c r="A1538" s="90">
        <v>1522</v>
      </c>
      <c r="B1538" s="110">
        <v>1.1151142288027771</v>
      </c>
      <c r="C1538" s="110">
        <v>1.0571383880983227</v>
      </c>
      <c r="G1538" s="90">
        <v>1522</v>
      </c>
      <c r="H1538" s="100">
        <v>-5.3391223350145428E-2</v>
      </c>
      <c r="I1538" s="100">
        <v>-6.1763904514908784E-2</v>
      </c>
    </row>
    <row r="1539" spans="1:9">
      <c r="A1539" s="90">
        <v>1523</v>
      </c>
      <c r="B1539" s="110">
        <v>1.1217895562030509</v>
      </c>
      <c r="C1539" s="110">
        <v>1.0633275609834023</v>
      </c>
      <c r="G1539" s="90">
        <v>1523</v>
      </c>
      <c r="H1539" s="100">
        <v>-5.3522028620673193E-2</v>
      </c>
      <c r="I1539" s="100">
        <v>-6.176281244736493E-2</v>
      </c>
    </row>
    <row r="1540" spans="1:9">
      <c r="A1540" s="90">
        <v>1524</v>
      </c>
      <c r="B1540" s="110">
        <v>1.1065972334683862</v>
      </c>
      <c r="C1540" s="110">
        <v>1.0712179269354756</v>
      </c>
      <c r="G1540" s="90">
        <v>1524</v>
      </c>
      <c r="H1540" s="100">
        <v>-3.2493500818730481E-2</v>
      </c>
      <c r="I1540" s="100">
        <v>-6.174650355125369E-2</v>
      </c>
    </row>
    <row r="1541" spans="1:9">
      <c r="A1541" s="90">
        <v>1525</v>
      </c>
      <c r="B1541" s="110">
        <v>1.1058448033921258</v>
      </c>
      <c r="C1541" s="110">
        <v>1.0605770139261428</v>
      </c>
      <c r="G1541" s="90">
        <v>1525</v>
      </c>
      <c r="H1541" s="100">
        <v>-4.1796458045494214E-2</v>
      </c>
      <c r="I1541" s="100">
        <v>-6.1740969371253382E-2</v>
      </c>
    </row>
    <row r="1542" spans="1:9">
      <c r="A1542" s="90">
        <v>1526</v>
      </c>
      <c r="B1542" s="110">
        <v>1.1034975429809246</v>
      </c>
      <c r="C1542" s="110">
        <v>1.0623237007868842</v>
      </c>
      <c r="G1542" s="90">
        <v>1526</v>
      </c>
      <c r="H1542" s="100">
        <v>-3.8026040765426469E-2</v>
      </c>
      <c r="I1542" s="100">
        <v>-6.1688653974135761E-2</v>
      </c>
    </row>
    <row r="1543" spans="1:9">
      <c r="A1543" s="90">
        <v>1527</v>
      </c>
      <c r="B1543" s="110">
        <v>1.1240747182028996</v>
      </c>
      <c r="C1543" s="110">
        <v>1.0663596934960657</v>
      </c>
      <c r="G1543" s="90">
        <v>1527</v>
      </c>
      <c r="H1543" s="100">
        <v>-5.2709532160192751E-2</v>
      </c>
      <c r="I1543" s="100">
        <v>-6.1685039475024746E-2</v>
      </c>
    </row>
    <row r="1544" spans="1:9">
      <c r="A1544" s="90">
        <v>1528</v>
      </c>
      <c r="B1544" s="110">
        <v>1.1067444758897034</v>
      </c>
      <c r="C1544" s="110">
        <v>1.0596405414233303</v>
      </c>
      <c r="G1544" s="90">
        <v>1528</v>
      </c>
      <c r="H1544" s="100">
        <v>-4.3493062579813918E-2</v>
      </c>
      <c r="I1544" s="100">
        <v>-6.1659320879545142E-2</v>
      </c>
    </row>
    <row r="1545" spans="1:9">
      <c r="A1545" s="90">
        <v>1529</v>
      </c>
      <c r="B1545" s="110">
        <v>1.1054380153328163</v>
      </c>
      <c r="C1545" s="110">
        <v>1.0642219819189753</v>
      </c>
      <c r="G1545" s="90">
        <v>1529</v>
      </c>
      <c r="H1545" s="100">
        <v>-3.7997651610316409E-2</v>
      </c>
      <c r="I1545" s="100">
        <v>-6.1633457004342307E-2</v>
      </c>
    </row>
    <row r="1546" spans="1:9">
      <c r="A1546" s="90">
        <v>1530</v>
      </c>
      <c r="B1546" s="110">
        <v>1.122404041659292</v>
      </c>
      <c r="C1546" s="110">
        <v>1.0456962802540462</v>
      </c>
      <c r="G1546" s="90">
        <v>1530</v>
      </c>
      <c r="H1546" s="100">
        <v>-7.0789890274392017E-2</v>
      </c>
      <c r="I1546" s="100">
        <v>-6.1614430205012297E-2</v>
      </c>
    </row>
    <row r="1547" spans="1:9">
      <c r="A1547" s="90">
        <v>1531</v>
      </c>
      <c r="B1547" s="110">
        <v>1.1235830036865948</v>
      </c>
      <c r="C1547" s="110">
        <v>1.0482303480401911</v>
      </c>
      <c r="G1547" s="90">
        <v>1531</v>
      </c>
      <c r="H1547" s="100">
        <v>-6.9419329979980252E-2</v>
      </c>
      <c r="I1547" s="100">
        <v>-6.1589835572106032E-2</v>
      </c>
    </row>
    <row r="1548" spans="1:9">
      <c r="A1548" s="90">
        <v>1532</v>
      </c>
      <c r="B1548" s="110">
        <v>1.1408291630153831</v>
      </c>
      <c r="C1548" s="110">
        <v>1.0400543710585355</v>
      </c>
      <c r="G1548" s="90">
        <v>1532</v>
      </c>
      <c r="H1548" s="100">
        <v>-9.2482342353472163E-2</v>
      </c>
      <c r="I1548" s="100">
        <v>-6.1589703475297283E-2</v>
      </c>
    </row>
    <row r="1549" spans="1:9">
      <c r="A1549" s="90">
        <v>1533</v>
      </c>
      <c r="B1549" s="110">
        <v>1.1118221008122253</v>
      </c>
      <c r="C1549" s="110">
        <v>1.0678795013143687</v>
      </c>
      <c r="G1549" s="90">
        <v>1533</v>
      </c>
      <c r="H1549" s="100">
        <v>-4.0325294058107017E-2</v>
      </c>
      <c r="I1549" s="100">
        <v>-6.1579827507744524E-2</v>
      </c>
    </row>
    <row r="1550" spans="1:9">
      <c r="A1550" s="90">
        <v>1534</v>
      </c>
      <c r="B1550" s="110">
        <v>1.0921082109289275</v>
      </c>
      <c r="C1550" s="110">
        <v>1.0516205214144181</v>
      </c>
      <c r="G1550" s="90">
        <v>1534</v>
      </c>
      <c r="H1550" s="100">
        <v>-3.7777638519401267E-2</v>
      </c>
      <c r="I1550" s="100">
        <v>-6.1577385936605854E-2</v>
      </c>
    </row>
    <row r="1551" spans="1:9">
      <c r="A1551" s="90">
        <v>1535</v>
      </c>
      <c r="B1551" s="110">
        <v>1.140606218014099</v>
      </c>
      <c r="C1551" s="110">
        <v>1.0651937860240903</v>
      </c>
      <c r="G1551" s="90">
        <v>1535</v>
      </c>
      <c r="H1551" s="100">
        <v>-6.8403149937571864E-2</v>
      </c>
      <c r="I1551" s="100">
        <v>-6.1568706969144155E-2</v>
      </c>
    </row>
    <row r="1552" spans="1:9">
      <c r="A1552" s="90">
        <v>1536</v>
      </c>
      <c r="B1552" s="110">
        <v>1.1617720753266683</v>
      </c>
      <c r="C1552" s="110">
        <v>1.0454540267513719</v>
      </c>
      <c r="G1552" s="90">
        <v>1536</v>
      </c>
      <c r="H1552" s="100">
        <v>-0.1054952241701044</v>
      </c>
      <c r="I1552" s="100">
        <v>-6.1546292361349418E-2</v>
      </c>
    </row>
    <row r="1553" spans="1:9">
      <c r="A1553" s="90">
        <v>1537</v>
      </c>
      <c r="B1553" s="110">
        <v>1.1149481458984498</v>
      </c>
      <c r="C1553" s="110">
        <v>1.0550760128250654</v>
      </c>
      <c r="G1553" s="90">
        <v>1537</v>
      </c>
      <c r="H1553" s="100">
        <v>-5.5195083506275271E-2</v>
      </c>
      <c r="I1553" s="100">
        <v>-6.1528300319886729E-2</v>
      </c>
    </row>
    <row r="1554" spans="1:9">
      <c r="A1554" s="90">
        <v>1538</v>
      </c>
      <c r="B1554" s="110">
        <v>1.1267811502716636</v>
      </c>
      <c r="C1554" s="110">
        <v>1.0316068612851677</v>
      </c>
      <c r="G1554" s="90">
        <v>1538</v>
      </c>
      <c r="H1554" s="100">
        <v>-8.824738221873446E-2</v>
      </c>
      <c r="I1554" s="100">
        <v>-6.1510688513347699E-2</v>
      </c>
    </row>
    <row r="1555" spans="1:9">
      <c r="A1555" s="90">
        <v>1539</v>
      </c>
      <c r="B1555" s="110">
        <v>1.0925573657212739</v>
      </c>
      <c r="C1555" s="110">
        <v>1.0474636746469239</v>
      </c>
      <c r="G1555" s="90">
        <v>1539</v>
      </c>
      <c r="H1555" s="100">
        <v>-4.2149461206940859E-2</v>
      </c>
      <c r="I1555" s="100">
        <v>-6.1498216196982584E-2</v>
      </c>
    </row>
    <row r="1556" spans="1:9">
      <c r="A1556" s="90">
        <v>1540</v>
      </c>
      <c r="B1556" s="110">
        <v>1.0777715066763545</v>
      </c>
      <c r="C1556" s="110">
        <v>1.0594260804345432</v>
      </c>
      <c r="G1556" s="90">
        <v>1540</v>
      </c>
      <c r="H1556" s="100">
        <v>-1.7168161664893895E-2</v>
      </c>
      <c r="I1556" s="100">
        <v>-6.1469821102920694E-2</v>
      </c>
    </row>
    <row r="1557" spans="1:9">
      <c r="A1557" s="90">
        <v>1541</v>
      </c>
      <c r="B1557" s="110">
        <v>1.106645450348442</v>
      </c>
      <c r="C1557" s="110">
        <v>1.0427533614824018</v>
      </c>
      <c r="G1557" s="90">
        <v>1541</v>
      </c>
      <c r="H1557" s="100">
        <v>-5.946864494441461E-2</v>
      </c>
      <c r="I1557" s="100">
        <v>-6.1445490244817165E-2</v>
      </c>
    </row>
    <row r="1558" spans="1:9">
      <c r="A1558" s="90">
        <v>1542</v>
      </c>
      <c r="B1558" s="110">
        <v>1.1049610801449092</v>
      </c>
      <c r="C1558" s="110">
        <v>1.0392331329620899</v>
      </c>
      <c r="G1558" s="90">
        <v>1542</v>
      </c>
      <c r="H1558" s="100">
        <v>-6.1327043752219194E-2</v>
      </c>
      <c r="I1558" s="100">
        <v>-6.1429496935767762E-2</v>
      </c>
    </row>
    <row r="1559" spans="1:9">
      <c r="A1559" s="90">
        <v>1543</v>
      </c>
      <c r="B1559" s="110">
        <v>1.1092362799476856</v>
      </c>
      <c r="C1559" s="110">
        <v>1.0331146675628535</v>
      </c>
      <c r="G1559" s="90">
        <v>1543</v>
      </c>
      <c r="H1559" s="100">
        <v>-7.1093554041567406E-2</v>
      </c>
      <c r="I1559" s="100">
        <v>-6.14280149863662E-2</v>
      </c>
    </row>
    <row r="1560" spans="1:9">
      <c r="A1560" s="90">
        <v>1544</v>
      </c>
      <c r="B1560" s="110">
        <v>1.1098785786443843</v>
      </c>
      <c r="C1560" s="110">
        <v>1.0424795173934087</v>
      </c>
      <c r="G1560" s="90">
        <v>1544</v>
      </c>
      <c r="H1560" s="100">
        <v>-6.2648593818666859E-2</v>
      </c>
      <c r="I1560" s="100">
        <v>-6.1397706130195719E-2</v>
      </c>
    </row>
    <row r="1561" spans="1:9">
      <c r="A1561" s="90">
        <v>1545</v>
      </c>
      <c r="B1561" s="110">
        <v>1.1197999173806892</v>
      </c>
      <c r="C1561" s="110">
        <v>1.0508771159390071</v>
      </c>
      <c r="G1561" s="90">
        <v>1545</v>
      </c>
      <c r="H1561" s="100">
        <v>-6.3524860178851159E-2</v>
      </c>
      <c r="I1561" s="100">
        <v>-6.1397170446882546E-2</v>
      </c>
    </row>
    <row r="1562" spans="1:9">
      <c r="A1562" s="90">
        <v>1546</v>
      </c>
      <c r="B1562" s="110">
        <v>1.1318677612249755</v>
      </c>
      <c r="C1562" s="110">
        <v>1.0545937971511961</v>
      </c>
      <c r="G1562" s="90">
        <v>1546</v>
      </c>
      <c r="H1562" s="100">
        <v>-7.0713487861938248E-2</v>
      </c>
      <c r="I1562" s="100">
        <v>-6.1388501409288962E-2</v>
      </c>
    </row>
    <row r="1563" spans="1:9">
      <c r="A1563" s="90">
        <v>1547</v>
      </c>
      <c r="B1563" s="110">
        <v>1.1179146165018017</v>
      </c>
      <c r="C1563" s="110">
        <v>1.0584189159777608</v>
      </c>
      <c r="G1563" s="90">
        <v>1547</v>
      </c>
      <c r="H1563" s="100">
        <v>-5.468879427435494E-2</v>
      </c>
      <c r="I1563" s="100">
        <v>-6.1369965580807644E-2</v>
      </c>
    </row>
    <row r="1564" spans="1:9">
      <c r="A1564" s="90">
        <v>1548</v>
      </c>
      <c r="B1564" s="110">
        <v>1.0878698038299028</v>
      </c>
      <c r="C1564" s="110">
        <v>1.0609675448058655</v>
      </c>
      <c r="G1564" s="90">
        <v>1548</v>
      </c>
      <c r="H1564" s="100">
        <v>-2.5040205761641943E-2</v>
      </c>
      <c r="I1564" s="100">
        <v>-6.136745852027381E-2</v>
      </c>
    </row>
    <row r="1565" spans="1:9">
      <c r="A1565" s="90">
        <v>1549</v>
      </c>
      <c r="B1565" s="110">
        <v>1.1216466295311733</v>
      </c>
      <c r="C1565" s="110">
        <v>1.066801388206337</v>
      </c>
      <c r="G1565" s="90">
        <v>1549</v>
      </c>
      <c r="H1565" s="100">
        <v>-5.013299594673104E-2</v>
      </c>
      <c r="I1565" s="100">
        <v>-6.1352744032976303E-2</v>
      </c>
    </row>
    <row r="1566" spans="1:9">
      <c r="A1566" s="90">
        <v>1550</v>
      </c>
      <c r="B1566" s="110">
        <v>1.1070073185646236</v>
      </c>
      <c r="C1566" s="110">
        <v>1.0586943467321213</v>
      </c>
      <c r="G1566" s="90">
        <v>1550</v>
      </c>
      <c r="H1566" s="100">
        <v>-4.4623864341614472E-2</v>
      </c>
      <c r="I1566" s="100">
        <v>-6.1349252509977165E-2</v>
      </c>
    </row>
    <row r="1567" spans="1:9">
      <c r="A1567" s="90">
        <v>1551</v>
      </c>
      <c r="B1567" s="110">
        <v>1.093108532545165</v>
      </c>
      <c r="C1567" s="110">
        <v>1.0650713578812125</v>
      </c>
      <c r="G1567" s="90">
        <v>1551</v>
      </c>
      <c r="H1567" s="100">
        <v>-2.5983702488056197E-2</v>
      </c>
      <c r="I1567" s="100">
        <v>-6.1342268388384191E-2</v>
      </c>
    </row>
    <row r="1568" spans="1:9">
      <c r="A1568" s="90">
        <v>1552</v>
      </c>
      <c r="B1568" s="110">
        <v>1.1252005199644328</v>
      </c>
      <c r="C1568" s="110">
        <v>1.0555932922077607</v>
      </c>
      <c r="G1568" s="90">
        <v>1552</v>
      </c>
      <c r="H1568" s="100">
        <v>-6.3858288598055479E-2</v>
      </c>
      <c r="I1568" s="100">
        <v>-6.1335972701322301E-2</v>
      </c>
    </row>
    <row r="1569" spans="1:9">
      <c r="A1569" s="90">
        <v>1553</v>
      </c>
      <c r="B1569" s="110">
        <v>1.1039500201006927</v>
      </c>
      <c r="C1569" s="110">
        <v>1.0575133521255995</v>
      </c>
      <c r="G1569" s="90">
        <v>1553</v>
      </c>
      <c r="H1569" s="100">
        <v>-4.2974417200102748E-2</v>
      </c>
      <c r="I1569" s="100">
        <v>-6.1327043752219194E-2</v>
      </c>
    </row>
    <row r="1570" spans="1:9">
      <c r="A1570" s="90">
        <v>1554</v>
      </c>
      <c r="B1570" s="110">
        <v>1.1113873760034669</v>
      </c>
      <c r="C1570" s="110">
        <v>1.0574190256889575</v>
      </c>
      <c r="G1570" s="90">
        <v>1554</v>
      </c>
      <c r="H1570" s="100">
        <v>-4.9778065601511316E-2</v>
      </c>
      <c r="I1570" s="100">
        <v>-6.1326943052876684E-2</v>
      </c>
    </row>
    <row r="1571" spans="1:9">
      <c r="A1571" s="90">
        <v>1555</v>
      </c>
      <c r="B1571" s="110">
        <v>1.1375611805850097</v>
      </c>
      <c r="C1571" s="110">
        <v>1.0516845800338905</v>
      </c>
      <c r="G1571" s="90">
        <v>1555</v>
      </c>
      <c r="H1571" s="100">
        <v>-7.8493415033544733E-2</v>
      </c>
      <c r="I1571" s="100">
        <v>-6.1285735132188275E-2</v>
      </c>
    </row>
    <row r="1572" spans="1:9">
      <c r="A1572" s="90">
        <v>1556</v>
      </c>
      <c r="B1572" s="110">
        <v>1.1301793116966758</v>
      </c>
      <c r="C1572" s="110">
        <v>1.0376346856878309</v>
      </c>
      <c r="G1572" s="90">
        <v>1556</v>
      </c>
      <c r="H1572" s="100">
        <v>-8.5432520825269698E-2</v>
      </c>
      <c r="I1572" s="100">
        <v>-6.1257047845601452E-2</v>
      </c>
    </row>
    <row r="1573" spans="1:9">
      <c r="A1573" s="90">
        <v>1557</v>
      </c>
      <c r="B1573" s="110">
        <v>1.1024323378304102</v>
      </c>
      <c r="C1573" s="110">
        <v>1.0403944109375223</v>
      </c>
      <c r="G1573" s="90">
        <v>1557</v>
      </c>
      <c r="H1573" s="100">
        <v>-5.7919072327597007E-2</v>
      </c>
      <c r="I1573" s="100">
        <v>-6.1240897660247116E-2</v>
      </c>
    </row>
    <row r="1574" spans="1:9">
      <c r="A1574" s="90">
        <v>1558</v>
      </c>
      <c r="B1574" s="110">
        <v>1.1106192592348589</v>
      </c>
      <c r="C1574" s="110">
        <v>1.0474402736166937</v>
      </c>
      <c r="G1574" s="90">
        <v>1558</v>
      </c>
      <c r="H1574" s="100">
        <v>-5.8568397801833587E-2</v>
      </c>
      <c r="I1574" s="100">
        <v>-6.1228694422526722E-2</v>
      </c>
    </row>
    <row r="1575" spans="1:9">
      <c r="A1575" s="90">
        <v>1559</v>
      </c>
      <c r="B1575" s="110">
        <v>1.1360642523819391</v>
      </c>
      <c r="C1575" s="110">
        <v>1.0496192790790495</v>
      </c>
      <c r="G1575" s="90">
        <v>1559</v>
      </c>
      <c r="H1575" s="100">
        <v>-7.9142371830854499E-2</v>
      </c>
      <c r="I1575" s="100">
        <v>-6.1208238259858952E-2</v>
      </c>
    </row>
    <row r="1576" spans="1:9">
      <c r="A1576" s="90">
        <v>1560</v>
      </c>
      <c r="B1576" s="110">
        <v>1.1216173250683457</v>
      </c>
      <c r="C1576" s="110">
        <v>1.0534008708336293</v>
      </c>
      <c r="G1576" s="90">
        <v>1560</v>
      </c>
      <c r="H1576" s="100">
        <v>-6.2747829167858787E-2</v>
      </c>
      <c r="I1576" s="100">
        <v>-6.1204856425283317E-2</v>
      </c>
    </row>
    <row r="1577" spans="1:9">
      <c r="A1577" s="90">
        <v>1561</v>
      </c>
      <c r="B1577" s="110">
        <v>1.1224224705128822</v>
      </c>
      <c r="C1577" s="110">
        <v>1.0701296576323807</v>
      </c>
      <c r="G1577" s="90">
        <v>1561</v>
      </c>
      <c r="H1577" s="100">
        <v>-4.7709453173482817E-2</v>
      </c>
      <c r="I1577" s="100">
        <v>-6.1197475241354077E-2</v>
      </c>
    </row>
    <row r="1578" spans="1:9">
      <c r="A1578" s="90">
        <v>1562</v>
      </c>
      <c r="B1578" s="110">
        <v>1.1007754349164236</v>
      </c>
      <c r="C1578" s="110">
        <v>1.0633635216410955</v>
      </c>
      <c r="G1578" s="90">
        <v>1562</v>
      </c>
      <c r="H1578" s="100">
        <v>-3.4577854299626613E-2</v>
      </c>
      <c r="I1578" s="100">
        <v>-6.1193351840665065E-2</v>
      </c>
    </row>
    <row r="1579" spans="1:9">
      <c r="A1579" s="90">
        <v>1563</v>
      </c>
      <c r="B1579" s="110">
        <v>1.0660814587412057</v>
      </c>
      <c r="C1579" s="110">
        <v>1.0560473362240197</v>
      </c>
      <c r="G1579" s="90">
        <v>1563</v>
      </c>
      <c r="H1579" s="100">
        <v>-9.4567279044799127E-3</v>
      </c>
      <c r="I1579" s="100">
        <v>-6.1191208834700722E-2</v>
      </c>
    </row>
    <row r="1580" spans="1:9">
      <c r="A1580" s="90">
        <v>1564</v>
      </c>
      <c r="B1580" s="110">
        <v>1.1179005056210567</v>
      </c>
      <c r="C1580" s="110">
        <v>1.0397803713267972</v>
      </c>
      <c r="G1580" s="90">
        <v>1564</v>
      </c>
      <c r="H1580" s="100">
        <v>-7.2442868154661791E-2</v>
      </c>
      <c r="I1580" s="100">
        <v>-6.1162121930549797E-2</v>
      </c>
    </row>
    <row r="1581" spans="1:9">
      <c r="A1581" s="90">
        <v>1565</v>
      </c>
      <c r="B1581" s="110">
        <v>1.1120576662460533</v>
      </c>
      <c r="C1581" s="110">
        <v>1.0613321088740937</v>
      </c>
      <c r="G1581" s="90">
        <v>1565</v>
      </c>
      <c r="H1581" s="100">
        <v>-4.6687227004415063E-2</v>
      </c>
      <c r="I1581" s="100">
        <v>-6.1161405927396592E-2</v>
      </c>
    </row>
    <row r="1582" spans="1:9">
      <c r="A1582" s="90">
        <v>1566</v>
      </c>
      <c r="B1582" s="110">
        <v>1.1327600532772668</v>
      </c>
      <c r="C1582" s="110">
        <v>1.0764925712936062</v>
      </c>
      <c r="G1582" s="90">
        <v>1566</v>
      </c>
      <c r="H1582" s="100">
        <v>-5.0949042629626802E-2</v>
      </c>
      <c r="I1582" s="100">
        <v>-6.115625743801624E-2</v>
      </c>
    </row>
    <row r="1583" spans="1:9">
      <c r="A1583" s="90">
        <v>1567</v>
      </c>
      <c r="B1583" s="110">
        <v>1.0969527098059153</v>
      </c>
      <c r="C1583" s="110">
        <v>1.0596038451420844</v>
      </c>
      <c r="G1583" s="90">
        <v>1567</v>
      </c>
      <c r="H1583" s="100">
        <v>-3.464096443819132E-2</v>
      </c>
      <c r="I1583" s="100">
        <v>-6.1154798128679369E-2</v>
      </c>
    </row>
    <row r="1584" spans="1:9">
      <c r="A1584" s="90">
        <v>1568</v>
      </c>
      <c r="B1584" s="110">
        <v>1.1065677435276295</v>
      </c>
      <c r="C1584" s="110">
        <v>1.0535348371883191</v>
      </c>
      <c r="G1584" s="90">
        <v>1568</v>
      </c>
      <c r="H1584" s="100">
        <v>-4.911208012312572E-2</v>
      </c>
      <c r="I1584" s="100">
        <v>-6.1147582973695498E-2</v>
      </c>
    </row>
    <row r="1585" spans="1:9">
      <c r="A1585" s="90">
        <v>1569</v>
      </c>
      <c r="B1585" s="110">
        <v>1.1075560791436618</v>
      </c>
      <c r="C1585" s="110">
        <v>1.0400414536690792</v>
      </c>
      <c r="G1585" s="90">
        <v>1569</v>
      </c>
      <c r="H1585" s="100">
        <v>-6.2895285794724351E-2</v>
      </c>
      <c r="I1585" s="100">
        <v>-6.1131123475407861E-2</v>
      </c>
    </row>
    <row r="1586" spans="1:9">
      <c r="A1586" s="90">
        <v>1570</v>
      </c>
      <c r="B1586" s="110">
        <v>1.1047403388770511</v>
      </c>
      <c r="C1586" s="110">
        <v>1.0461290906413996</v>
      </c>
      <c r="G1586" s="90">
        <v>1570</v>
      </c>
      <c r="H1586" s="100">
        <v>-5.4513548271256373E-2</v>
      </c>
      <c r="I1586" s="100">
        <v>-6.1102318751160713E-2</v>
      </c>
    </row>
    <row r="1587" spans="1:9">
      <c r="A1587" s="90">
        <v>1571</v>
      </c>
      <c r="B1587" s="110">
        <v>1.1009155426697004</v>
      </c>
      <c r="C1587" s="110">
        <v>1.0439645011696388</v>
      </c>
      <c r="G1587" s="90">
        <v>1571</v>
      </c>
      <c r="H1587" s="100">
        <v>-5.3116658971807722E-2</v>
      </c>
      <c r="I1587" s="100">
        <v>-6.1100813325868447E-2</v>
      </c>
    </row>
    <row r="1588" spans="1:9">
      <c r="A1588" s="90">
        <v>1572</v>
      </c>
      <c r="B1588" s="110">
        <v>1.133215453246385</v>
      </c>
      <c r="C1588" s="110">
        <v>1.0694229437975953</v>
      </c>
      <c r="G1588" s="90">
        <v>1572</v>
      </c>
      <c r="H1588" s="100">
        <v>-5.7939927568393786E-2</v>
      </c>
      <c r="I1588" s="100">
        <v>-6.1095287053368266E-2</v>
      </c>
    </row>
    <row r="1589" spans="1:9">
      <c r="A1589" s="90">
        <v>1573</v>
      </c>
      <c r="B1589" s="110">
        <v>1.0951480137504093</v>
      </c>
      <c r="C1589" s="110">
        <v>1.0612620628279656</v>
      </c>
      <c r="G1589" s="90">
        <v>1573</v>
      </c>
      <c r="H1589" s="100">
        <v>-3.1430701307137557E-2</v>
      </c>
      <c r="I1589" s="100">
        <v>-6.1092219617157092E-2</v>
      </c>
    </row>
    <row r="1590" spans="1:9">
      <c r="A1590" s="90">
        <v>1574</v>
      </c>
      <c r="B1590" s="110">
        <v>1.111396383776414</v>
      </c>
      <c r="C1590" s="110">
        <v>1.0520373596374775</v>
      </c>
      <c r="G1590" s="90">
        <v>1574</v>
      </c>
      <c r="H1590" s="100">
        <v>-5.4888601454809949E-2</v>
      </c>
      <c r="I1590" s="100">
        <v>-6.1079996697704669E-2</v>
      </c>
    </row>
    <row r="1591" spans="1:9">
      <c r="A1591" s="90">
        <v>1575</v>
      </c>
      <c r="B1591" s="110">
        <v>1.1021578576826312</v>
      </c>
      <c r="C1591" s="110">
        <v>1.0385097464275972</v>
      </c>
      <c r="G1591" s="90">
        <v>1575</v>
      </c>
      <c r="H1591" s="100">
        <v>-5.9483197616689305E-2</v>
      </c>
      <c r="I1591" s="100">
        <v>-6.107260360539412E-2</v>
      </c>
    </row>
    <row r="1592" spans="1:9">
      <c r="A1592" s="90">
        <v>1576</v>
      </c>
      <c r="B1592" s="110">
        <v>1.1147826539699466</v>
      </c>
      <c r="C1592" s="110">
        <v>1.0634330358460256</v>
      </c>
      <c r="G1592" s="90">
        <v>1576</v>
      </c>
      <c r="H1592" s="100">
        <v>-4.7157068884402693E-2</v>
      </c>
      <c r="I1592" s="100">
        <v>-6.1070527556847325E-2</v>
      </c>
    </row>
    <row r="1593" spans="1:9">
      <c r="A1593" s="90">
        <v>1577</v>
      </c>
      <c r="B1593" s="110">
        <v>1.1424986910324872</v>
      </c>
      <c r="C1593" s="110">
        <v>1.0650040145314148</v>
      </c>
      <c r="G1593" s="90">
        <v>1577</v>
      </c>
      <c r="H1593" s="100">
        <v>-7.0239129413610629E-2</v>
      </c>
      <c r="I1593" s="100">
        <v>-6.1065199784779998E-2</v>
      </c>
    </row>
    <row r="1594" spans="1:9">
      <c r="A1594" s="90">
        <v>1578</v>
      </c>
      <c r="B1594" s="110">
        <v>1.1123885025591416</v>
      </c>
      <c r="C1594" s="110">
        <v>1.0516734942163835</v>
      </c>
      <c r="G1594" s="90">
        <v>1578</v>
      </c>
      <c r="H1594" s="100">
        <v>-5.6126808189569777E-2</v>
      </c>
      <c r="I1594" s="100">
        <v>-6.1061871355282869E-2</v>
      </c>
    </row>
    <row r="1595" spans="1:9">
      <c r="A1595" s="90">
        <v>1579</v>
      </c>
      <c r="B1595" s="110">
        <v>1.1049838702658126</v>
      </c>
      <c r="C1595" s="110">
        <v>1.0359496701952553</v>
      </c>
      <c r="G1595" s="90">
        <v>1579</v>
      </c>
      <c r="H1595" s="100">
        <v>-6.4512176054073903E-2</v>
      </c>
      <c r="I1595" s="100">
        <v>-6.1026525161041935E-2</v>
      </c>
    </row>
    <row r="1596" spans="1:9">
      <c r="A1596" s="90">
        <v>1580</v>
      </c>
      <c r="B1596" s="110">
        <v>1.0972389063090147</v>
      </c>
      <c r="C1596" s="110">
        <v>1.0741805873427122</v>
      </c>
      <c r="G1596" s="90">
        <v>1580</v>
      </c>
      <c r="H1596" s="100">
        <v>-2.1238812494003743E-2</v>
      </c>
      <c r="I1596" s="100">
        <v>-6.1016648767052359E-2</v>
      </c>
    </row>
    <row r="1597" spans="1:9">
      <c r="A1597" s="90">
        <v>1581</v>
      </c>
      <c r="B1597" s="110">
        <v>1.1090090017192136</v>
      </c>
      <c r="C1597" s="110">
        <v>1.0724085218171793</v>
      </c>
      <c r="G1597" s="90">
        <v>1581</v>
      </c>
      <c r="H1597" s="100">
        <v>-3.3559751465512648E-2</v>
      </c>
      <c r="I1597" s="100">
        <v>-6.1012242455206582E-2</v>
      </c>
    </row>
    <row r="1598" spans="1:9">
      <c r="A1598" s="90">
        <v>1582</v>
      </c>
      <c r="B1598" s="110">
        <v>1.1032420634755895</v>
      </c>
      <c r="C1598" s="110">
        <v>1.059769321198857</v>
      </c>
      <c r="G1598" s="90">
        <v>1582</v>
      </c>
      <c r="H1598" s="100">
        <v>-4.0201912443300437E-2</v>
      </c>
      <c r="I1598" s="100">
        <v>-6.1011715561093791E-2</v>
      </c>
    </row>
    <row r="1599" spans="1:9">
      <c r="A1599" s="90">
        <v>1583</v>
      </c>
      <c r="B1599" s="110">
        <v>1.1303496311411798</v>
      </c>
      <c r="C1599" s="110">
        <v>1.0546891446990272</v>
      </c>
      <c r="G1599" s="90">
        <v>1583</v>
      </c>
      <c r="H1599" s="100">
        <v>-6.9280919021043885E-2</v>
      </c>
      <c r="I1599" s="100">
        <v>-6.0972247175493433E-2</v>
      </c>
    </row>
    <row r="1600" spans="1:9">
      <c r="A1600" s="90">
        <v>1584</v>
      </c>
      <c r="B1600" s="110">
        <v>1.1247740191881814</v>
      </c>
      <c r="C1600" s="110">
        <v>1.0517097107775053</v>
      </c>
      <c r="G1600" s="90">
        <v>1584</v>
      </c>
      <c r="H1600" s="100">
        <v>-6.7165007734791116E-2</v>
      </c>
      <c r="I1600" s="100">
        <v>-6.0970687612679694E-2</v>
      </c>
    </row>
    <row r="1601" spans="1:9">
      <c r="A1601" s="90">
        <v>1585</v>
      </c>
      <c r="B1601" s="110">
        <v>1.1254172019975848</v>
      </c>
      <c r="C1601" s="110">
        <v>1.0658668203434121</v>
      </c>
      <c r="G1601" s="90">
        <v>1585</v>
      </c>
      <c r="H1601" s="100">
        <v>-5.4365429203054538E-2</v>
      </c>
      <c r="I1601" s="100">
        <v>-6.0959729908468901E-2</v>
      </c>
    </row>
    <row r="1602" spans="1:9">
      <c r="A1602" s="90">
        <v>1586</v>
      </c>
      <c r="B1602" s="110">
        <v>1.1019518397714978</v>
      </c>
      <c r="C1602" s="110">
        <v>1.0563889780143199</v>
      </c>
      <c r="G1602" s="90">
        <v>1586</v>
      </c>
      <c r="H1602" s="100">
        <v>-4.222653935697164E-2</v>
      </c>
      <c r="I1602" s="100">
        <v>-6.0957864859782482E-2</v>
      </c>
    </row>
    <row r="1603" spans="1:9">
      <c r="A1603" s="90">
        <v>1587</v>
      </c>
      <c r="B1603" s="110">
        <v>1.0988495629526318</v>
      </c>
      <c r="C1603" s="110">
        <v>1.0533802949039226</v>
      </c>
      <c r="G1603" s="90">
        <v>1587</v>
      </c>
      <c r="H1603" s="100">
        <v>-4.225945895197309E-2</v>
      </c>
      <c r="I1603" s="100">
        <v>-6.0928251357472325E-2</v>
      </c>
    </row>
    <row r="1604" spans="1:9">
      <c r="A1604" s="90">
        <v>1588</v>
      </c>
      <c r="B1604" s="110">
        <v>1.1475661483398261</v>
      </c>
      <c r="C1604" s="110">
        <v>1.0528713569482937</v>
      </c>
      <c r="G1604" s="90">
        <v>1588</v>
      </c>
      <c r="H1604" s="100">
        <v>-8.6122249354736072E-2</v>
      </c>
      <c r="I1604" s="100">
        <v>-6.0916986604910045E-2</v>
      </c>
    </row>
    <row r="1605" spans="1:9">
      <c r="A1605" s="90">
        <v>1589</v>
      </c>
      <c r="B1605" s="110">
        <v>1.1097795863941042</v>
      </c>
      <c r="C1605" s="110">
        <v>1.0568230269069507</v>
      </c>
      <c r="G1605" s="90">
        <v>1589</v>
      </c>
      <c r="H1605" s="100">
        <v>-4.8894161525660028E-2</v>
      </c>
      <c r="I1605" s="100">
        <v>-6.0909240078574636E-2</v>
      </c>
    </row>
    <row r="1606" spans="1:9">
      <c r="A1606" s="90">
        <v>1590</v>
      </c>
      <c r="B1606" s="110">
        <v>1.0998263194330307</v>
      </c>
      <c r="C1606" s="110">
        <v>1.0500222316231507</v>
      </c>
      <c r="G1606" s="90">
        <v>1590</v>
      </c>
      <c r="H1606" s="100">
        <v>-4.6340938993927161E-2</v>
      </c>
      <c r="I1606" s="100">
        <v>-6.0900881073936784E-2</v>
      </c>
    </row>
    <row r="1607" spans="1:9">
      <c r="A1607" s="90">
        <v>1591</v>
      </c>
      <c r="B1607" s="110">
        <v>1.1292966399290805</v>
      </c>
      <c r="C1607" s="110">
        <v>1.0475058735115996</v>
      </c>
      <c r="G1607" s="90">
        <v>1591</v>
      </c>
      <c r="H1607" s="100">
        <v>-7.5183016416417683E-2</v>
      </c>
      <c r="I1607" s="100">
        <v>-6.0893522050796428E-2</v>
      </c>
    </row>
    <row r="1608" spans="1:9">
      <c r="A1608" s="90">
        <v>1592</v>
      </c>
      <c r="B1608" s="110">
        <v>1.1110811537582725</v>
      </c>
      <c r="C1608" s="110">
        <v>1.0488396746128252</v>
      </c>
      <c r="G1608" s="90">
        <v>1592</v>
      </c>
      <c r="H1608" s="100">
        <v>-5.7649072346721543E-2</v>
      </c>
      <c r="I1608" s="100">
        <v>-6.0876692491036062E-2</v>
      </c>
    </row>
    <row r="1609" spans="1:9">
      <c r="A1609" s="90">
        <v>1593</v>
      </c>
      <c r="B1609" s="110">
        <v>1.0922842007242919</v>
      </c>
      <c r="C1609" s="110">
        <v>1.0406212935557744</v>
      </c>
      <c r="G1609" s="90">
        <v>1593</v>
      </c>
      <c r="H1609" s="100">
        <v>-4.8453168103119677E-2</v>
      </c>
      <c r="I1609" s="100">
        <v>-6.0874181591331067E-2</v>
      </c>
    </row>
    <row r="1610" spans="1:9">
      <c r="A1610" s="90">
        <v>1594</v>
      </c>
      <c r="B1610" s="110">
        <v>1.0973927496195068</v>
      </c>
      <c r="C1610" s="110">
        <v>1.0700632160512376</v>
      </c>
      <c r="G1610" s="90">
        <v>1594</v>
      </c>
      <c r="H1610" s="100">
        <v>-2.5219411599324854E-2</v>
      </c>
      <c r="I1610" s="100">
        <v>-6.0858448748111381E-2</v>
      </c>
    </row>
    <row r="1611" spans="1:9">
      <c r="A1611" s="90">
        <v>1595</v>
      </c>
      <c r="B1611" s="110">
        <v>1.0979520738064636</v>
      </c>
      <c r="C1611" s="110">
        <v>1.0443411846256825</v>
      </c>
      <c r="G1611" s="90">
        <v>1595</v>
      </c>
      <c r="H1611" s="100">
        <v>-5.0060452238442764E-2</v>
      </c>
      <c r="I1611" s="100">
        <v>-6.0855199289584362E-2</v>
      </c>
    </row>
    <row r="1612" spans="1:9">
      <c r="A1612" s="90">
        <v>1596</v>
      </c>
      <c r="B1612" s="110">
        <v>1.0919856144522233</v>
      </c>
      <c r="C1612" s="110">
        <v>1.060038255191722</v>
      </c>
      <c r="G1612" s="90">
        <v>1596</v>
      </c>
      <c r="H1612" s="100">
        <v>-2.9692706381125096E-2</v>
      </c>
      <c r="I1612" s="100">
        <v>-6.0854809645396336E-2</v>
      </c>
    </row>
    <row r="1613" spans="1:9">
      <c r="A1613" s="90">
        <v>1597</v>
      </c>
      <c r="B1613" s="110">
        <v>1.1103232057658921</v>
      </c>
      <c r="C1613" s="110">
        <v>1.0594346261375216</v>
      </c>
      <c r="G1613" s="90">
        <v>1597</v>
      </c>
      <c r="H1613" s="100">
        <v>-4.6915755043914584E-2</v>
      </c>
      <c r="I1613" s="100">
        <v>-6.0850916548187917E-2</v>
      </c>
    </row>
    <row r="1614" spans="1:9">
      <c r="A1614" s="90">
        <v>1598</v>
      </c>
      <c r="B1614" s="110">
        <v>1.0926622723420665</v>
      </c>
      <c r="C1614" s="110">
        <v>1.0679116770810209</v>
      </c>
      <c r="G1614" s="90">
        <v>1598</v>
      </c>
      <c r="H1614" s="100">
        <v>-2.2912132238003067E-2</v>
      </c>
      <c r="I1614" s="100">
        <v>-6.0849679708361346E-2</v>
      </c>
    </row>
    <row r="1615" spans="1:9">
      <c r="A1615" s="90">
        <v>1599</v>
      </c>
      <c r="B1615" s="110">
        <v>1.131535476734344</v>
      </c>
      <c r="C1615" s="110">
        <v>1.042872717329143</v>
      </c>
      <c r="G1615" s="90">
        <v>1599</v>
      </c>
      <c r="H1615" s="100">
        <v>-8.159640590736203E-2</v>
      </c>
      <c r="I1615" s="100">
        <v>-6.0845080517936953E-2</v>
      </c>
    </row>
    <row r="1616" spans="1:9">
      <c r="A1616" s="90">
        <v>1600</v>
      </c>
      <c r="B1616" s="110">
        <v>1.0808567090037116</v>
      </c>
      <c r="C1616" s="110">
        <v>1.0584545442111646</v>
      </c>
      <c r="G1616" s="90">
        <v>1600</v>
      </c>
      <c r="H1616" s="100">
        <v>-2.0944108676078186E-2</v>
      </c>
      <c r="I1616" s="100">
        <v>-6.0841960154753828E-2</v>
      </c>
    </row>
    <row r="1617" spans="1:9">
      <c r="A1617" s="90">
        <v>1601</v>
      </c>
      <c r="B1617" s="110">
        <v>1.094832085223395</v>
      </c>
      <c r="C1617" s="110">
        <v>1.0583426960951878</v>
      </c>
      <c r="G1617" s="90">
        <v>1601</v>
      </c>
      <c r="H1617" s="100">
        <v>-3.3896814340159599E-2</v>
      </c>
      <c r="I1617" s="100">
        <v>-6.0817235970518108E-2</v>
      </c>
    </row>
    <row r="1618" spans="1:9">
      <c r="A1618" s="90">
        <v>1602</v>
      </c>
      <c r="B1618" s="110">
        <v>1.1012080059440339</v>
      </c>
      <c r="C1618" s="110">
        <v>1.0637941986679176</v>
      </c>
      <c r="G1618" s="90">
        <v>1602</v>
      </c>
      <c r="H1618" s="100">
        <v>-3.4565814553342823E-2</v>
      </c>
      <c r="I1618" s="100">
        <v>-6.0815508643679635E-2</v>
      </c>
    </row>
    <row r="1619" spans="1:9">
      <c r="A1619" s="90">
        <v>1603</v>
      </c>
      <c r="B1619" s="110">
        <v>1.1225284357368255</v>
      </c>
      <c r="C1619" s="110">
        <v>1.061834036845716</v>
      </c>
      <c r="G1619" s="90">
        <v>1603</v>
      </c>
      <c r="H1619" s="100">
        <v>-5.5586036367284326E-2</v>
      </c>
      <c r="I1619" s="100">
        <v>-6.0806338808656553E-2</v>
      </c>
    </row>
    <row r="1620" spans="1:9">
      <c r="A1620" s="90">
        <v>1604</v>
      </c>
      <c r="B1620" s="110">
        <v>1.1347120142773606</v>
      </c>
      <c r="C1620" s="110">
        <v>1.0388449877215553</v>
      </c>
      <c r="G1620" s="90">
        <v>1604</v>
      </c>
      <c r="H1620" s="100">
        <v>-8.8269379560396599E-2</v>
      </c>
      <c r="I1620" s="100">
        <v>-6.0775764083202066E-2</v>
      </c>
    </row>
    <row r="1621" spans="1:9">
      <c r="A1621" s="90">
        <v>1605</v>
      </c>
      <c r="B1621" s="110">
        <v>1.1237533356912293</v>
      </c>
      <c r="C1621" s="110">
        <v>1.0523309936564378</v>
      </c>
      <c r="G1621" s="90">
        <v>1605</v>
      </c>
      <c r="H1621" s="100">
        <v>-6.566657757405131E-2</v>
      </c>
      <c r="I1621" s="100">
        <v>-6.0773176207910777E-2</v>
      </c>
    </row>
    <row r="1622" spans="1:9">
      <c r="A1622" s="90">
        <v>1606</v>
      </c>
      <c r="B1622" s="110">
        <v>1.0998917991464841</v>
      </c>
      <c r="C1622" s="110">
        <v>1.0529993680094754</v>
      </c>
      <c r="G1622" s="90">
        <v>1606</v>
      </c>
      <c r="H1622" s="100">
        <v>-4.3569177583218273E-2</v>
      </c>
      <c r="I1622" s="100">
        <v>-6.0767100896720015E-2</v>
      </c>
    </row>
    <row r="1623" spans="1:9">
      <c r="A1623" s="90">
        <v>1607</v>
      </c>
      <c r="B1623" s="110">
        <v>1.1205815070527634</v>
      </c>
      <c r="C1623" s="110">
        <v>1.0470199334566181</v>
      </c>
      <c r="G1623" s="90">
        <v>1607</v>
      </c>
      <c r="H1623" s="100">
        <v>-6.7899782945904305E-2</v>
      </c>
      <c r="I1623" s="100">
        <v>-6.0766934658289008E-2</v>
      </c>
    </row>
    <row r="1624" spans="1:9">
      <c r="A1624" s="90">
        <v>1608</v>
      </c>
      <c r="B1624" s="110">
        <v>1.1181322877893336</v>
      </c>
      <c r="C1624" s="110">
        <v>1.0340179310471269</v>
      </c>
      <c r="G1624" s="90">
        <v>1608</v>
      </c>
      <c r="H1624" s="100">
        <v>-7.8207575751870526E-2</v>
      </c>
      <c r="I1624" s="100">
        <v>-6.0763043644730813E-2</v>
      </c>
    </row>
    <row r="1625" spans="1:9">
      <c r="A1625" s="90">
        <v>1609</v>
      </c>
      <c r="B1625" s="110">
        <v>1.1469875022112443</v>
      </c>
      <c r="C1625" s="110">
        <v>1.0379780848186473</v>
      </c>
      <c r="G1625" s="90">
        <v>1609</v>
      </c>
      <c r="H1625" s="100">
        <v>-9.9864270391612414E-2</v>
      </c>
      <c r="I1625" s="100">
        <v>-6.0758557436683104E-2</v>
      </c>
    </row>
    <row r="1626" spans="1:9">
      <c r="A1626" s="90">
        <v>1610</v>
      </c>
      <c r="B1626" s="110">
        <v>1.0964317738702454</v>
      </c>
      <c r="C1626" s="110">
        <v>1.0646947048480373</v>
      </c>
      <c r="G1626" s="90">
        <v>1610</v>
      </c>
      <c r="H1626" s="100">
        <v>-2.9372969255959485E-2</v>
      </c>
      <c r="I1626" s="100">
        <v>-6.0748170262716367E-2</v>
      </c>
    </row>
    <row r="1627" spans="1:9">
      <c r="A1627" s="90">
        <v>1611</v>
      </c>
      <c r="B1627" s="110">
        <v>1.1074115876933881</v>
      </c>
      <c r="C1627" s="110">
        <v>1.0337005057707715</v>
      </c>
      <c r="G1627" s="90">
        <v>1611</v>
      </c>
      <c r="H1627" s="100">
        <v>-6.8880301351218753E-2</v>
      </c>
      <c r="I1627" s="100">
        <v>-6.0741447406070813E-2</v>
      </c>
    </row>
    <row r="1628" spans="1:9">
      <c r="A1628" s="90">
        <v>1612</v>
      </c>
      <c r="B1628" s="110">
        <v>1.1093981901096517</v>
      </c>
      <c r="C1628" s="110">
        <v>1.0409227596164972</v>
      </c>
      <c r="G1628" s="90">
        <v>1612</v>
      </c>
      <c r="H1628" s="100">
        <v>-6.3710108599016574E-2</v>
      </c>
      <c r="I1628" s="100">
        <v>-6.0719352958947127E-2</v>
      </c>
    </row>
    <row r="1629" spans="1:9">
      <c r="A1629" s="90">
        <v>1613</v>
      </c>
      <c r="B1629" s="110">
        <v>1.0985136977592977</v>
      </c>
      <c r="C1629" s="110">
        <v>1.0571833504462291</v>
      </c>
      <c r="G1629" s="90">
        <v>1613</v>
      </c>
      <c r="H1629" s="100">
        <v>-3.83499273797413E-2</v>
      </c>
      <c r="I1629" s="100">
        <v>-6.0717006797041978E-2</v>
      </c>
    </row>
    <row r="1630" spans="1:9">
      <c r="A1630" s="90">
        <v>1614</v>
      </c>
      <c r="B1630" s="110">
        <v>1.0854076722323365</v>
      </c>
      <c r="C1630" s="110">
        <v>1.0352950116097119</v>
      </c>
      <c r="G1630" s="90">
        <v>1614</v>
      </c>
      <c r="H1630" s="100">
        <v>-4.7269229723964634E-2</v>
      </c>
      <c r="I1630" s="100">
        <v>-6.0714323223643153E-2</v>
      </c>
    </row>
    <row r="1631" spans="1:9">
      <c r="A1631" s="90">
        <v>1615</v>
      </c>
      <c r="B1631" s="110">
        <v>1.1443066158887105</v>
      </c>
      <c r="C1631" s="110">
        <v>1.0332673085159174</v>
      </c>
      <c r="G1631" s="90">
        <v>1615</v>
      </c>
      <c r="H1631" s="100">
        <v>-0.10207295213114274</v>
      </c>
      <c r="I1631" s="100">
        <v>-6.0708010964429043E-2</v>
      </c>
    </row>
    <row r="1632" spans="1:9">
      <c r="A1632" s="90">
        <v>1616</v>
      </c>
      <c r="B1632" s="110">
        <v>1.1079295192846725</v>
      </c>
      <c r="C1632" s="110">
        <v>1.0281049360946901</v>
      </c>
      <c r="G1632" s="90">
        <v>1616</v>
      </c>
      <c r="H1632" s="100">
        <v>-7.4775735811436178E-2</v>
      </c>
      <c r="I1632" s="100">
        <v>-6.0705158369897746E-2</v>
      </c>
    </row>
    <row r="1633" spans="1:9">
      <c r="A1633" s="90">
        <v>1617</v>
      </c>
      <c r="B1633" s="110">
        <v>1.0800455815861458</v>
      </c>
      <c r="C1633" s="110">
        <v>1.0674768288275298</v>
      </c>
      <c r="G1633" s="90">
        <v>1617</v>
      </c>
      <c r="H1633" s="100">
        <v>-1.1705485549174263E-2</v>
      </c>
      <c r="I1633" s="100">
        <v>-6.070131565442187E-2</v>
      </c>
    </row>
    <row r="1634" spans="1:9">
      <c r="A1634" s="90">
        <v>1618</v>
      </c>
      <c r="B1634" s="110">
        <v>1.125942148236253</v>
      </c>
      <c r="C1634" s="110">
        <v>1.050638793838274</v>
      </c>
      <c r="G1634" s="90">
        <v>1618</v>
      </c>
      <c r="H1634" s="100">
        <v>-6.922179600863694E-2</v>
      </c>
      <c r="I1634" s="100">
        <v>-6.0691763658231944E-2</v>
      </c>
    </row>
    <row r="1635" spans="1:9">
      <c r="A1635" s="90">
        <v>1619</v>
      </c>
      <c r="B1635" s="110">
        <v>1.1031695419572285</v>
      </c>
      <c r="C1635" s="110">
        <v>1.035174150438922</v>
      </c>
      <c r="G1635" s="90">
        <v>1619</v>
      </c>
      <c r="H1635" s="100">
        <v>-6.3617764445946898E-2</v>
      </c>
      <c r="I1635" s="100">
        <v>-6.0676338003753015E-2</v>
      </c>
    </row>
    <row r="1636" spans="1:9">
      <c r="A1636" s="90">
        <v>1620</v>
      </c>
      <c r="B1636" s="110">
        <v>1.0933445614312833</v>
      </c>
      <c r="C1636" s="110">
        <v>1.0855643535300779</v>
      </c>
      <c r="G1636" s="90">
        <v>1620</v>
      </c>
      <c r="H1636" s="100">
        <v>-7.1414100088973984E-3</v>
      </c>
      <c r="I1636" s="100">
        <v>-6.0673537643701481E-2</v>
      </c>
    </row>
    <row r="1637" spans="1:9">
      <c r="A1637" s="90">
        <v>1621</v>
      </c>
      <c r="B1637" s="110">
        <v>1.1341565659769508</v>
      </c>
      <c r="C1637" s="110">
        <v>1.0478407417589366</v>
      </c>
      <c r="G1637" s="90">
        <v>1621</v>
      </c>
      <c r="H1637" s="100">
        <v>-7.9157650630163237E-2</v>
      </c>
      <c r="I1637" s="100">
        <v>-6.0646277334663115E-2</v>
      </c>
    </row>
    <row r="1638" spans="1:9">
      <c r="A1638" s="90">
        <v>1622</v>
      </c>
      <c r="B1638" s="110">
        <v>1.1116116207154967</v>
      </c>
      <c r="C1638" s="110">
        <v>1.0634777294346254</v>
      </c>
      <c r="G1638" s="90">
        <v>1622</v>
      </c>
      <c r="H1638" s="100">
        <v>-4.4266458259950646E-2</v>
      </c>
      <c r="I1638" s="100">
        <v>-6.063161207877741E-2</v>
      </c>
    </row>
    <row r="1639" spans="1:9">
      <c r="A1639" s="90">
        <v>1623</v>
      </c>
      <c r="B1639" s="110">
        <v>1.1088987255816005</v>
      </c>
      <c r="C1639" s="110">
        <v>1.0284481149234395</v>
      </c>
      <c r="G1639" s="90">
        <v>1623</v>
      </c>
      <c r="H1639" s="100">
        <v>-7.5316402202133537E-2</v>
      </c>
      <c r="I1639" s="100">
        <v>-6.0605045737980368E-2</v>
      </c>
    </row>
    <row r="1640" spans="1:9">
      <c r="A1640" s="90">
        <v>1624</v>
      </c>
      <c r="B1640" s="110">
        <v>1.1217857507985922</v>
      </c>
      <c r="C1640" s="110">
        <v>1.0445650959746255</v>
      </c>
      <c r="G1640" s="90">
        <v>1624</v>
      </c>
      <c r="H1640" s="100">
        <v>-7.1321213233610015E-2</v>
      </c>
      <c r="I1640" s="100">
        <v>-6.0603661140590008E-2</v>
      </c>
    </row>
    <row r="1641" spans="1:9">
      <c r="A1641" s="90">
        <v>1625</v>
      </c>
      <c r="B1641" s="110">
        <v>1.0969381416028163</v>
      </c>
      <c r="C1641" s="110">
        <v>1.0503251137699221</v>
      </c>
      <c r="G1641" s="90">
        <v>1625</v>
      </c>
      <c r="H1641" s="100">
        <v>-4.3423042604195994E-2</v>
      </c>
      <c r="I1641" s="100">
        <v>-6.0603122602464504E-2</v>
      </c>
    </row>
    <row r="1642" spans="1:9">
      <c r="A1642" s="90">
        <v>1626</v>
      </c>
      <c r="B1642" s="110">
        <v>1.1003575281520128</v>
      </c>
      <c r="C1642" s="110">
        <v>1.0341615733608449</v>
      </c>
      <c r="G1642" s="90">
        <v>1626</v>
      </c>
      <c r="H1642" s="100">
        <v>-6.2044128205133463E-2</v>
      </c>
      <c r="I1642" s="100">
        <v>-6.0602272394769813E-2</v>
      </c>
    </row>
    <row r="1643" spans="1:9">
      <c r="A1643" s="90">
        <v>1627</v>
      </c>
      <c r="B1643" s="110">
        <v>1.0717256421307342</v>
      </c>
      <c r="C1643" s="110">
        <v>1.0409704900199892</v>
      </c>
      <c r="G1643" s="90">
        <v>1627</v>
      </c>
      <c r="H1643" s="100">
        <v>-2.9116657536851772E-2</v>
      </c>
      <c r="I1643" s="100">
        <v>-6.0599213618639777E-2</v>
      </c>
    </row>
    <row r="1644" spans="1:9">
      <c r="A1644" s="90">
        <v>1628</v>
      </c>
      <c r="B1644" s="110">
        <v>1.1245761284330438</v>
      </c>
      <c r="C1644" s="110">
        <v>1.0436557315261228</v>
      </c>
      <c r="G1644" s="90">
        <v>1628</v>
      </c>
      <c r="H1644" s="100">
        <v>-7.4676513929396574E-2</v>
      </c>
      <c r="I1644" s="100">
        <v>-6.0588146405495626E-2</v>
      </c>
    </row>
    <row r="1645" spans="1:9">
      <c r="A1645" s="90">
        <v>1629</v>
      </c>
      <c r="B1645" s="110">
        <v>1.1021315096097766</v>
      </c>
      <c r="C1645" s="110">
        <v>1.051164180067093</v>
      </c>
      <c r="G1645" s="90">
        <v>1629</v>
      </c>
      <c r="H1645" s="100">
        <v>-4.7347747935564351E-2</v>
      </c>
      <c r="I1645" s="100">
        <v>-6.0576765469652148E-2</v>
      </c>
    </row>
    <row r="1646" spans="1:9">
      <c r="A1646" s="90">
        <v>1630</v>
      </c>
      <c r="B1646" s="110">
        <v>1.0938022244753973</v>
      </c>
      <c r="C1646" s="110">
        <v>1.0380067668711397</v>
      </c>
      <c r="G1646" s="90">
        <v>1630</v>
      </c>
      <c r="H1646" s="100">
        <v>-5.2357601775447911E-2</v>
      </c>
      <c r="I1646" s="100">
        <v>-6.0548212257142749E-2</v>
      </c>
    </row>
    <row r="1647" spans="1:9">
      <c r="A1647" s="90">
        <v>1631</v>
      </c>
      <c r="B1647" s="110">
        <v>1.1359165633242991</v>
      </c>
      <c r="C1647" s="110">
        <v>1.0748932135476039</v>
      </c>
      <c r="G1647" s="90">
        <v>1631</v>
      </c>
      <c r="H1647" s="100">
        <v>-5.52185494129653E-2</v>
      </c>
      <c r="I1647" s="100">
        <v>-6.0544870221885191E-2</v>
      </c>
    </row>
    <row r="1648" spans="1:9">
      <c r="A1648" s="90">
        <v>1632</v>
      </c>
      <c r="B1648" s="110">
        <v>1.1236204958458393</v>
      </c>
      <c r="C1648" s="110">
        <v>1.0418634751485842</v>
      </c>
      <c r="G1648" s="90">
        <v>1632</v>
      </c>
      <c r="H1648" s="100">
        <v>-7.5545144494703606E-2</v>
      </c>
      <c r="I1648" s="100">
        <v>-6.0532847812630748E-2</v>
      </c>
    </row>
    <row r="1649" spans="1:9">
      <c r="A1649" s="90">
        <v>1633</v>
      </c>
      <c r="B1649" s="110">
        <v>1.1096404770187775</v>
      </c>
      <c r="C1649" s="110">
        <v>1.0322462822709433</v>
      </c>
      <c r="G1649" s="90">
        <v>1633</v>
      </c>
      <c r="H1649" s="100">
        <v>-7.2298784081971212E-2</v>
      </c>
      <c r="I1649" s="100">
        <v>-6.0524392475356854E-2</v>
      </c>
    </row>
    <row r="1650" spans="1:9">
      <c r="A1650" s="90">
        <v>1634</v>
      </c>
      <c r="B1650" s="110">
        <v>1.1267637065470877</v>
      </c>
      <c r="C1650" s="110">
        <v>1.0665048261837478</v>
      </c>
      <c r="G1650" s="90">
        <v>1634</v>
      </c>
      <c r="H1650" s="100">
        <v>-5.496276301585188E-2</v>
      </c>
      <c r="I1650" s="100">
        <v>-6.0512906031791713E-2</v>
      </c>
    </row>
    <row r="1651" spans="1:9">
      <c r="A1651" s="90">
        <v>1635</v>
      </c>
      <c r="B1651" s="110">
        <v>1.0826476371216414</v>
      </c>
      <c r="C1651" s="110">
        <v>1.0413857867886498</v>
      </c>
      <c r="G1651" s="90">
        <v>1635</v>
      </c>
      <c r="H1651" s="100">
        <v>-3.885724344994939E-2</v>
      </c>
      <c r="I1651" s="100">
        <v>-6.0512888114726673E-2</v>
      </c>
    </row>
    <row r="1652" spans="1:9">
      <c r="A1652" s="90">
        <v>1636</v>
      </c>
      <c r="B1652" s="110">
        <v>1.1007639980572399</v>
      </c>
      <c r="C1652" s="110">
        <v>1.0438082843880088</v>
      </c>
      <c r="G1652" s="90">
        <v>1636</v>
      </c>
      <c r="H1652" s="100">
        <v>-5.3128645455191664E-2</v>
      </c>
      <c r="I1652" s="100">
        <v>-6.0510580722828583E-2</v>
      </c>
    </row>
    <row r="1653" spans="1:9">
      <c r="A1653" s="90">
        <v>1637</v>
      </c>
      <c r="B1653" s="110">
        <v>1.1006608723107449</v>
      </c>
      <c r="C1653" s="110">
        <v>1.0620530890126123</v>
      </c>
      <c r="G1653" s="90">
        <v>1637</v>
      </c>
      <c r="H1653" s="100">
        <v>-3.5706881185859449E-2</v>
      </c>
      <c r="I1653" s="100">
        <v>-6.0506237762422102E-2</v>
      </c>
    </row>
    <row r="1654" spans="1:9">
      <c r="A1654" s="90">
        <v>1638</v>
      </c>
      <c r="B1654" s="110">
        <v>1.1050093842404436</v>
      </c>
      <c r="C1654" s="110">
        <v>1.0446371280374867</v>
      </c>
      <c r="G1654" s="90">
        <v>1638</v>
      </c>
      <c r="H1654" s="100">
        <v>-5.6184248243127899E-2</v>
      </c>
      <c r="I1654" s="100">
        <v>-6.0484836982948785E-2</v>
      </c>
    </row>
    <row r="1655" spans="1:9">
      <c r="A1655" s="90">
        <v>1639</v>
      </c>
      <c r="B1655" s="110">
        <v>1.1136477952562787</v>
      </c>
      <c r="C1655" s="110">
        <v>1.061384954913174</v>
      </c>
      <c r="G1655" s="90">
        <v>1639</v>
      </c>
      <c r="H1655" s="100">
        <v>-4.8066312713332567E-2</v>
      </c>
      <c r="I1655" s="100">
        <v>-6.0405319823131236E-2</v>
      </c>
    </row>
    <row r="1656" spans="1:9">
      <c r="A1656" s="90">
        <v>1640</v>
      </c>
      <c r="B1656" s="110">
        <v>1.1493247512319511</v>
      </c>
      <c r="C1656" s="110">
        <v>1.0760735381245297</v>
      </c>
      <c r="G1656" s="90">
        <v>1640</v>
      </c>
      <c r="H1656" s="100">
        <v>-6.5855793693739978E-2</v>
      </c>
      <c r="I1656" s="100">
        <v>-6.0380575544368466E-2</v>
      </c>
    </row>
    <row r="1657" spans="1:9">
      <c r="A1657" s="90">
        <v>1641</v>
      </c>
      <c r="B1657" s="110">
        <v>1.0974478309291162</v>
      </c>
      <c r="C1657" s="110">
        <v>1.0476668660466186</v>
      </c>
      <c r="G1657" s="90">
        <v>1641</v>
      </c>
      <c r="H1657" s="100">
        <v>-4.6421670920569903E-2</v>
      </c>
      <c r="I1657" s="100">
        <v>-6.035085118470758E-2</v>
      </c>
    </row>
    <row r="1658" spans="1:9">
      <c r="A1658" s="90">
        <v>1642</v>
      </c>
      <c r="B1658" s="110">
        <v>1.1252832138137261</v>
      </c>
      <c r="C1658" s="110">
        <v>1.041878710082115</v>
      </c>
      <c r="G1658" s="90">
        <v>1642</v>
      </c>
      <c r="H1658" s="100">
        <v>-7.7009214102756809E-2</v>
      </c>
      <c r="I1658" s="100">
        <v>-6.0337460345706813E-2</v>
      </c>
    </row>
    <row r="1659" spans="1:9">
      <c r="A1659" s="90">
        <v>1643</v>
      </c>
      <c r="B1659" s="110">
        <v>1.1135915705421684</v>
      </c>
      <c r="C1659" s="110">
        <v>1.0757757318070571</v>
      </c>
      <c r="G1659" s="90">
        <v>1643</v>
      </c>
      <c r="H1659" s="100">
        <v>-3.4548428686211746E-2</v>
      </c>
      <c r="I1659" s="100">
        <v>-6.032727782648005E-2</v>
      </c>
    </row>
    <row r="1660" spans="1:9">
      <c r="A1660" s="90">
        <v>1644</v>
      </c>
      <c r="B1660" s="110">
        <v>1.1174286450109276</v>
      </c>
      <c r="C1660" s="110">
        <v>1.0572425878064684</v>
      </c>
      <c r="G1660" s="90">
        <v>1644</v>
      </c>
      <c r="H1660" s="100">
        <v>-5.53660066057051E-2</v>
      </c>
      <c r="I1660" s="100">
        <v>-6.0318443207834159E-2</v>
      </c>
    </row>
    <row r="1661" spans="1:9">
      <c r="A1661" s="90">
        <v>1645</v>
      </c>
      <c r="B1661" s="110">
        <v>1.1465011386855457</v>
      </c>
      <c r="C1661" s="110">
        <v>1.0641958424730662</v>
      </c>
      <c r="G1661" s="90">
        <v>1645</v>
      </c>
      <c r="H1661" s="100">
        <v>-7.4495380042687201E-2</v>
      </c>
      <c r="I1661" s="100">
        <v>-6.0318319095391058E-2</v>
      </c>
    </row>
    <row r="1662" spans="1:9">
      <c r="A1662" s="90">
        <v>1646</v>
      </c>
      <c r="B1662" s="110">
        <v>1.1145926773427179</v>
      </c>
      <c r="C1662" s="110">
        <v>1.0742229071456655</v>
      </c>
      <c r="G1662" s="90">
        <v>1646</v>
      </c>
      <c r="H1662" s="100">
        <v>-3.6891503265005468E-2</v>
      </c>
      <c r="I1662" s="100">
        <v>-6.029940294565829E-2</v>
      </c>
    </row>
    <row r="1663" spans="1:9">
      <c r="A1663" s="90">
        <v>1647</v>
      </c>
      <c r="B1663" s="110">
        <v>1.1243662655326498</v>
      </c>
      <c r="C1663" s="110">
        <v>1.0316168303362141</v>
      </c>
      <c r="G1663" s="90">
        <v>1647</v>
      </c>
      <c r="H1663" s="100">
        <v>-8.6092247724941173E-2</v>
      </c>
      <c r="I1663" s="100">
        <v>-6.0286901912704499E-2</v>
      </c>
    </row>
    <row r="1664" spans="1:9">
      <c r="A1664" s="90">
        <v>1648</v>
      </c>
      <c r="B1664" s="110">
        <v>1.1242026838073467</v>
      </c>
      <c r="C1664" s="110">
        <v>1.0442886544294865</v>
      </c>
      <c r="G1664" s="90">
        <v>1648</v>
      </c>
      <c r="H1664" s="100">
        <v>-7.3738118725593785E-2</v>
      </c>
      <c r="I1664" s="100">
        <v>-6.0282797838776797E-2</v>
      </c>
    </row>
    <row r="1665" spans="1:9">
      <c r="A1665" s="90">
        <v>1649</v>
      </c>
      <c r="B1665" s="110">
        <v>1.1350488354554911</v>
      </c>
      <c r="C1665" s="110">
        <v>1.0537461146686968</v>
      </c>
      <c r="G1665" s="90">
        <v>1649</v>
      </c>
      <c r="H1665" s="100">
        <v>-7.4324133660783706E-2</v>
      </c>
      <c r="I1665" s="100">
        <v>-6.0256819018331229E-2</v>
      </c>
    </row>
    <row r="1666" spans="1:9">
      <c r="A1666" s="90">
        <v>1650</v>
      </c>
      <c r="B1666" s="110">
        <v>1.0994443930310296</v>
      </c>
      <c r="C1666" s="110">
        <v>1.0720655176065146</v>
      </c>
      <c r="G1666" s="90">
        <v>1650</v>
      </c>
      <c r="H1666" s="100">
        <v>-2.5217777003934627E-2</v>
      </c>
      <c r="I1666" s="100">
        <v>-6.0254205912426549E-2</v>
      </c>
    </row>
    <row r="1667" spans="1:9">
      <c r="A1667" s="90">
        <v>1651</v>
      </c>
      <c r="B1667" s="110">
        <v>1.1292397398101834</v>
      </c>
      <c r="C1667" s="110">
        <v>1.0559723559367185</v>
      </c>
      <c r="G1667" s="90">
        <v>1651</v>
      </c>
      <c r="H1667" s="100">
        <v>-6.7082602815686482E-2</v>
      </c>
      <c r="I1667" s="100">
        <v>-6.0241996280973369E-2</v>
      </c>
    </row>
    <row r="1668" spans="1:9">
      <c r="A1668" s="90">
        <v>1652</v>
      </c>
      <c r="B1668" s="110">
        <v>1.1079850521795089</v>
      </c>
      <c r="C1668" s="110">
        <v>1.0700336785830753</v>
      </c>
      <c r="G1668" s="90">
        <v>1652</v>
      </c>
      <c r="H1668" s="100">
        <v>-3.4852974131609697E-2</v>
      </c>
      <c r="I1668" s="100">
        <v>-6.0222900516790988E-2</v>
      </c>
    </row>
    <row r="1669" spans="1:9">
      <c r="A1669" s="90">
        <v>1653</v>
      </c>
      <c r="B1669" s="110">
        <v>1.0981236374300378</v>
      </c>
      <c r="C1669" s="110">
        <v>1.0593897183510133</v>
      </c>
      <c r="G1669" s="90">
        <v>1653</v>
      </c>
      <c r="H1669" s="100">
        <v>-3.5909934224613298E-2</v>
      </c>
      <c r="I1669" s="100">
        <v>-6.0208532395343857E-2</v>
      </c>
    </row>
    <row r="1670" spans="1:9">
      <c r="A1670" s="90">
        <v>1654</v>
      </c>
      <c r="B1670" s="110">
        <v>1.1073454311420761</v>
      </c>
      <c r="C1670" s="110">
        <v>1.0258616364943665</v>
      </c>
      <c r="G1670" s="90">
        <v>1654</v>
      </c>
      <c r="H1670" s="100">
        <v>-7.6432767200213192E-2</v>
      </c>
      <c r="I1670" s="100">
        <v>-6.020282066001148E-2</v>
      </c>
    </row>
    <row r="1671" spans="1:9">
      <c r="A1671" s="90">
        <v>1655</v>
      </c>
      <c r="B1671" s="110">
        <v>1.1032901103360715</v>
      </c>
      <c r="C1671" s="110">
        <v>1.0397074589027415</v>
      </c>
      <c r="G1671" s="90">
        <v>1655</v>
      </c>
      <c r="H1671" s="100">
        <v>-5.9357340964144946E-2</v>
      </c>
      <c r="I1671" s="100">
        <v>-6.020245603998594E-2</v>
      </c>
    </row>
    <row r="1672" spans="1:9">
      <c r="A1672" s="90">
        <v>1656</v>
      </c>
      <c r="B1672" s="110">
        <v>1.089718307714612</v>
      </c>
      <c r="C1672" s="110">
        <v>1.0608355548189312</v>
      </c>
      <c r="G1672" s="90">
        <v>1656</v>
      </c>
      <c r="H1672" s="100">
        <v>-2.686237267811719E-2</v>
      </c>
      <c r="I1672" s="100">
        <v>-6.0197332784564621E-2</v>
      </c>
    </row>
    <row r="1673" spans="1:9">
      <c r="A1673" s="90">
        <v>1657</v>
      </c>
      <c r="B1673" s="110">
        <v>1.0927476697019036</v>
      </c>
      <c r="C1673" s="110">
        <v>1.0606693904688778</v>
      </c>
      <c r="G1673" s="90">
        <v>1657</v>
      </c>
      <c r="H1673" s="100">
        <v>-2.9795112997216825E-2</v>
      </c>
      <c r="I1673" s="100">
        <v>-6.0188047132052211E-2</v>
      </c>
    </row>
    <row r="1674" spans="1:9">
      <c r="A1674" s="90">
        <v>1658</v>
      </c>
      <c r="B1674" s="110">
        <v>1.1060270258185163</v>
      </c>
      <c r="C1674" s="110">
        <v>1.0458369562710759</v>
      </c>
      <c r="G1674" s="90">
        <v>1658</v>
      </c>
      <c r="H1674" s="100">
        <v>-5.5956858494838287E-2</v>
      </c>
      <c r="I1674" s="100">
        <v>-6.0185386184565821E-2</v>
      </c>
    </row>
    <row r="1675" spans="1:9">
      <c r="A1675" s="90">
        <v>1659</v>
      </c>
      <c r="B1675" s="110">
        <v>1.1224189239173337</v>
      </c>
      <c r="C1675" s="110">
        <v>1.0514032749994247</v>
      </c>
      <c r="G1675" s="90">
        <v>1659</v>
      </c>
      <c r="H1675" s="100">
        <v>-6.536038559745061E-2</v>
      </c>
      <c r="I1675" s="100">
        <v>-6.0180815043319083E-2</v>
      </c>
    </row>
    <row r="1676" spans="1:9">
      <c r="A1676" s="90">
        <v>1660</v>
      </c>
      <c r="B1676" s="110">
        <v>1.1105387080712166</v>
      </c>
      <c r="C1676" s="110">
        <v>1.0669796934553852</v>
      </c>
      <c r="G1676" s="90">
        <v>1660</v>
      </c>
      <c r="H1676" s="100">
        <v>-4.0013279479743556E-2</v>
      </c>
      <c r="I1676" s="100">
        <v>-6.0152636345197137E-2</v>
      </c>
    </row>
    <row r="1677" spans="1:9">
      <c r="A1677" s="90">
        <v>1661</v>
      </c>
      <c r="B1677" s="110">
        <v>1.1284321576627074</v>
      </c>
      <c r="C1677" s="110">
        <v>1.0536017687371291</v>
      </c>
      <c r="G1677" s="90">
        <v>1661</v>
      </c>
      <c r="H1677" s="100">
        <v>-6.8614647998681388E-2</v>
      </c>
      <c r="I1677" s="100">
        <v>-6.0139613219009742E-2</v>
      </c>
    </row>
    <row r="1678" spans="1:9">
      <c r="A1678" s="90">
        <v>1662</v>
      </c>
      <c r="B1678" s="110">
        <v>1.1340164519313922</v>
      </c>
      <c r="C1678" s="110">
        <v>1.0605142783597736</v>
      </c>
      <c r="G1678" s="90">
        <v>1662</v>
      </c>
      <c r="H1678" s="100">
        <v>-6.70117543444846E-2</v>
      </c>
      <c r="I1678" s="100">
        <v>-6.0126429852724129E-2</v>
      </c>
    </row>
    <row r="1679" spans="1:9">
      <c r="A1679" s="90">
        <v>1663</v>
      </c>
      <c r="B1679" s="110">
        <v>1.1036262590190478</v>
      </c>
      <c r="C1679" s="110">
        <v>1.0759302026455264</v>
      </c>
      <c r="G1679" s="90">
        <v>1663</v>
      </c>
      <c r="H1679" s="100">
        <v>-2.541576483646223E-2</v>
      </c>
      <c r="I1679" s="100">
        <v>-6.0112912942701019E-2</v>
      </c>
    </row>
    <row r="1680" spans="1:9">
      <c r="A1680" s="90">
        <v>1664</v>
      </c>
      <c r="B1680" s="110">
        <v>1.1061525448622995</v>
      </c>
      <c r="C1680" s="110">
        <v>1.0398192504883332</v>
      </c>
      <c r="G1680" s="90">
        <v>1664</v>
      </c>
      <c r="H1680" s="100">
        <v>-6.184091797832194E-2</v>
      </c>
      <c r="I1680" s="100">
        <v>-6.0111879083178436E-2</v>
      </c>
    </row>
    <row r="1681" spans="1:9">
      <c r="A1681" s="90">
        <v>1665</v>
      </c>
      <c r="B1681" s="110">
        <v>1.0899647991586512</v>
      </c>
      <c r="C1681" s="110">
        <v>1.0527987889205423</v>
      </c>
      <c r="G1681" s="90">
        <v>1665</v>
      </c>
      <c r="H1681" s="100">
        <v>-3.4693270122893347E-2</v>
      </c>
      <c r="I1681" s="100">
        <v>-6.0103931206290949E-2</v>
      </c>
    </row>
    <row r="1682" spans="1:9">
      <c r="A1682" s="90">
        <v>1666</v>
      </c>
      <c r="B1682" s="110">
        <v>1.1062979422090038</v>
      </c>
      <c r="C1682" s="110">
        <v>1.0613093844277477</v>
      </c>
      <c r="G1682" s="90">
        <v>1666</v>
      </c>
      <c r="H1682" s="100">
        <v>-4.1515839855185283E-2</v>
      </c>
      <c r="I1682" s="100">
        <v>-6.0095522242067018E-2</v>
      </c>
    </row>
    <row r="1683" spans="1:9">
      <c r="A1683" s="90">
        <v>1667</v>
      </c>
      <c r="B1683" s="110">
        <v>1.0782712389600726</v>
      </c>
      <c r="C1683" s="110">
        <v>1.0387621131371605</v>
      </c>
      <c r="G1683" s="90">
        <v>1667</v>
      </c>
      <c r="H1683" s="100">
        <v>-3.7329325590292631E-2</v>
      </c>
      <c r="I1683" s="100">
        <v>-6.0093290681674301E-2</v>
      </c>
    </row>
    <row r="1684" spans="1:9">
      <c r="A1684" s="90">
        <v>1668</v>
      </c>
      <c r="B1684" s="110">
        <v>1.1182365930616656</v>
      </c>
      <c r="C1684" s="110">
        <v>1.0539016162372459</v>
      </c>
      <c r="G1684" s="90">
        <v>1668</v>
      </c>
      <c r="H1684" s="100">
        <v>-5.9253871511146063E-2</v>
      </c>
      <c r="I1684" s="100">
        <v>-6.0065927505001761E-2</v>
      </c>
    </row>
    <row r="1685" spans="1:9">
      <c r="A1685" s="90">
        <v>1669</v>
      </c>
      <c r="B1685" s="110">
        <v>1.1458068044458394</v>
      </c>
      <c r="C1685" s="110">
        <v>1.0620606841130682</v>
      </c>
      <c r="G1685" s="90">
        <v>1669</v>
      </c>
      <c r="H1685" s="100">
        <v>-7.5897959036278564E-2</v>
      </c>
      <c r="I1685" s="100">
        <v>-6.0055774447157456E-2</v>
      </c>
    </row>
    <row r="1686" spans="1:9">
      <c r="A1686" s="90">
        <v>1670</v>
      </c>
      <c r="B1686" s="110">
        <v>1.1132872441063522</v>
      </c>
      <c r="C1686" s="110">
        <v>1.0380105074184423</v>
      </c>
      <c r="G1686" s="90">
        <v>1670</v>
      </c>
      <c r="H1686" s="100">
        <v>-7.0011212508074225E-2</v>
      </c>
      <c r="I1686" s="100">
        <v>-6.0037793030096161E-2</v>
      </c>
    </row>
    <row r="1687" spans="1:9">
      <c r="A1687" s="90">
        <v>1671</v>
      </c>
      <c r="B1687" s="110">
        <v>1.1250064323173381</v>
      </c>
      <c r="C1687" s="110">
        <v>1.0516731790373517</v>
      </c>
      <c r="G1687" s="90">
        <v>1671</v>
      </c>
      <c r="H1687" s="100">
        <v>-6.7406353521012236E-2</v>
      </c>
      <c r="I1687" s="100">
        <v>-6.0025540487232534E-2</v>
      </c>
    </row>
    <row r="1688" spans="1:9">
      <c r="A1688" s="90">
        <v>1672</v>
      </c>
      <c r="B1688" s="110">
        <v>1.1079254408497883</v>
      </c>
      <c r="C1688" s="110">
        <v>1.0412492410897196</v>
      </c>
      <c r="G1688" s="90">
        <v>1672</v>
      </c>
      <c r="H1688" s="100">
        <v>-6.2068108755849248E-2</v>
      </c>
      <c r="I1688" s="100">
        <v>-6.0020064150027808E-2</v>
      </c>
    </row>
    <row r="1689" spans="1:9">
      <c r="A1689" s="90">
        <v>1673</v>
      </c>
      <c r="B1689" s="110">
        <v>1.1036877574126689</v>
      </c>
      <c r="C1689" s="110">
        <v>1.0302174333917509</v>
      </c>
      <c r="G1689" s="90">
        <v>1673</v>
      </c>
      <c r="H1689" s="100">
        <v>-6.8887199077511549E-2</v>
      </c>
      <c r="I1689" s="100">
        <v>-5.9999229225374845E-2</v>
      </c>
    </row>
    <row r="1690" spans="1:9">
      <c r="A1690" s="90">
        <v>1674</v>
      </c>
      <c r="B1690" s="110">
        <v>1.1176769796800532</v>
      </c>
      <c r="C1690" s="110">
        <v>1.039846031042984</v>
      </c>
      <c r="G1690" s="90">
        <v>1674</v>
      </c>
      <c r="H1690" s="100">
        <v>-7.2179750925381231E-2</v>
      </c>
      <c r="I1690" s="100">
        <v>-5.997987447342535E-2</v>
      </c>
    </row>
    <row r="1691" spans="1:9">
      <c r="A1691" s="90">
        <v>1675</v>
      </c>
      <c r="B1691" s="110">
        <v>1.108044784616357</v>
      </c>
      <c r="C1691" s="110">
        <v>1.072469191576704</v>
      </c>
      <c r="G1691" s="90">
        <v>1675</v>
      </c>
      <c r="H1691" s="100">
        <v>-3.2633361232260925E-2</v>
      </c>
      <c r="I1691" s="100">
        <v>-5.9977858764135854E-2</v>
      </c>
    </row>
    <row r="1692" spans="1:9">
      <c r="A1692" s="90">
        <v>1676</v>
      </c>
      <c r="B1692" s="110">
        <v>1.0798015333402309</v>
      </c>
      <c r="C1692" s="110">
        <v>1.0506740926969882</v>
      </c>
      <c r="G1692" s="90">
        <v>1676</v>
      </c>
      <c r="H1692" s="100">
        <v>-2.7345307598675733E-2</v>
      </c>
      <c r="I1692" s="100">
        <v>-5.9966277001809065E-2</v>
      </c>
    </row>
    <row r="1693" spans="1:9">
      <c r="A1693" s="90">
        <v>1677</v>
      </c>
      <c r="B1693" s="110">
        <v>1.0874039341044437</v>
      </c>
      <c r="C1693" s="110">
        <v>1.0767944858533631</v>
      </c>
      <c r="G1693" s="90">
        <v>1677</v>
      </c>
      <c r="H1693" s="100">
        <v>-9.8045845921705971E-3</v>
      </c>
      <c r="I1693" s="100">
        <v>-5.9952486827928912E-2</v>
      </c>
    </row>
    <row r="1694" spans="1:9">
      <c r="A1694" s="90">
        <v>1678</v>
      </c>
      <c r="B1694" s="110">
        <v>1.0966421789698719</v>
      </c>
      <c r="C1694" s="110">
        <v>1.0680575633903013</v>
      </c>
      <c r="G1694" s="90">
        <v>1678</v>
      </c>
      <c r="H1694" s="100">
        <v>-2.6411309261999503E-2</v>
      </c>
      <c r="I1694" s="100">
        <v>-5.9943073486441845E-2</v>
      </c>
    </row>
    <row r="1695" spans="1:9">
      <c r="A1695" s="90">
        <v>1679</v>
      </c>
      <c r="B1695" s="110">
        <v>1.1252137591648781</v>
      </c>
      <c r="C1695" s="110">
        <v>1.0614414026382735</v>
      </c>
      <c r="G1695" s="90">
        <v>1679</v>
      </c>
      <c r="H1695" s="100">
        <v>-5.8345227529523883E-2</v>
      </c>
      <c r="I1695" s="100">
        <v>-5.9935747159484791E-2</v>
      </c>
    </row>
    <row r="1696" spans="1:9">
      <c r="A1696" s="90">
        <v>1680</v>
      </c>
      <c r="B1696" s="110">
        <v>1.1117164110447881</v>
      </c>
      <c r="C1696" s="110">
        <v>1.0363833074622133</v>
      </c>
      <c r="G1696" s="90">
        <v>1680</v>
      </c>
      <c r="H1696" s="100">
        <v>-7.0168073958324653E-2</v>
      </c>
      <c r="I1696" s="100">
        <v>-5.9917255596178616E-2</v>
      </c>
    </row>
    <row r="1697" spans="1:9">
      <c r="A1697" s="90">
        <v>1681</v>
      </c>
      <c r="B1697" s="110">
        <v>1.1098024863382052</v>
      </c>
      <c r="C1697" s="110">
        <v>1.0462646559432953</v>
      </c>
      <c r="G1697" s="90">
        <v>1681</v>
      </c>
      <c r="H1697" s="100">
        <v>-5.8955708461658415E-2</v>
      </c>
      <c r="I1697" s="100">
        <v>-5.9916853963510708E-2</v>
      </c>
    </row>
    <row r="1698" spans="1:9">
      <c r="A1698" s="90">
        <v>1682</v>
      </c>
      <c r="B1698" s="110">
        <v>1.1267346977299504</v>
      </c>
      <c r="C1698" s="110">
        <v>1.0414557310932091</v>
      </c>
      <c r="G1698" s="90">
        <v>1682</v>
      </c>
      <c r="H1698" s="100">
        <v>-7.8704325740192441E-2</v>
      </c>
      <c r="I1698" s="100">
        <v>-5.9916800342301318E-2</v>
      </c>
    </row>
    <row r="1699" spans="1:9">
      <c r="A1699" s="90">
        <v>1683</v>
      </c>
      <c r="B1699" s="110">
        <v>1.1127968684698344</v>
      </c>
      <c r="C1699" s="110">
        <v>1.0603258092272334</v>
      </c>
      <c r="G1699" s="90">
        <v>1683</v>
      </c>
      <c r="H1699" s="100">
        <v>-4.8300319431559227E-2</v>
      </c>
      <c r="I1699" s="100">
        <v>-5.9910098289488553E-2</v>
      </c>
    </row>
    <row r="1700" spans="1:9">
      <c r="A1700" s="90">
        <v>1684</v>
      </c>
      <c r="B1700" s="110">
        <v>1.1176126072189008</v>
      </c>
      <c r="C1700" s="110">
        <v>1.0875090176828135</v>
      </c>
      <c r="G1700" s="90">
        <v>1684</v>
      </c>
      <c r="H1700" s="100">
        <v>-2.7305033446739742E-2</v>
      </c>
      <c r="I1700" s="100">
        <v>-5.9878186036376214E-2</v>
      </c>
    </row>
    <row r="1701" spans="1:9">
      <c r="A1701" s="90">
        <v>1685</v>
      </c>
      <c r="B1701" s="110">
        <v>1.1227021121636052</v>
      </c>
      <c r="C1701" s="110">
        <v>1.052734930861585</v>
      </c>
      <c r="G1701" s="90">
        <v>1685</v>
      </c>
      <c r="H1701" s="100">
        <v>-6.4346905919560091E-2</v>
      </c>
      <c r="I1701" s="100">
        <v>-5.9870841569203144E-2</v>
      </c>
    </row>
    <row r="1702" spans="1:9">
      <c r="A1702" s="90">
        <v>1686</v>
      </c>
      <c r="B1702" s="110">
        <v>1.1024067824080999</v>
      </c>
      <c r="C1702" s="110">
        <v>1.054746428710988</v>
      </c>
      <c r="G1702" s="90">
        <v>1686</v>
      </c>
      <c r="H1702" s="100">
        <v>-4.4195387554291574E-2</v>
      </c>
      <c r="I1702" s="100">
        <v>-5.9869740791737895E-2</v>
      </c>
    </row>
    <row r="1703" spans="1:9">
      <c r="A1703" s="90">
        <v>1687</v>
      </c>
      <c r="B1703" s="110">
        <v>1.0829763390763634</v>
      </c>
      <c r="C1703" s="110">
        <v>1.0315280504207214</v>
      </c>
      <c r="G1703" s="90">
        <v>1687</v>
      </c>
      <c r="H1703" s="100">
        <v>-4.8671873230316888E-2</v>
      </c>
      <c r="I1703" s="100">
        <v>-5.9863557317566832E-2</v>
      </c>
    </row>
    <row r="1704" spans="1:9">
      <c r="A1704" s="90">
        <v>1688</v>
      </c>
      <c r="B1704" s="110">
        <v>1.1316729468584794</v>
      </c>
      <c r="C1704" s="110">
        <v>1.072289187572294</v>
      </c>
      <c r="G1704" s="90">
        <v>1688</v>
      </c>
      <c r="H1704" s="100">
        <v>-5.3901231038811205E-2</v>
      </c>
      <c r="I1704" s="100">
        <v>-5.9852612735163797E-2</v>
      </c>
    </row>
    <row r="1705" spans="1:9">
      <c r="A1705" s="90">
        <v>1689</v>
      </c>
      <c r="B1705" s="110">
        <v>1.1169365943631999</v>
      </c>
      <c r="C1705" s="110">
        <v>1.0350826372391848</v>
      </c>
      <c r="G1705" s="90">
        <v>1689</v>
      </c>
      <c r="H1705" s="100">
        <v>-7.6108487979930653E-2</v>
      </c>
      <c r="I1705" s="100">
        <v>-5.9839116407861104E-2</v>
      </c>
    </row>
    <row r="1706" spans="1:9">
      <c r="A1706" s="90">
        <v>1690</v>
      </c>
      <c r="B1706" s="110">
        <v>1.1036091449027927</v>
      </c>
      <c r="C1706" s="110">
        <v>1.0528154149535038</v>
      </c>
      <c r="G1706" s="90">
        <v>1690</v>
      </c>
      <c r="H1706" s="100">
        <v>-4.7117926410578444E-2</v>
      </c>
      <c r="I1706" s="100">
        <v>-5.9835600518374908E-2</v>
      </c>
    </row>
    <row r="1707" spans="1:9">
      <c r="A1707" s="90">
        <v>1691</v>
      </c>
      <c r="B1707" s="110">
        <v>1.1076335886708089</v>
      </c>
      <c r="C1707" s="110">
        <v>1.064369662992199</v>
      </c>
      <c r="G1707" s="90">
        <v>1691</v>
      </c>
      <c r="H1707" s="100">
        <v>-3.984307928288635E-2</v>
      </c>
      <c r="I1707" s="100">
        <v>-5.9816561426794944E-2</v>
      </c>
    </row>
    <row r="1708" spans="1:9">
      <c r="A1708" s="90">
        <v>1692</v>
      </c>
      <c r="B1708" s="110">
        <v>1.1249430979432886</v>
      </c>
      <c r="C1708" s="110">
        <v>1.0504432492114142</v>
      </c>
      <c r="G1708" s="90">
        <v>1692</v>
      </c>
      <c r="H1708" s="100">
        <v>-6.8520237572596607E-2</v>
      </c>
      <c r="I1708" s="100">
        <v>-5.9811817784717988E-2</v>
      </c>
    </row>
    <row r="1709" spans="1:9">
      <c r="A1709" s="90">
        <v>1693</v>
      </c>
      <c r="B1709" s="110">
        <v>1.0871094901339604</v>
      </c>
      <c r="C1709" s="110">
        <v>1.0422960370913081</v>
      </c>
      <c r="G1709" s="90">
        <v>1693</v>
      </c>
      <c r="H1709" s="100">
        <v>-4.2096322285394734E-2</v>
      </c>
      <c r="I1709" s="100">
        <v>-5.9778310269881681E-2</v>
      </c>
    </row>
    <row r="1710" spans="1:9">
      <c r="A1710" s="90">
        <v>1694</v>
      </c>
      <c r="B1710" s="110">
        <v>1.1193459089154318</v>
      </c>
      <c r="C1710" s="110">
        <v>1.0288760271091573</v>
      </c>
      <c r="G1710" s="90">
        <v>1694</v>
      </c>
      <c r="H1710" s="100">
        <v>-8.4277534215975031E-2</v>
      </c>
      <c r="I1710" s="100">
        <v>-5.977016201274328E-2</v>
      </c>
    </row>
    <row r="1711" spans="1:9">
      <c r="A1711" s="90">
        <v>1695</v>
      </c>
      <c r="B1711" s="110">
        <v>1.1288435243485007</v>
      </c>
      <c r="C1711" s="110">
        <v>1.0348949018144487</v>
      </c>
      <c r="G1711" s="90">
        <v>1695</v>
      </c>
      <c r="H1711" s="100">
        <v>-8.689380146156532E-2</v>
      </c>
      <c r="I1711" s="100">
        <v>-5.9754236187673414E-2</v>
      </c>
    </row>
    <row r="1712" spans="1:9">
      <c r="A1712" s="90">
        <v>1696</v>
      </c>
      <c r="B1712" s="110">
        <v>1.1197686944127603</v>
      </c>
      <c r="C1712" s="110">
        <v>1.0445185822378686</v>
      </c>
      <c r="G1712" s="90">
        <v>1696</v>
      </c>
      <c r="H1712" s="100">
        <v>-6.9566048718204515E-2</v>
      </c>
      <c r="I1712" s="100">
        <v>-5.9751856547674884E-2</v>
      </c>
    </row>
    <row r="1713" spans="1:9">
      <c r="A1713" s="90">
        <v>1697</v>
      </c>
      <c r="B1713" s="110">
        <v>1.1287510894524839</v>
      </c>
      <c r="C1713" s="110">
        <v>1.0615844311001243</v>
      </c>
      <c r="G1713" s="90">
        <v>1697</v>
      </c>
      <c r="H1713" s="100">
        <v>-6.1349252509977165E-2</v>
      </c>
      <c r="I1713" s="100">
        <v>-5.974250871830309E-2</v>
      </c>
    </row>
    <row r="1714" spans="1:9">
      <c r="A1714" s="90">
        <v>1698</v>
      </c>
      <c r="B1714" s="110">
        <v>1.1043594480527619</v>
      </c>
      <c r="C1714" s="110">
        <v>1.0574455216519689</v>
      </c>
      <c r="G1714" s="90">
        <v>1698</v>
      </c>
      <c r="H1714" s="100">
        <v>-4.3409367424328438E-2</v>
      </c>
      <c r="I1714" s="100">
        <v>-5.9739974827879364E-2</v>
      </c>
    </row>
    <row r="1715" spans="1:9">
      <c r="A1715" s="90">
        <v>1699</v>
      </c>
      <c r="B1715" s="110">
        <v>1.1270423024695464</v>
      </c>
      <c r="C1715" s="110">
        <v>1.0418750499206975</v>
      </c>
      <c r="G1715" s="90">
        <v>1699</v>
      </c>
      <c r="H1715" s="100">
        <v>-7.8574747381430304E-2</v>
      </c>
      <c r="I1715" s="100">
        <v>-5.9724244874038185E-2</v>
      </c>
    </row>
    <row r="1716" spans="1:9">
      <c r="A1716" s="90">
        <v>1700</v>
      </c>
      <c r="B1716" s="110">
        <v>1.148205574710057</v>
      </c>
      <c r="C1716" s="110">
        <v>1.0468312586036639</v>
      </c>
      <c r="G1716" s="90">
        <v>1700</v>
      </c>
      <c r="H1716" s="100">
        <v>-9.2432601580960824E-2</v>
      </c>
      <c r="I1716" s="100">
        <v>-5.9723051480360528E-2</v>
      </c>
    </row>
    <row r="1717" spans="1:9">
      <c r="A1717" s="90">
        <v>1701</v>
      </c>
      <c r="B1717" s="110">
        <v>1.0907876769204861</v>
      </c>
      <c r="C1717" s="110">
        <v>1.0519435749729185</v>
      </c>
      <c r="G1717" s="90">
        <v>1701</v>
      </c>
      <c r="H1717" s="100">
        <v>-3.6260597719775037E-2</v>
      </c>
      <c r="I1717" s="100">
        <v>-5.9720959142835379E-2</v>
      </c>
    </row>
    <row r="1718" spans="1:9">
      <c r="A1718" s="90">
        <v>1702</v>
      </c>
      <c r="B1718" s="110">
        <v>1.1070420732156936</v>
      </c>
      <c r="C1718" s="110">
        <v>1.0637987551224888</v>
      </c>
      <c r="G1718" s="90">
        <v>1702</v>
      </c>
      <c r="H1718" s="100">
        <v>-3.9845426414743333E-2</v>
      </c>
      <c r="I1718" s="100">
        <v>-5.9720593947502086E-2</v>
      </c>
    </row>
    <row r="1719" spans="1:9">
      <c r="A1719" s="90">
        <v>1703</v>
      </c>
      <c r="B1719" s="110">
        <v>1.1072086015440987</v>
      </c>
      <c r="C1719" s="110">
        <v>1.0416196680203895</v>
      </c>
      <c r="G1719" s="90">
        <v>1703</v>
      </c>
      <c r="H1719" s="100">
        <v>-6.1065199784779998E-2</v>
      </c>
      <c r="I1719" s="100">
        <v>-5.9700460630699774E-2</v>
      </c>
    </row>
    <row r="1720" spans="1:9">
      <c r="A1720" s="90">
        <v>1704</v>
      </c>
      <c r="B1720" s="110">
        <v>1.1236849896578642</v>
      </c>
      <c r="C1720" s="110">
        <v>1.050429085357836</v>
      </c>
      <c r="G1720" s="90">
        <v>1704</v>
      </c>
      <c r="H1720" s="100">
        <v>-6.7414720464892858E-2</v>
      </c>
      <c r="I1720" s="100">
        <v>-5.9698986598686977E-2</v>
      </c>
    </row>
    <row r="1721" spans="1:9">
      <c r="A1721" s="90">
        <v>1705</v>
      </c>
      <c r="B1721" s="110">
        <v>1.1032083991436856</v>
      </c>
      <c r="C1721" s="110">
        <v>1.0680500147041081</v>
      </c>
      <c r="G1721" s="90">
        <v>1705</v>
      </c>
      <c r="H1721" s="100">
        <v>-3.2388091216167779E-2</v>
      </c>
      <c r="I1721" s="100">
        <v>-5.9692355032633489E-2</v>
      </c>
    </row>
    <row r="1722" spans="1:9">
      <c r="A1722" s="90">
        <v>1706</v>
      </c>
      <c r="B1722" s="110">
        <v>1.1387197650151826</v>
      </c>
      <c r="C1722" s="110">
        <v>1.0477946217429532</v>
      </c>
      <c r="G1722" s="90">
        <v>1706</v>
      </c>
      <c r="H1722" s="100">
        <v>-8.3217023135484722E-2</v>
      </c>
      <c r="I1722" s="100">
        <v>-5.9679262549005033E-2</v>
      </c>
    </row>
    <row r="1723" spans="1:9">
      <c r="A1723" s="90">
        <v>1707</v>
      </c>
      <c r="B1723" s="110">
        <v>1.1071755821213818</v>
      </c>
      <c r="C1723" s="110">
        <v>1.0830348325470218</v>
      </c>
      <c r="G1723" s="90">
        <v>1707</v>
      </c>
      <c r="H1723" s="100">
        <v>-2.204512139995549E-2</v>
      </c>
      <c r="I1723" s="100">
        <v>-5.9660825849744671E-2</v>
      </c>
    </row>
    <row r="1724" spans="1:9">
      <c r="A1724" s="90">
        <v>1708</v>
      </c>
      <c r="B1724" s="110">
        <v>1.1085677114765975</v>
      </c>
      <c r="C1724" s="110">
        <v>1.0657434371056695</v>
      </c>
      <c r="G1724" s="90">
        <v>1708</v>
      </c>
      <c r="H1724" s="100">
        <v>-3.9396213445980217E-2</v>
      </c>
      <c r="I1724" s="100">
        <v>-5.9634634569699502E-2</v>
      </c>
    </row>
    <row r="1725" spans="1:9">
      <c r="A1725" s="90">
        <v>1709</v>
      </c>
      <c r="B1725" s="110">
        <v>1.1083215064524419</v>
      </c>
      <c r="C1725" s="110">
        <v>1.0364803454774036</v>
      </c>
      <c r="G1725" s="90">
        <v>1709</v>
      </c>
      <c r="H1725" s="100">
        <v>-6.7016024194060206E-2</v>
      </c>
      <c r="I1725" s="100">
        <v>-5.9626824797434912E-2</v>
      </c>
    </row>
    <row r="1726" spans="1:9">
      <c r="A1726" s="90">
        <v>1710</v>
      </c>
      <c r="B1726" s="110">
        <v>1.0736895590750388</v>
      </c>
      <c r="C1726" s="110">
        <v>1.063197029881183</v>
      </c>
      <c r="G1726" s="90">
        <v>1710</v>
      </c>
      <c r="H1726" s="100">
        <v>-9.8204683152625476E-3</v>
      </c>
      <c r="I1726" s="100">
        <v>-5.9624929023923696E-2</v>
      </c>
    </row>
    <row r="1727" spans="1:9">
      <c r="A1727" s="90">
        <v>1711</v>
      </c>
      <c r="B1727" s="110">
        <v>1.1023467965829183</v>
      </c>
      <c r="C1727" s="110">
        <v>1.0650643274043867</v>
      </c>
      <c r="G1727" s="90">
        <v>1711</v>
      </c>
      <c r="H1727" s="100">
        <v>-3.4406160011557718E-2</v>
      </c>
      <c r="I1727" s="100">
        <v>-5.9624825106192242E-2</v>
      </c>
    </row>
    <row r="1728" spans="1:9">
      <c r="A1728" s="90">
        <v>1712</v>
      </c>
      <c r="B1728" s="110">
        <v>1.1031172754806535</v>
      </c>
      <c r="C1728" s="110">
        <v>1.0524793372192416</v>
      </c>
      <c r="G1728" s="90">
        <v>1712</v>
      </c>
      <c r="H1728" s="100">
        <v>-4.6991404431911472E-2</v>
      </c>
      <c r="I1728" s="100">
        <v>-5.9619873140524471E-2</v>
      </c>
    </row>
    <row r="1729" spans="1:9">
      <c r="A1729" s="90">
        <v>1713</v>
      </c>
      <c r="B1729" s="110">
        <v>1.1022972953047843</v>
      </c>
      <c r="C1729" s="110">
        <v>1.0543555146249248</v>
      </c>
      <c r="G1729" s="90">
        <v>1713</v>
      </c>
      <c r="H1729" s="100">
        <v>-4.4466758651386308E-2</v>
      </c>
      <c r="I1729" s="100">
        <v>-5.9616548607404542E-2</v>
      </c>
    </row>
    <row r="1730" spans="1:9">
      <c r="A1730" s="90">
        <v>1714</v>
      </c>
      <c r="B1730" s="110">
        <v>1.1194598849040938</v>
      </c>
      <c r="C1730" s="110">
        <v>1.0465323066167198</v>
      </c>
      <c r="G1730" s="90">
        <v>1714</v>
      </c>
      <c r="H1730" s="100">
        <v>-6.7364189830326687E-2</v>
      </c>
      <c r="I1730" s="100">
        <v>-5.9613671280963537E-2</v>
      </c>
    </row>
    <row r="1731" spans="1:9">
      <c r="A1731" s="90">
        <v>1715</v>
      </c>
      <c r="B1731" s="110">
        <v>1.105428191321415</v>
      </c>
      <c r="C1731" s="110">
        <v>1.0553136382954429</v>
      </c>
      <c r="G1731" s="90">
        <v>1715</v>
      </c>
      <c r="H1731" s="100">
        <v>-4.6394753137241222E-2</v>
      </c>
      <c r="I1731" s="100">
        <v>-5.9596675216140288E-2</v>
      </c>
    </row>
    <row r="1732" spans="1:9">
      <c r="A1732" s="90">
        <v>1716</v>
      </c>
      <c r="B1732" s="110">
        <v>1.0969352859144221</v>
      </c>
      <c r="C1732" s="110">
        <v>1.0385582228731436</v>
      </c>
      <c r="G1732" s="90">
        <v>1716</v>
      </c>
      <c r="H1732" s="100">
        <v>-5.4686760522730575E-2</v>
      </c>
      <c r="I1732" s="100">
        <v>-5.959247366301177E-2</v>
      </c>
    </row>
    <row r="1733" spans="1:9">
      <c r="A1733" s="90">
        <v>1717</v>
      </c>
      <c r="B1733" s="110">
        <v>1.15634960729016</v>
      </c>
      <c r="C1733" s="110">
        <v>1.0494287945799825</v>
      </c>
      <c r="G1733" s="90">
        <v>1717</v>
      </c>
      <c r="H1733" s="100">
        <v>-9.7022141996599351E-2</v>
      </c>
      <c r="I1733" s="100">
        <v>-5.9588775973561985E-2</v>
      </c>
    </row>
    <row r="1734" spans="1:9">
      <c r="A1734" s="90">
        <v>1718</v>
      </c>
      <c r="B1734" s="110">
        <v>1.1170276884190575</v>
      </c>
      <c r="C1734" s="110">
        <v>1.0388414187178163</v>
      </c>
      <c r="G1734" s="90">
        <v>1718</v>
      </c>
      <c r="H1734" s="100">
        <v>-7.2565236271922212E-2</v>
      </c>
      <c r="I1734" s="100">
        <v>-5.9585987819651777E-2</v>
      </c>
    </row>
    <row r="1735" spans="1:9">
      <c r="A1735" s="90">
        <v>1719</v>
      </c>
      <c r="B1735" s="110">
        <v>1.112234664199597</v>
      </c>
      <c r="C1735" s="110">
        <v>1.0410677393735721</v>
      </c>
      <c r="G1735" s="90">
        <v>1719</v>
      </c>
      <c r="H1735" s="100">
        <v>-6.6124343561253837E-2</v>
      </c>
      <c r="I1735" s="100">
        <v>-5.9580148431624423E-2</v>
      </c>
    </row>
    <row r="1736" spans="1:9">
      <c r="A1736" s="90">
        <v>1720</v>
      </c>
      <c r="B1736" s="110">
        <v>1.1047333073948873</v>
      </c>
      <c r="C1736" s="110">
        <v>1.057361292332712</v>
      </c>
      <c r="G1736" s="90">
        <v>1720</v>
      </c>
      <c r="H1736" s="100">
        <v>-4.3827497373568051E-2</v>
      </c>
      <c r="I1736" s="100">
        <v>-5.9563857173675211E-2</v>
      </c>
    </row>
    <row r="1737" spans="1:9">
      <c r="A1737" s="90">
        <v>1721</v>
      </c>
      <c r="B1737" s="110">
        <v>1.1535155221215301</v>
      </c>
      <c r="C1737" s="110">
        <v>1.0588995313102321</v>
      </c>
      <c r="G1737" s="90">
        <v>1721</v>
      </c>
      <c r="H1737" s="100">
        <v>-8.5584064248728345E-2</v>
      </c>
      <c r="I1737" s="100">
        <v>-5.9563616371614767E-2</v>
      </c>
    </row>
    <row r="1738" spans="1:9">
      <c r="A1738" s="90">
        <v>1722</v>
      </c>
      <c r="B1738" s="110">
        <v>1.1258912630335272</v>
      </c>
      <c r="C1738" s="110">
        <v>1.0578710197292085</v>
      </c>
      <c r="G1738" s="90">
        <v>1722</v>
      </c>
      <c r="H1738" s="100">
        <v>-6.2316539326574473E-2</v>
      </c>
      <c r="I1738" s="100">
        <v>-5.9563188971136181E-2</v>
      </c>
    </row>
    <row r="1739" spans="1:9">
      <c r="A1739" s="90">
        <v>1723</v>
      </c>
      <c r="B1739" s="110">
        <v>1.1042544857908099</v>
      </c>
      <c r="C1739" s="110">
        <v>1.0362965651379059</v>
      </c>
      <c r="G1739" s="90">
        <v>1723</v>
      </c>
      <c r="H1739" s="100">
        <v>-6.3517071124257043E-2</v>
      </c>
      <c r="I1739" s="100">
        <v>-5.955421153094162E-2</v>
      </c>
    </row>
    <row r="1740" spans="1:9">
      <c r="A1740" s="90">
        <v>1724</v>
      </c>
      <c r="B1740" s="110">
        <v>1.1322068989237088</v>
      </c>
      <c r="C1740" s="110">
        <v>1.0327113665121739</v>
      </c>
      <c r="G1740" s="90">
        <v>1724</v>
      </c>
      <c r="H1740" s="100">
        <v>-9.1980997749743929E-2</v>
      </c>
      <c r="I1740" s="100">
        <v>-5.9551293730939932E-2</v>
      </c>
    </row>
    <row r="1741" spans="1:9">
      <c r="A1741" s="90">
        <v>1725</v>
      </c>
      <c r="B1741" s="110">
        <v>1.1071327015428116</v>
      </c>
      <c r="C1741" s="110">
        <v>1.0646985948640926</v>
      </c>
      <c r="G1741" s="90">
        <v>1725</v>
      </c>
      <c r="H1741" s="100">
        <v>-3.9081771878477216E-2</v>
      </c>
      <c r="I1741" s="100">
        <v>-5.9517240452492341E-2</v>
      </c>
    </row>
    <row r="1742" spans="1:9">
      <c r="A1742" s="90">
        <v>1726</v>
      </c>
      <c r="B1742" s="110">
        <v>1.0795507915041953</v>
      </c>
      <c r="C1742" s="110">
        <v>1.0625886564883347</v>
      </c>
      <c r="G1742" s="90">
        <v>1726</v>
      </c>
      <c r="H1742" s="100">
        <v>-1.5836961083083217E-2</v>
      </c>
      <c r="I1742" s="100">
        <v>-5.9516064529335319E-2</v>
      </c>
    </row>
    <row r="1743" spans="1:9">
      <c r="A1743" s="90">
        <v>1727</v>
      </c>
      <c r="B1743" s="110">
        <v>1.094604890341935</v>
      </c>
      <c r="C1743" s="110">
        <v>1.0687053376262752</v>
      </c>
      <c r="G1743" s="90">
        <v>1727</v>
      </c>
      <c r="H1743" s="100">
        <v>-2.3945516375328907E-2</v>
      </c>
      <c r="I1743" s="100">
        <v>-5.9504496416257067E-2</v>
      </c>
    </row>
    <row r="1744" spans="1:9">
      <c r="A1744" s="90">
        <v>1728</v>
      </c>
      <c r="B1744" s="110">
        <v>1.1018451800805331</v>
      </c>
      <c r="C1744" s="110">
        <v>1.0157016876889946</v>
      </c>
      <c r="G1744" s="90">
        <v>1728</v>
      </c>
      <c r="H1744" s="100">
        <v>-8.1406519352232656E-2</v>
      </c>
      <c r="I1744" s="100">
        <v>-5.9503076165318677E-2</v>
      </c>
    </row>
    <row r="1745" spans="1:9">
      <c r="A1745" s="90">
        <v>1729</v>
      </c>
      <c r="B1745" s="110">
        <v>1.1044509041427826</v>
      </c>
      <c r="C1745" s="110">
        <v>1.0616166174427517</v>
      </c>
      <c r="G1745" s="90">
        <v>1729</v>
      </c>
      <c r="H1745" s="100">
        <v>-3.9555435017936458E-2</v>
      </c>
      <c r="I1745" s="100">
        <v>-5.9493728074523029E-2</v>
      </c>
    </row>
    <row r="1746" spans="1:9">
      <c r="A1746" s="90">
        <v>1730</v>
      </c>
      <c r="B1746" s="110">
        <v>1.110156849058429</v>
      </c>
      <c r="C1746" s="110">
        <v>1.0458965770092779</v>
      </c>
      <c r="G1746" s="90">
        <v>1730</v>
      </c>
      <c r="H1746" s="100">
        <v>-5.9626824797434912E-2</v>
      </c>
      <c r="I1746" s="100">
        <v>-5.9489241623323939E-2</v>
      </c>
    </row>
    <row r="1747" spans="1:9">
      <c r="A1747" s="90">
        <v>1731</v>
      </c>
      <c r="B1747" s="110">
        <v>1.1189573899250411</v>
      </c>
      <c r="C1747" s="110">
        <v>1.0457585047448754</v>
      </c>
      <c r="G1747" s="90">
        <v>1731</v>
      </c>
      <c r="H1747" s="100">
        <v>-6.7654885914048904E-2</v>
      </c>
      <c r="I1747" s="100">
        <v>-5.9483197616689305E-2</v>
      </c>
    </row>
    <row r="1748" spans="1:9">
      <c r="A1748" s="90">
        <v>1732</v>
      </c>
      <c r="B1748" s="110">
        <v>1.0953673519225418</v>
      </c>
      <c r="C1748" s="110">
        <v>1.0555736403752791</v>
      </c>
      <c r="G1748" s="90">
        <v>1732</v>
      </c>
      <c r="H1748" s="100">
        <v>-3.7005434104412843E-2</v>
      </c>
      <c r="I1748" s="100">
        <v>-5.9479276149006902E-2</v>
      </c>
    </row>
    <row r="1749" spans="1:9">
      <c r="A1749" s="90">
        <v>1733</v>
      </c>
      <c r="B1749" s="110">
        <v>1.1161205100441054</v>
      </c>
      <c r="C1749" s="110">
        <v>1.0632216208615353</v>
      </c>
      <c r="G1749" s="90">
        <v>1733</v>
      </c>
      <c r="H1749" s="100">
        <v>-4.8555278181086022E-2</v>
      </c>
      <c r="I1749" s="100">
        <v>-5.9477864126915019E-2</v>
      </c>
    </row>
    <row r="1750" spans="1:9">
      <c r="A1750" s="90">
        <v>1734</v>
      </c>
      <c r="B1750" s="110">
        <v>1.0927692550850583</v>
      </c>
      <c r="C1750" s="110">
        <v>1.0603228506215852</v>
      </c>
      <c r="G1750" s="90">
        <v>1734</v>
      </c>
      <c r="H1750" s="100">
        <v>-3.0141637557444662E-2</v>
      </c>
      <c r="I1750" s="100">
        <v>-5.946864494441461E-2</v>
      </c>
    </row>
    <row r="1751" spans="1:9">
      <c r="A1751" s="90">
        <v>1735</v>
      </c>
      <c r="B1751" s="110">
        <v>1.093094903292039</v>
      </c>
      <c r="C1751" s="110">
        <v>1.0623468455813032</v>
      </c>
      <c r="G1751" s="90">
        <v>1735</v>
      </c>
      <c r="H1751" s="100">
        <v>-2.8532567597323123E-2</v>
      </c>
      <c r="I1751" s="100">
        <v>-5.9462316203452013E-2</v>
      </c>
    </row>
    <row r="1752" spans="1:9">
      <c r="A1752" s="90">
        <v>1736</v>
      </c>
      <c r="B1752" s="110">
        <v>1.0752120815289661</v>
      </c>
      <c r="C1752" s="110">
        <v>1.0430783845062941</v>
      </c>
      <c r="G1752" s="90">
        <v>1736</v>
      </c>
      <c r="H1752" s="100">
        <v>-3.0341601139608761E-2</v>
      </c>
      <c r="I1752" s="100">
        <v>-5.9461768655619418E-2</v>
      </c>
    </row>
    <row r="1753" spans="1:9">
      <c r="A1753" s="90">
        <v>1737</v>
      </c>
      <c r="B1753" s="110">
        <v>1.1192963048737081</v>
      </c>
      <c r="C1753" s="110">
        <v>1.0620889682646417</v>
      </c>
      <c r="G1753" s="90">
        <v>1737</v>
      </c>
      <c r="H1753" s="100">
        <v>-5.2462495053059097E-2</v>
      </c>
      <c r="I1753" s="100">
        <v>-5.9448052185464756E-2</v>
      </c>
    </row>
    <row r="1754" spans="1:9">
      <c r="A1754" s="90">
        <v>1738</v>
      </c>
      <c r="B1754" s="110">
        <v>1.1030940179985713</v>
      </c>
      <c r="C1754" s="110">
        <v>1.0567083015916772</v>
      </c>
      <c r="G1754" s="90">
        <v>1738</v>
      </c>
      <c r="H1754" s="100">
        <v>-4.2960274496027621E-2</v>
      </c>
      <c r="I1754" s="100">
        <v>-5.9435640674355132E-2</v>
      </c>
    </row>
    <row r="1755" spans="1:9">
      <c r="A1755" s="90">
        <v>1739</v>
      </c>
      <c r="B1755" s="110">
        <v>1.1411163357976011</v>
      </c>
      <c r="C1755" s="110">
        <v>1.0476252459822646</v>
      </c>
      <c r="G1755" s="90">
        <v>1739</v>
      </c>
      <c r="H1755" s="100">
        <v>-8.548109295269718E-2</v>
      </c>
      <c r="I1755" s="100">
        <v>-5.9434991809286422E-2</v>
      </c>
    </row>
    <row r="1756" spans="1:9">
      <c r="A1756" s="90">
        <v>1740</v>
      </c>
      <c r="B1756" s="110">
        <v>1.1004137653900952</v>
      </c>
      <c r="C1756" s="110">
        <v>1.0579271066851692</v>
      </c>
      <c r="G1756" s="90">
        <v>1740</v>
      </c>
      <c r="H1756" s="100">
        <v>-3.9374825642562991E-2</v>
      </c>
      <c r="I1756" s="100">
        <v>-5.9425985583426523E-2</v>
      </c>
    </row>
    <row r="1757" spans="1:9">
      <c r="A1757" s="90">
        <v>1741</v>
      </c>
      <c r="B1757" s="110">
        <v>1.1215312356828642</v>
      </c>
      <c r="C1757" s="110">
        <v>1.061550389594704</v>
      </c>
      <c r="G1757" s="90">
        <v>1741</v>
      </c>
      <c r="H1757" s="100">
        <v>-5.49644550782327E-2</v>
      </c>
      <c r="I1757" s="100">
        <v>-5.9393974025375301E-2</v>
      </c>
    </row>
    <row r="1758" spans="1:9">
      <c r="A1758" s="90">
        <v>1742</v>
      </c>
      <c r="B1758" s="110">
        <v>1.1026645677850373</v>
      </c>
      <c r="C1758" s="110">
        <v>1.0526149133898932</v>
      </c>
      <c r="G1758" s="90">
        <v>1742</v>
      </c>
      <c r="H1758" s="100">
        <v>-4.6452123049145762E-2</v>
      </c>
      <c r="I1758" s="100">
        <v>-5.93851786843742E-2</v>
      </c>
    </row>
    <row r="1759" spans="1:9">
      <c r="A1759" s="90">
        <v>1743</v>
      </c>
      <c r="B1759" s="110">
        <v>1.0960654594768335</v>
      </c>
      <c r="C1759" s="110">
        <v>1.0603781308866702</v>
      </c>
      <c r="G1759" s="90">
        <v>1743</v>
      </c>
      <c r="H1759" s="100">
        <v>-3.3101340778826774E-2</v>
      </c>
      <c r="I1759" s="100">
        <v>-5.9382311210809564E-2</v>
      </c>
    </row>
    <row r="1760" spans="1:9">
      <c r="A1760" s="90">
        <v>1744</v>
      </c>
      <c r="B1760" s="110">
        <v>1.1257617353586049</v>
      </c>
      <c r="C1760" s="110">
        <v>1.0282141259070618</v>
      </c>
      <c r="G1760" s="90">
        <v>1744</v>
      </c>
      <c r="H1760" s="100">
        <v>-9.063646559865883E-2</v>
      </c>
      <c r="I1760" s="100">
        <v>-5.9381762820250816E-2</v>
      </c>
    </row>
    <row r="1761" spans="1:9">
      <c r="A1761" s="90">
        <v>1745</v>
      </c>
      <c r="B1761" s="110">
        <v>1.1034375873822622</v>
      </c>
      <c r="C1761" s="110">
        <v>1.0461562800853828</v>
      </c>
      <c r="G1761" s="90">
        <v>1745</v>
      </c>
      <c r="H1761" s="100">
        <v>-5.3307624501546469E-2</v>
      </c>
      <c r="I1761" s="100">
        <v>-5.9373464290255341E-2</v>
      </c>
    </row>
    <row r="1762" spans="1:9">
      <c r="A1762" s="90">
        <v>1746</v>
      </c>
      <c r="B1762" s="110">
        <v>1.121010514897617</v>
      </c>
      <c r="C1762" s="110">
        <v>1.0500991320605753</v>
      </c>
      <c r="G1762" s="90">
        <v>1746</v>
      </c>
      <c r="H1762" s="100">
        <v>-6.5345952773330732E-2</v>
      </c>
      <c r="I1762" s="100">
        <v>-5.9360847682903103E-2</v>
      </c>
    </row>
    <row r="1763" spans="1:9">
      <c r="A1763" s="90">
        <v>1747</v>
      </c>
      <c r="B1763" s="110">
        <v>1.095559562055316</v>
      </c>
      <c r="C1763" s="110">
        <v>1.0525408936080711</v>
      </c>
      <c r="G1763" s="90">
        <v>1747</v>
      </c>
      <c r="H1763" s="100">
        <v>-4.0058108716099293E-2</v>
      </c>
      <c r="I1763" s="100">
        <v>-5.9357340964144946E-2</v>
      </c>
    </row>
    <row r="1764" spans="1:9">
      <c r="A1764" s="90">
        <v>1748</v>
      </c>
      <c r="B1764" s="110">
        <v>1.1037044843154833</v>
      </c>
      <c r="C1764" s="110">
        <v>1.0515050474244645</v>
      </c>
      <c r="G1764" s="90">
        <v>1748</v>
      </c>
      <c r="H1764" s="100">
        <v>-4.8449718409918713E-2</v>
      </c>
      <c r="I1764" s="100">
        <v>-5.9335398707440132E-2</v>
      </c>
    </row>
    <row r="1765" spans="1:9">
      <c r="A1765" s="90">
        <v>1749</v>
      </c>
      <c r="B1765" s="110">
        <v>1.1377130971550526</v>
      </c>
      <c r="C1765" s="110">
        <v>1.0599696872785906</v>
      </c>
      <c r="G1765" s="90">
        <v>1749</v>
      </c>
      <c r="H1765" s="100">
        <v>-7.0779881647568488E-2</v>
      </c>
      <c r="I1765" s="100">
        <v>-5.9322043897168608E-2</v>
      </c>
    </row>
    <row r="1766" spans="1:9">
      <c r="A1766" s="90">
        <v>1750</v>
      </c>
      <c r="B1766" s="110">
        <v>1.1298686778038898</v>
      </c>
      <c r="C1766" s="110">
        <v>1.0506534463742201</v>
      </c>
      <c r="G1766" s="90">
        <v>1750</v>
      </c>
      <c r="H1766" s="100">
        <v>-7.268911115529357E-2</v>
      </c>
      <c r="I1766" s="100">
        <v>-5.930741636892433E-2</v>
      </c>
    </row>
    <row r="1767" spans="1:9">
      <c r="A1767" s="90">
        <v>1751</v>
      </c>
      <c r="B1767" s="110">
        <v>1.1314651200374781</v>
      </c>
      <c r="C1767" s="110">
        <v>1.039413130963083</v>
      </c>
      <c r="G1767" s="90">
        <v>1751</v>
      </c>
      <c r="H1767" s="100">
        <v>-8.4857102585875782E-2</v>
      </c>
      <c r="I1767" s="100">
        <v>-5.9305977115558017E-2</v>
      </c>
    </row>
    <row r="1768" spans="1:9">
      <c r="A1768" s="90">
        <v>1752</v>
      </c>
      <c r="B1768" s="110">
        <v>1.1114710294068124</v>
      </c>
      <c r="C1768" s="110">
        <v>1.079513828626558</v>
      </c>
      <c r="G1768" s="90">
        <v>1752</v>
      </c>
      <c r="H1768" s="100">
        <v>-2.9173608565926944E-2</v>
      </c>
      <c r="I1768" s="100">
        <v>-5.927567518004203E-2</v>
      </c>
    </row>
    <row r="1769" spans="1:9">
      <c r="A1769" s="90">
        <v>1753</v>
      </c>
      <c r="B1769" s="110">
        <v>1.1154244486038902</v>
      </c>
      <c r="C1769" s="110">
        <v>1.0587469230109861</v>
      </c>
      <c r="G1769" s="90">
        <v>1753</v>
      </c>
      <c r="H1769" s="100">
        <v>-5.214894313583178E-2</v>
      </c>
      <c r="I1769" s="100">
        <v>-5.9264704255386241E-2</v>
      </c>
    </row>
    <row r="1770" spans="1:9">
      <c r="A1770" s="90">
        <v>1754</v>
      </c>
      <c r="B1770" s="110">
        <v>1.1046905555022684</v>
      </c>
      <c r="C1770" s="110">
        <v>1.0717043778514255</v>
      </c>
      <c r="G1770" s="90">
        <v>1754</v>
      </c>
      <c r="H1770" s="100">
        <v>-3.0314997793399263E-2</v>
      </c>
      <c r="I1770" s="100">
        <v>-5.9258226457802175E-2</v>
      </c>
    </row>
    <row r="1771" spans="1:9">
      <c r="A1771" s="90">
        <v>1755</v>
      </c>
      <c r="B1771" s="110">
        <v>1.0895291736614494</v>
      </c>
      <c r="C1771" s="110">
        <v>1.0458915775352287</v>
      </c>
      <c r="G1771" s="90">
        <v>1755</v>
      </c>
      <c r="H1771" s="100">
        <v>-4.0875946247912756E-2</v>
      </c>
      <c r="I1771" s="100">
        <v>-5.9253871511146063E-2</v>
      </c>
    </row>
    <row r="1772" spans="1:9">
      <c r="A1772" s="90">
        <v>1756</v>
      </c>
      <c r="B1772" s="110">
        <v>1.1318134367685941</v>
      </c>
      <c r="C1772" s="110">
        <v>1.0689975670216521</v>
      </c>
      <c r="G1772" s="90">
        <v>1756</v>
      </c>
      <c r="H1772" s="100">
        <v>-5.7099801588534844E-2</v>
      </c>
      <c r="I1772" s="100">
        <v>-5.9246911293742932E-2</v>
      </c>
    </row>
    <row r="1773" spans="1:9">
      <c r="A1773" s="90">
        <v>1757</v>
      </c>
      <c r="B1773" s="110">
        <v>1.1193041713040834</v>
      </c>
      <c r="C1773" s="110">
        <v>1.0220502722788598</v>
      </c>
      <c r="G1773" s="90">
        <v>1757</v>
      </c>
      <c r="H1773" s="100">
        <v>-9.0896535945527698E-2</v>
      </c>
      <c r="I1773" s="100">
        <v>-5.9246476466456185E-2</v>
      </c>
    </row>
    <row r="1774" spans="1:9">
      <c r="A1774" s="90">
        <v>1758</v>
      </c>
      <c r="B1774" s="110">
        <v>1.1193973424862675</v>
      </c>
      <c r="C1774" s="110">
        <v>1.0530785742777249</v>
      </c>
      <c r="G1774" s="90">
        <v>1758</v>
      </c>
      <c r="H1774" s="100">
        <v>-6.107260360539412E-2</v>
      </c>
      <c r="I1774" s="100">
        <v>-5.9228223859378093E-2</v>
      </c>
    </row>
    <row r="1775" spans="1:9">
      <c r="A1775" s="90">
        <v>1759</v>
      </c>
      <c r="B1775" s="110">
        <v>1.1351922655536026</v>
      </c>
      <c r="C1775" s="110">
        <v>1.0492437117388951</v>
      </c>
      <c r="G1775" s="90">
        <v>1759</v>
      </c>
      <c r="H1775" s="100">
        <v>-7.8732403438128748E-2</v>
      </c>
      <c r="I1775" s="100">
        <v>-5.9225662940326419E-2</v>
      </c>
    </row>
    <row r="1776" spans="1:9">
      <c r="A1776" s="90">
        <v>1760</v>
      </c>
      <c r="B1776" s="110">
        <v>1.1409960633838301</v>
      </c>
      <c r="C1776" s="110">
        <v>1.0678976569776282</v>
      </c>
      <c r="G1776" s="90">
        <v>1760</v>
      </c>
      <c r="H1776" s="100">
        <v>-6.6209711582003186E-2</v>
      </c>
      <c r="I1776" s="100">
        <v>-5.9201491431812282E-2</v>
      </c>
    </row>
    <row r="1777" spans="1:9">
      <c r="A1777" s="90">
        <v>1761</v>
      </c>
      <c r="B1777" s="110">
        <v>1.1321378037519894</v>
      </c>
      <c r="C1777" s="110">
        <v>1.0605372486546518</v>
      </c>
      <c r="G1777" s="90">
        <v>1761</v>
      </c>
      <c r="H1777" s="100">
        <v>-6.5332089056911749E-2</v>
      </c>
      <c r="I1777" s="100">
        <v>-5.9196755900000168E-2</v>
      </c>
    </row>
    <row r="1778" spans="1:9">
      <c r="A1778" s="90">
        <v>1762</v>
      </c>
      <c r="B1778" s="110">
        <v>1.1308663756884088</v>
      </c>
      <c r="C1778" s="110">
        <v>1.0556008554742307</v>
      </c>
      <c r="G1778" s="90">
        <v>1762</v>
      </c>
      <c r="H1778" s="100">
        <v>-6.8873907043951021E-2</v>
      </c>
      <c r="I1778" s="100">
        <v>-5.9183044129292386E-2</v>
      </c>
    </row>
    <row r="1779" spans="1:9">
      <c r="A1779" s="90">
        <v>1763</v>
      </c>
      <c r="B1779" s="110">
        <v>1.0757433718544773</v>
      </c>
      <c r="C1779" s="110">
        <v>1.0452998178256916</v>
      </c>
      <c r="G1779" s="90">
        <v>1763</v>
      </c>
      <c r="H1779" s="100">
        <v>-2.8708180022429024E-2</v>
      </c>
      <c r="I1779" s="100">
        <v>-5.9177223938890154E-2</v>
      </c>
    </row>
    <row r="1780" spans="1:9">
      <c r="A1780" s="90">
        <v>1764</v>
      </c>
      <c r="B1780" s="110">
        <v>1.1297625644584661</v>
      </c>
      <c r="C1780" s="110">
        <v>1.0465590668861078</v>
      </c>
      <c r="G1780" s="90">
        <v>1764</v>
      </c>
      <c r="H1780" s="100">
        <v>-7.6499787068283878E-2</v>
      </c>
      <c r="I1780" s="100">
        <v>-5.9163189732350227E-2</v>
      </c>
    </row>
    <row r="1781" spans="1:9">
      <c r="A1781" s="90">
        <v>1765</v>
      </c>
      <c r="B1781" s="110">
        <v>1.1247005051375401</v>
      </c>
      <c r="C1781" s="110">
        <v>1.0594378871102732</v>
      </c>
      <c r="G1781" s="90">
        <v>1765</v>
      </c>
      <c r="H1781" s="100">
        <v>-5.9778310269881681E-2</v>
      </c>
      <c r="I1781" s="100">
        <v>-5.9157525301698606E-2</v>
      </c>
    </row>
    <row r="1782" spans="1:9">
      <c r="A1782" s="90">
        <v>1766</v>
      </c>
      <c r="B1782" s="110">
        <v>1.1008052760914775</v>
      </c>
      <c r="C1782" s="110">
        <v>1.046705046859804</v>
      </c>
      <c r="G1782" s="90">
        <v>1766</v>
      </c>
      <c r="H1782" s="100">
        <v>-5.0394801592366902E-2</v>
      </c>
      <c r="I1782" s="100">
        <v>-5.9152326061852958E-2</v>
      </c>
    </row>
    <row r="1783" spans="1:9">
      <c r="A1783" s="90">
        <v>1767</v>
      </c>
      <c r="B1783" s="110">
        <v>1.132814535484292</v>
      </c>
      <c r="C1783" s="110">
        <v>1.084943460176079</v>
      </c>
      <c r="G1783" s="90">
        <v>1767</v>
      </c>
      <c r="H1783" s="100">
        <v>-4.3177400142815556E-2</v>
      </c>
      <c r="I1783" s="100">
        <v>-5.9131665043238163E-2</v>
      </c>
    </row>
    <row r="1784" spans="1:9">
      <c r="A1784" s="90">
        <v>1768</v>
      </c>
      <c r="B1784" s="110">
        <v>1.1070233899022419</v>
      </c>
      <c r="C1784" s="110">
        <v>1.0514702184953253</v>
      </c>
      <c r="G1784" s="90">
        <v>1768</v>
      </c>
      <c r="H1784" s="100">
        <v>-5.14853897099493E-2</v>
      </c>
      <c r="I1784" s="100">
        <v>-5.9129757278233525E-2</v>
      </c>
    </row>
    <row r="1785" spans="1:9">
      <c r="A1785" s="90">
        <v>1769</v>
      </c>
      <c r="B1785" s="110">
        <v>1.1123300306683763</v>
      </c>
      <c r="C1785" s="110">
        <v>1.0570488173607528</v>
      </c>
      <c r="G1785" s="90">
        <v>1769</v>
      </c>
      <c r="H1785" s="100">
        <v>-5.0976051317000809E-2</v>
      </c>
      <c r="I1785" s="100">
        <v>-5.9124662007096603E-2</v>
      </c>
    </row>
    <row r="1786" spans="1:9">
      <c r="A1786" s="90">
        <v>1770</v>
      </c>
      <c r="B1786" s="110">
        <v>1.1323595147703212</v>
      </c>
      <c r="C1786" s="110">
        <v>1.0458067167813283</v>
      </c>
      <c r="G1786" s="90">
        <v>1770</v>
      </c>
      <c r="H1786" s="100">
        <v>-7.9514956536071948E-2</v>
      </c>
      <c r="I1786" s="100">
        <v>-5.9114122043147026E-2</v>
      </c>
    </row>
    <row r="1787" spans="1:9">
      <c r="A1787" s="90">
        <v>1771</v>
      </c>
      <c r="B1787" s="110">
        <v>1.115982502882374</v>
      </c>
      <c r="C1787" s="110">
        <v>1.0788684997802096</v>
      </c>
      <c r="G1787" s="90">
        <v>1771</v>
      </c>
      <c r="H1787" s="100">
        <v>-3.3822378873933183E-2</v>
      </c>
      <c r="I1787" s="100">
        <v>-5.9096376272845905E-2</v>
      </c>
    </row>
    <row r="1788" spans="1:9">
      <c r="A1788" s="90">
        <v>1772</v>
      </c>
      <c r="B1788" s="110">
        <v>1.126229683904213</v>
      </c>
      <c r="C1788" s="110">
        <v>1.0609624888366287</v>
      </c>
      <c r="G1788" s="90">
        <v>1772</v>
      </c>
      <c r="H1788" s="100">
        <v>-5.9698986598686977E-2</v>
      </c>
      <c r="I1788" s="100">
        <v>-5.9091115500785198E-2</v>
      </c>
    </row>
    <row r="1789" spans="1:9">
      <c r="A1789" s="90">
        <v>1773</v>
      </c>
      <c r="B1789" s="110">
        <v>1.0988754018999436</v>
      </c>
      <c r="C1789" s="110">
        <v>1.0435652169643161</v>
      </c>
      <c r="G1789" s="90">
        <v>1773</v>
      </c>
      <c r="H1789" s="100">
        <v>-5.1644351055836639E-2</v>
      </c>
      <c r="I1789" s="100">
        <v>-5.9073896795801842E-2</v>
      </c>
    </row>
    <row r="1790" spans="1:9">
      <c r="A1790" s="90">
        <v>1774</v>
      </c>
      <c r="B1790" s="110">
        <v>1.101241675830555</v>
      </c>
      <c r="C1790" s="110">
        <v>1.0424612866669589</v>
      </c>
      <c r="G1790" s="90">
        <v>1774</v>
      </c>
      <c r="H1790" s="100">
        <v>-5.4853800492854828E-2</v>
      </c>
      <c r="I1790" s="100">
        <v>-5.9070237316576867E-2</v>
      </c>
    </row>
    <row r="1791" spans="1:9">
      <c r="A1791" s="90">
        <v>1775</v>
      </c>
      <c r="B1791" s="110">
        <v>1.1020348669654492</v>
      </c>
      <c r="C1791" s="110">
        <v>1.0366519362471778</v>
      </c>
      <c r="G1791" s="90">
        <v>1775</v>
      </c>
      <c r="H1791" s="100">
        <v>-6.1162121930549797E-2</v>
      </c>
      <c r="I1791" s="100">
        <v>-5.9069165303804065E-2</v>
      </c>
    </row>
    <row r="1792" spans="1:9">
      <c r="A1792" s="90">
        <v>1776</v>
      </c>
      <c r="B1792" s="110">
        <v>1.1210142017365905</v>
      </c>
      <c r="C1792" s="110">
        <v>1.0451283183159572</v>
      </c>
      <c r="G1792" s="90">
        <v>1776</v>
      </c>
      <c r="H1792" s="100">
        <v>-7.009414229506869E-2</v>
      </c>
      <c r="I1792" s="100">
        <v>-5.9050036477991473E-2</v>
      </c>
    </row>
    <row r="1793" spans="1:9">
      <c r="A1793" s="90">
        <v>1777</v>
      </c>
      <c r="B1793" s="110">
        <v>1.0867310780723032</v>
      </c>
      <c r="C1793" s="110">
        <v>1.0565203568319059</v>
      </c>
      <c r="G1793" s="90">
        <v>1777</v>
      </c>
      <c r="H1793" s="100">
        <v>-2.8193353185424777E-2</v>
      </c>
      <c r="I1793" s="100">
        <v>-5.9028993079596935E-2</v>
      </c>
    </row>
    <row r="1794" spans="1:9">
      <c r="A1794" s="90">
        <v>1778</v>
      </c>
      <c r="B1794" s="110">
        <v>1.1287081286515726</v>
      </c>
      <c r="C1794" s="110">
        <v>1.0470068678971141</v>
      </c>
      <c r="G1794" s="90">
        <v>1778</v>
      </c>
      <c r="H1794" s="100">
        <v>-7.5138238272730723E-2</v>
      </c>
      <c r="I1794" s="100">
        <v>-5.9003757466760745E-2</v>
      </c>
    </row>
    <row r="1795" spans="1:9">
      <c r="A1795" s="90">
        <v>1779</v>
      </c>
      <c r="B1795" s="110">
        <v>1.0943161379164479</v>
      </c>
      <c r="C1795" s="110">
        <v>1.0399740241434936</v>
      </c>
      <c r="G1795" s="90">
        <v>1779</v>
      </c>
      <c r="H1795" s="100">
        <v>-5.0933900527973024E-2</v>
      </c>
      <c r="I1795" s="100">
        <v>-5.8998287263297075E-2</v>
      </c>
    </row>
    <row r="1796" spans="1:9">
      <c r="A1796" s="90">
        <v>1780</v>
      </c>
      <c r="B1796" s="110">
        <v>1.0771113199195703</v>
      </c>
      <c r="C1796" s="110">
        <v>1.0562896897459551</v>
      </c>
      <c r="G1796" s="90">
        <v>1780</v>
      </c>
      <c r="H1796" s="100">
        <v>-1.9520278872538918E-2</v>
      </c>
      <c r="I1796" s="100">
        <v>-5.8989728088886112E-2</v>
      </c>
    </row>
    <row r="1797" spans="1:9">
      <c r="A1797" s="90">
        <v>1781</v>
      </c>
      <c r="B1797" s="110">
        <v>1.1180420663210624</v>
      </c>
      <c r="C1797" s="110">
        <v>1.0535136892497388</v>
      </c>
      <c r="G1797" s="90">
        <v>1781</v>
      </c>
      <c r="H1797" s="100">
        <v>-5.9448052185464756E-2</v>
      </c>
      <c r="I1797" s="100">
        <v>-5.8989586209222844E-2</v>
      </c>
    </row>
    <row r="1798" spans="1:9">
      <c r="A1798" s="90">
        <v>1782</v>
      </c>
      <c r="B1798" s="110">
        <v>1.098045439173456</v>
      </c>
      <c r="C1798" s="110">
        <v>1.0452996026480956</v>
      </c>
      <c r="G1798" s="90">
        <v>1782</v>
      </c>
      <c r="H1798" s="100">
        <v>-4.9228180388920469E-2</v>
      </c>
      <c r="I1798" s="100">
        <v>-5.8979298698512143E-2</v>
      </c>
    </row>
    <row r="1799" spans="1:9">
      <c r="A1799" s="90">
        <v>1783</v>
      </c>
      <c r="B1799" s="110">
        <v>1.0806969072213992</v>
      </c>
      <c r="C1799" s="110">
        <v>1.0444104975098529</v>
      </c>
      <c r="G1799" s="90">
        <v>1783</v>
      </c>
      <c r="H1799" s="100">
        <v>-3.4153508466545905E-2</v>
      </c>
      <c r="I1799" s="100">
        <v>-5.8974594947748808E-2</v>
      </c>
    </row>
    <row r="1800" spans="1:9">
      <c r="A1800" s="90">
        <v>1784</v>
      </c>
      <c r="B1800" s="110">
        <v>1.1106763878629149</v>
      </c>
      <c r="C1800" s="110">
        <v>1.0690508352514676</v>
      </c>
      <c r="G1800" s="90">
        <v>1784</v>
      </c>
      <c r="H1800" s="100">
        <v>-3.8198003239762308E-2</v>
      </c>
      <c r="I1800" s="100">
        <v>-5.8967948081081023E-2</v>
      </c>
    </row>
    <row r="1801" spans="1:9">
      <c r="A1801" s="90">
        <v>1785</v>
      </c>
      <c r="B1801" s="110">
        <v>1.125566623374934</v>
      </c>
      <c r="C1801" s="110">
        <v>1.0536336677849869</v>
      </c>
      <c r="G1801" s="90">
        <v>1785</v>
      </c>
      <c r="H1801" s="100">
        <v>-6.6041748148268242E-2</v>
      </c>
      <c r="I1801" s="100">
        <v>-5.8961258224554267E-2</v>
      </c>
    </row>
    <row r="1802" spans="1:9">
      <c r="A1802" s="90">
        <v>1786</v>
      </c>
      <c r="B1802" s="110">
        <v>1.1323073074722205</v>
      </c>
      <c r="C1802" s="110">
        <v>1.0605439519582711</v>
      </c>
      <c r="G1802" s="90">
        <v>1786</v>
      </c>
      <c r="H1802" s="100">
        <v>-6.547547724479956E-2</v>
      </c>
      <c r="I1802" s="100">
        <v>-5.8955708461658415E-2</v>
      </c>
    </row>
    <row r="1803" spans="1:9">
      <c r="A1803" s="90">
        <v>1787</v>
      </c>
      <c r="B1803" s="110">
        <v>1.1167977488530505</v>
      </c>
      <c r="C1803" s="110">
        <v>1.0553002383744139</v>
      </c>
      <c r="G1803" s="90">
        <v>1787</v>
      </c>
      <c r="H1803" s="100">
        <v>-5.6640124734167761E-2</v>
      </c>
      <c r="I1803" s="100">
        <v>-5.8941311394848185E-2</v>
      </c>
    </row>
    <row r="1804" spans="1:9">
      <c r="A1804" s="90">
        <v>1788</v>
      </c>
      <c r="B1804" s="110">
        <v>1.0942185146412784</v>
      </c>
      <c r="C1804" s="110">
        <v>1.051024229623877</v>
      </c>
      <c r="G1804" s="90">
        <v>1788</v>
      </c>
      <c r="H1804" s="100">
        <v>-4.0275277709528393E-2</v>
      </c>
      <c r="I1804" s="100">
        <v>-5.8937554774992088E-2</v>
      </c>
    </row>
    <row r="1805" spans="1:9">
      <c r="A1805" s="90">
        <v>1789</v>
      </c>
      <c r="B1805" s="110">
        <v>1.0781584607282684</v>
      </c>
      <c r="C1805" s="110">
        <v>1.0722096566902735</v>
      </c>
      <c r="G1805" s="90">
        <v>1789</v>
      </c>
      <c r="H1805" s="100">
        <v>-5.5328379967562059E-3</v>
      </c>
      <c r="I1805" s="100">
        <v>-5.8919996827541586E-2</v>
      </c>
    </row>
    <row r="1806" spans="1:9">
      <c r="A1806" s="90">
        <v>1790</v>
      </c>
      <c r="B1806" s="110">
        <v>1.1307862876773769</v>
      </c>
      <c r="C1806" s="110">
        <v>1.0751184386194923</v>
      </c>
      <c r="G1806" s="90">
        <v>1790</v>
      </c>
      <c r="H1806" s="100">
        <v>-5.0482389579175051E-2</v>
      </c>
      <c r="I1806" s="100">
        <v>-5.8913433842518279E-2</v>
      </c>
    </row>
    <row r="1807" spans="1:9">
      <c r="A1807" s="90">
        <v>1791</v>
      </c>
      <c r="B1807" s="110">
        <v>1.1184149460917974</v>
      </c>
      <c r="C1807" s="110">
        <v>1.0679387415870913</v>
      </c>
      <c r="G1807" s="90">
        <v>1791</v>
      </c>
      <c r="H1807" s="100">
        <v>-4.6182075395653395E-2</v>
      </c>
      <c r="I1807" s="100">
        <v>-5.8879923103418698E-2</v>
      </c>
    </row>
    <row r="1808" spans="1:9">
      <c r="A1808" s="90">
        <v>1792</v>
      </c>
      <c r="B1808" s="110">
        <v>1.0885904736537646</v>
      </c>
      <c r="C1808" s="110">
        <v>1.0513346598226647</v>
      </c>
      <c r="G1808" s="90">
        <v>1792</v>
      </c>
      <c r="H1808" s="100">
        <v>-3.4823254379729961E-2</v>
      </c>
      <c r="I1808" s="100">
        <v>-5.8863957781248574E-2</v>
      </c>
    </row>
    <row r="1809" spans="1:9">
      <c r="A1809" s="90">
        <v>1793</v>
      </c>
      <c r="B1809" s="110">
        <v>1.1320905833555261</v>
      </c>
      <c r="C1809" s="110">
        <v>1.0478395332142276</v>
      </c>
      <c r="G1809" s="90">
        <v>1793</v>
      </c>
      <c r="H1809" s="100">
        <v>-7.7335540198376934E-2</v>
      </c>
      <c r="I1809" s="100">
        <v>-5.8861467307411208E-2</v>
      </c>
    </row>
    <row r="1810" spans="1:9">
      <c r="A1810" s="90">
        <v>1794</v>
      </c>
      <c r="B1810" s="110">
        <v>1.1022694826232875</v>
      </c>
      <c r="C1810" s="110">
        <v>1.0509412366117656</v>
      </c>
      <c r="G1810" s="90">
        <v>1794</v>
      </c>
      <c r="H1810" s="100">
        <v>-4.7685041971905748E-2</v>
      </c>
      <c r="I1810" s="100">
        <v>-5.8858308398201518E-2</v>
      </c>
    </row>
    <row r="1811" spans="1:9">
      <c r="A1811" s="90">
        <v>1795</v>
      </c>
      <c r="B1811" s="110">
        <v>1.1029074154703618</v>
      </c>
      <c r="C1811" s="110">
        <v>1.0630082112346151</v>
      </c>
      <c r="G1811" s="90">
        <v>1795</v>
      </c>
      <c r="H1811" s="100">
        <v>-3.6846974002478806E-2</v>
      </c>
      <c r="I1811" s="100">
        <v>-5.8842450077969781E-2</v>
      </c>
    </row>
    <row r="1812" spans="1:9">
      <c r="A1812" s="90">
        <v>1796</v>
      </c>
      <c r="B1812" s="110">
        <v>1.1432568770648739</v>
      </c>
      <c r="C1812" s="110">
        <v>1.068877987666256</v>
      </c>
      <c r="G1812" s="90">
        <v>1796</v>
      </c>
      <c r="H1812" s="100">
        <v>-6.727161026156224E-2</v>
      </c>
      <c r="I1812" s="100">
        <v>-5.8838303666593379E-2</v>
      </c>
    </row>
    <row r="1813" spans="1:9">
      <c r="A1813" s="90">
        <v>1797</v>
      </c>
      <c r="B1813" s="110">
        <v>1.0979083521260751</v>
      </c>
      <c r="C1813" s="110">
        <v>1.0304145794283865</v>
      </c>
      <c r="G1813" s="90">
        <v>1797</v>
      </c>
      <c r="H1813" s="100">
        <v>-6.3445646036828465E-2</v>
      </c>
      <c r="I1813" s="100">
        <v>-5.8837435975912428E-2</v>
      </c>
    </row>
    <row r="1814" spans="1:9">
      <c r="A1814" s="90">
        <v>1798</v>
      </c>
      <c r="B1814" s="110">
        <v>1.0983611983046691</v>
      </c>
      <c r="C1814" s="110">
        <v>1.059056091032929</v>
      </c>
      <c r="G1814" s="90">
        <v>1798</v>
      </c>
      <c r="H1814" s="100">
        <v>-3.6441217943032032E-2</v>
      </c>
      <c r="I1814" s="100">
        <v>-5.8836883195670646E-2</v>
      </c>
    </row>
    <row r="1815" spans="1:9">
      <c r="A1815" s="90">
        <v>1799</v>
      </c>
      <c r="B1815" s="110">
        <v>1.1073865373915173</v>
      </c>
      <c r="C1815" s="110">
        <v>1.0328683075346095</v>
      </c>
      <c r="G1815" s="90">
        <v>1799</v>
      </c>
      <c r="H1815" s="100">
        <v>-6.9663071816121455E-2</v>
      </c>
      <c r="I1815" s="100">
        <v>-5.8831567390442756E-2</v>
      </c>
    </row>
    <row r="1816" spans="1:9">
      <c r="A1816" s="90">
        <v>1800</v>
      </c>
      <c r="B1816" s="110">
        <v>1.0929923691602914</v>
      </c>
      <c r="C1816" s="110">
        <v>1.0502599257179608</v>
      </c>
      <c r="G1816" s="90">
        <v>1800</v>
      </c>
      <c r="H1816" s="100">
        <v>-3.988154577771838E-2</v>
      </c>
      <c r="I1816" s="100">
        <v>-5.8820255231826511E-2</v>
      </c>
    </row>
    <row r="1817" spans="1:9">
      <c r="A1817" s="90">
        <v>1801</v>
      </c>
      <c r="B1817" s="110">
        <v>1.1153574714126127</v>
      </c>
      <c r="C1817" s="110">
        <v>1.0527505550629224</v>
      </c>
      <c r="G1817" s="90">
        <v>1801</v>
      </c>
      <c r="H1817" s="100">
        <v>-5.7768640383746635E-2</v>
      </c>
      <c r="I1817" s="100">
        <v>-5.8816031589188841E-2</v>
      </c>
    </row>
    <row r="1818" spans="1:9">
      <c r="A1818" s="90">
        <v>1802</v>
      </c>
      <c r="B1818" s="110">
        <v>1.1195386582145486</v>
      </c>
      <c r="C1818" s="110">
        <v>1.0365572198268462</v>
      </c>
      <c r="G1818" s="90">
        <v>1802</v>
      </c>
      <c r="H1818" s="100">
        <v>-7.7011831919592558E-2</v>
      </c>
      <c r="I1818" s="100">
        <v>-5.8808317466101059E-2</v>
      </c>
    </row>
    <row r="1819" spans="1:9">
      <c r="A1819" s="90">
        <v>1803</v>
      </c>
      <c r="B1819" s="110">
        <v>1.1200444308760746</v>
      </c>
      <c r="C1819" s="110">
        <v>1.0464808966306425</v>
      </c>
      <c r="G1819" s="90">
        <v>1803</v>
      </c>
      <c r="H1819" s="100">
        <v>-6.7935346741465577E-2</v>
      </c>
      <c r="I1819" s="100">
        <v>-5.8802067751386813E-2</v>
      </c>
    </row>
    <row r="1820" spans="1:9">
      <c r="A1820" s="90">
        <v>1804</v>
      </c>
      <c r="B1820" s="110">
        <v>1.1164206611220915</v>
      </c>
      <c r="C1820" s="110">
        <v>1.0645525873916835</v>
      </c>
      <c r="G1820" s="90">
        <v>1804</v>
      </c>
      <c r="H1820" s="100">
        <v>-4.7573124268993766E-2</v>
      </c>
      <c r="I1820" s="100">
        <v>-5.8792759933377389E-2</v>
      </c>
    </row>
    <row r="1821" spans="1:9">
      <c r="A1821" s="90">
        <v>1805</v>
      </c>
      <c r="B1821" s="110">
        <v>1.1340351386961192</v>
      </c>
      <c r="C1821" s="110">
        <v>1.0600639414255195</v>
      </c>
      <c r="G1821" s="90">
        <v>1805</v>
      </c>
      <c r="H1821" s="100">
        <v>-6.7452962925784996E-2</v>
      </c>
      <c r="I1821" s="100">
        <v>-5.8788711820256898E-2</v>
      </c>
    </row>
    <row r="1822" spans="1:9">
      <c r="A1822" s="90">
        <v>1806</v>
      </c>
      <c r="B1822" s="110">
        <v>1.0765924567004275</v>
      </c>
      <c r="C1822" s="110">
        <v>1.0430856755967122</v>
      </c>
      <c r="G1822" s="90">
        <v>1806</v>
      </c>
      <c r="H1822" s="100">
        <v>-3.1617604451432135E-2</v>
      </c>
      <c r="I1822" s="100">
        <v>-5.878221735879368E-2</v>
      </c>
    </row>
    <row r="1823" spans="1:9">
      <c r="A1823" s="90">
        <v>1807</v>
      </c>
      <c r="B1823" s="110">
        <v>1.1436454920905981</v>
      </c>
      <c r="C1823" s="110">
        <v>1.0368996965706925</v>
      </c>
      <c r="G1823" s="90">
        <v>1807</v>
      </c>
      <c r="H1823" s="100">
        <v>-9.7985760446444303E-2</v>
      </c>
      <c r="I1823" s="100">
        <v>-5.8777338140006019E-2</v>
      </c>
    </row>
    <row r="1824" spans="1:9">
      <c r="A1824" s="90">
        <v>1808</v>
      </c>
      <c r="B1824" s="110">
        <v>1.1139167459430137</v>
      </c>
      <c r="C1824" s="110">
        <v>1.0667384114819309</v>
      </c>
      <c r="G1824" s="90">
        <v>1808</v>
      </c>
      <c r="H1824" s="100">
        <v>-4.3276624730366128E-2</v>
      </c>
      <c r="I1824" s="100">
        <v>-5.8773477960875245E-2</v>
      </c>
    </row>
    <row r="1825" spans="1:9">
      <c r="A1825" s="90">
        <v>1809</v>
      </c>
      <c r="B1825" s="110">
        <v>1.1173302815845583</v>
      </c>
      <c r="C1825" s="110">
        <v>1.068867303528874</v>
      </c>
      <c r="G1825" s="90">
        <v>1809</v>
      </c>
      <c r="H1825" s="100">
        <v>-4.4342669735526342E-2</v>
      </c>
      <c r="I1825" s="100">
        <v>-5.8762978527690975E-2</v>
      </c>
    </row>
    <row r="1826" spans="1:9">
      <c r="A1826" s="90">
        <v>1810</v>
      </c>
      <c r="B1826" s="110">
        <v>1.1242632537710118</v>
      </c>
      <c r="C1826" s="110">
        <v>1.0664977153571757</v>
      </c>
      <c r="G1826" s="90">
        <v>1810</v>
      </c>
      <c r="H1826" s="100">
        <v>-5.2747818848695241E-2</v>
      </c>
      <c r="I1826" s="100">
        <v>-5.8732799240951636E-2</v>
      </c>
    </row>
    <row r="1827" spans="1:9">
      <c r="A1827" s="90">
        <v>1811</v>
      </c>
      <c r="B1827" s="110">
        <v>1.1225219433758522</v>
      </c>
      <c r="C1827" s="110">
        <v>1.0558532361271544</v>
      </c>
      <c r="G1827" s="90">
        <v>1811</v>
      </c>
      <c r="H1827" s="100">
        <v>-6.1228694422526722E-2</v>
      </c>
      <c r="I1827" s="100">
        <v>-5.8719033695856397E-2</v>
      </c>
    </row>
    <row r="1828" spans="1:9">
      <c r="A1828" s="90">
        <v>1812</v>
      </c>
      <c r="B1828" s="110">
        <v>1.1378734653488236</v>
      </c>
      <c r="C1828" s="110">
        <v>1.068044499777949</v>
      </c>
      <c r="G1828" s="90">
        <v>1812</v>
      </c>
      <c r="H1828" s="100">
        <v>-6.3331733014407074E-2</v>
      </c>
      <c r="I1828" s="100">
        <v>-5.8710198205672325E-2</v>
      </c>
    </row>
    <row r="1829" spans="1:9">
      <c r="A1829" s="90">
        <v>1813</v>
      </c>
      <c r="B1829" s="110">
        <v>1.1207883062809678</v>
      </c>
      <c r="C1829" s="110">
        <v>1.0784687229112289</v>
      </c>
      <c r="G1829" s="90">
        <v>1813</v>
      </c>
      <c r="H1829" s="100">
        <v>-3.8490096737440208E-2</v>
      </c>
      <c r="I1829" s="100">
        <v>-5.8707388912625717E-2</v>
      </c>
    </row>
    <row r="1830" spans="1:9">
      <c r="A1830" s="90">
        <v>1814</v>
      </c>
      <c r="B1830" s="110">
        <v>1.0916584745099884</v>
      </c>
      <c r="C1830" s="110">
        <v>1.0535163379946191</v>
      </c>
      <c r="G1830" s="90">
        <v>1814</v>
      </c>
      <c r="H1830" s="100">
        <v>-3.556461368289459E-2</v>
      </c>
      <c r="I1830" s="100">
        <v>-5.8699290076466931E-2</v>
      </c>
    </row>
    <row r="1831" spans="1:9">
      <c r="A1831" s="90">
        <v>1815</v>
      </c>
      <c r="B1831" s="110">
        <v>1.0946106794486656</v>
      </c>
      <c r="C1831" s="110">
        <v>1.0477041263180884</v>
      </c>
      <c r="G1831" s="90">
        <v>1815</v>
      </c>
      <c r="H1831" s="100">
        <v>-4.3797532342388514E-2</v>
      </c>
      <c r="I1831" s="100">
        <v>-5.8696291868009509E-2</v>
      </c>
    </row>
    <row r="1832" spans="1:9">
      <c r="A1832" s="90">
        <v>1816</v>
      </c>
      <c r="B1832" s="110">
        <v>1.1138630095729876</v>
      </c>
      <c r="C1832" s="110">
        <v>1.0559112185600894</v>
      </c>
      <c r="G1832" s="90">
        <v>1816</v>
      </c>
      <c r="H1832" s="100">
        <v>-5.3430053868997317E-2</v>
      </c>
      <c r="I1832" s="100">
        <v>-5.8690267044952844E-2</v>
      </c>
    </row>
    <row r="1833" spans="1:9">
      <c r="A1833" s="90">
        <v>1817</v>
      </c>
      <c r="B1833" s="110">
        <v>1.1163440377194471</v>
      </c>
      <c r="C1833" s="110">
        <v>1.0615480987405441</v>
      </c>
      <c r="G1833" s="90">
        <v>1817</v>
      </c>
      <c r="H1833" s="100">
        <v>-5.0330780793638626E-2</v>
      </c>
      <c r="I1833" s="100">
        <v>-5.8687940832853877E-2</v>
      </c>
    </row>
    <row r="1834" spans="1:9">
      <c r="A1834" s="90">
        <v>1818</v>
      </c>
      <c r="B1834" s="110">
        <v>1.1128258375459688</v>
      </c>
      <c r="C1834" s="110">
        <v>1.0448215548889701</v>
      </c>
      <c r="G1834" s="90">
        <v>1818</v>
      </c>
      <c r="H1834" s="100">
        <v>-6.3056469893126216E-2</v>
      </c>
      <c r="I1834" s="100">
        <v>-5.8675206323432365E-2</v>
      </c>
    </row>
    <row r="1835" spans="1:9">
      <c r="A1835" s="90">
        <v>1819</v>
      </c>
      <c r="B1835" s="110">
        <v>1.1223169122428316</v>
      </c>
      <c r="C1835" s="110">
        <v>1.0713065591441655</v>
      </c>
      <c r="G1835" s="90">
        <v>1819</v>
      </c>
      <c r="H1835" s="100">
        <v>-4.651623332728988E-2</v>
      </c>
      <c r="I1835" s="100">
        <v>-5.8666266594200711E-2</v>
      </c>
    </row>
    <row r="1836" spans="1:9">
      <c r="A1836" s="90">
        <v>1820</v>
      </c>
      <c r="B1836" s="110">
        <v>1.0987036425818855</v>
      </c>
      <c r="C1836" s="110">
        <v>1.0804849024170411</v>
      </c>
      <c r="G1836" s="90">
        <v>1820</v>
      </c>
      <c r="H1836" s="100">
        <v>-1.6721053982848195E-2</v>
      </c>
      <c r="I1836" s="100">
        <v>-5.8654050782587466E-2</v>
      </c>
    </row>
    <row r="1837" spans="1:9">
      <c r="A1837" s="90">
        <v>1821</v>
      </c>
      <c r="B1837" s="110">
        <v>1.1095797234982707</v>
      </c>
      <c r="C1837" s="110">
        <v>1.0625347713562792</v>
      </c>
      <c r="G1837" s="90">
        <v>1821</v>
      </c>
      <c r="H1837" s="100">
        <v>-4.3323968884393139E-2</v>
      </c>
      <c r="I1837" s="100">
        <v>-5.86478167557982E-2</v>
      </c>
    </row>
    <row r="1838" spans="1:9">
      <c r="A1838" s="90">
        <v>1822</v>
      </c>
      <c r="B1838" s="110">
        <v>1.1060166563711498</v>
      </c>
      <c r="C1838" s="110">
        <v>1.0705367408538886</v>
      </c>
      <c r="G1838" s="90">
        <v>1822</v>
      </c>
      <c r="H1838" s="100">
        <v>-3.2604813329505287E-2</v>
      </c>
      <c r="I1838" s="100">
        <v>-5.8636300386801593E-2</v>
      </c>
    </row>
    <row r="1839" spans="1:9">
      <c r="A1839" s="90">
        <v>1823</v>
      </c>
      <c r="B1839" s="110">
        <v>1.0976164529678758</v>
      </c>
      <c r="C1839" s="110">
        <v>1.036487199095522</v>
      </c>
      <c r="G1839" s="90">
        <v>1823</v>
      </c>
      <c r="H1839" s="100">
        <v>-5.7303665133486691E-2</v>
      </c>
      <c r="I1839" s="100">
        <v>-5.8634769248687053E-2</v>
      </c>
    </row>
    <row r="1840" spans="1:9">
      <c r="A1840" s="90">
        <v>1824</v>
      </c>
      <c r="B1840" s="110">
        <v>1.1199424835946485</v>
      </c>
      <c r="C1840" s="110">
        <v>1.0400330559316024</v>
      </c>
      <c r="G1840" s="90">
        <v>1824</v>
      </c>
      <c r="H1840" s="100">
        <v>-7.402483285721434E-2</v>
      </c>
      <c r="I1840" s="100">
        <v>-5.8632477585167181E-2</v>
      </c>
    </row>
    <row r="1841" spans="1:9">
      <c r="A1841" s="90">
        <v>1825</v>
      </c>
      <c r="B1841" s="110">
        <v>1.1128149068451005</v>
      </c>
      <c r="C1841" s="110">
        <v>1.0597661092425943</v>
      </c>
      <c r="G1841" s="90">
        <v>1825</v>
      </c>
      <c r="H1841" s="100">
        <v>-4.8844525217462041E-2</v>
      </c>
      <c r="I1841" s="100">
        <v>-5.8627465203365738E-2</v>
      </c>
    </row>
    <row r="1842" spans="1:9">
      <c r="A1842" s="90">
        <v>1826</v>
      </c>
      <c r="B1842" s="110">
        <v>1.1041933803532065</v>
      </c>
      <c r="C1842" s="110">
        <v>1.061873222432077</v>
      </c>
      <c r="G1842" s="90">
        <v>1826</v>
      </c>
      <c r="H1842" s="100">
        <v>-3.9080556426150014E-2</v>
      </c>
      <c r="I1842" s="100">
        <v>-5.8621284774552099E-2</v>
      </c>
    </row>
    <row r="1843" spans="1:9">
      <c r="A1843" s="90">
        <v>1827</v>
      </c>
      <c r="B1843" s="110">
        <v>1.0819166168425112</v>
      </c>
      <c r="C1843" s="110">
        <v>1.0442933103451681</v>
      </c>
      <c r="G1843" s="90">
        <v>1827</v>
      </c>
      <c r="H1843" s="100">
        <v>-3.5393714930104826E-2</v>
      </c>
      <c r="I1843" s="100">
        <v>-5.8619159886007556E-2</v>
      </c>
    </row>
    <row r="1844" spans="1:9">
      <c r="A1844" s="90">
        <v>1828</v>
      </c>
      <c r="B1844" s="110">
        <v>1.1034030266506838</v>
      </c>
      <c r="C1844" s="110">
        <v>1.0606885888031761</v>
      </c>
      <c r="G1844" s="90">
        <v>1828</v>
      </c>
      <c r="H1844" s="100">
        <v>-3.9480755578769768E-2</v>
      </c>
      <c r="I1844" s="100">
        <v>-5.8611902258551139E-2</v>
      </c>
    </row>
    <row r="1845" spans="1:9">
      <c r="A1845" s="90">
        <v>1829</v>
      </c>
      <c r="B1845" s="110">
        <v>1.0892768530431594</v>
      </c>
      <c r="C1845" s="110">
        <v>1.05790055402081</v>
      </c>
      <c r="G1845" s="90">
        <v>1829</v>
      </c>
      <c r="H1845" s="100">
        <v>-2.9227703784763113E-2</v>
      </c>
      <c r="I1845" s="100">
        <v>-5.8609491054204654E-2</v>
      </c>
    </row>
    <row r="1846" spans="1:9">
      <c r="A1846" s="90">
        <v>1830</v>
      </c>
      <c r="B1846" s="110">
        <v>1.1126522274881543</v>
      </c>
      <c r="C1846" s="110">
        <v>1.0609628618843605</v>
      </c>
      <c r="G1846" s="90">
        <v>1830</v>
      </c>
      <c r="H1846" s="100">
        <v>-4.7569703311882358E-2</v>
      </c>
      <c r="I1846" s="100">
        <v>-5.8602690532079359E-2</v>
      </c>
    </row>
    <row r="1847" spans="1:9">
      <c r="A1847" s="90">
        <v>1831</v>
      </c>
      <c r="B1847" s="110">
        <v>1.0817150385487559</v>
      </c>
      <c r="C1847" s="110">
        <v>1.0636796878180559</v>
      </c>
      <c r="G1847" s="90">
        <v>1831</v>
      </c>
      <c r="H1847" s="100">
        <v>-1.6813479943326961E-2</v>
      </c>
      <c r="I1847" s="100">
        <v>-5.8588066130585419E-2</v>
      </c>
    </row>
    <row r="1848" spans="1:9">
      <c r="A1848" s="90">
        <v>1832</v>
      </c>
      <c r="B1848" s="110">
        <v>1.1155494675161708</v>
      </c>
      <c r="C1848" s="110">
        <v>1.0863520103145956</v>
      </c>
      <c r="G1848" s="90">
        <v>1832</v>
      </c>
      <c r="H1848" s="100">
        <v>-2.6521775787228898E-2</v>
      </c>
      <c r="I1848" s="100">
        <v>-5.8587163009105298E-2</v>
      </c>
    </row>
    <row r="1849" spans="1:9">
      <c r="A1849" s="90">
        <v>1833</v>
      </c>
      <c r="B1849" s="110">
        <v>1.1162376585737064</v>
      </c>
      <c r="C1849" s="110">
        <v>1.05049605017064</v>
      </c>
      <c r="G1849" s="90">
        <v>1833</v>
      </c>
      <c r="H1849" s="100">
        <v>-6.070131565442187E-2</v>
      </c>
      <c r="I1849" s="100">
        <v>-5.8580647616132402E-2</v>
      </c>
    </row>
    <row r="1850" spans="1:9">
      <c r="A1850" s="90">
        <v>1834</v>
      </c>
      <c r="B1850" s="110">
        <v>1.1076315342521297</v>
      </c>
      <c r="C1850" s="110">
        <v>1.0642339373163436</v>
      </c>
      <c r="G1850" s="90">
        <v>1834</v>
      </c>
      <c r="H1850" s="100">
        <v>-3.9968750052704734E-2</v>
      </c>
      <c r="I1850" s="100">
        <v>-5.8580230775806305E-2</v>
      </c>
    </row>
    <row r="1851" spans="1:9">
      <c r="A1851" s="90">
        <v>1835</v>
      </c>
      <c r="B1851" s="110">
        <v>1.1121895134091329</v>
      </c>
      <c r="C1851" s="110">
        <v>1.0291067596960228</v>
      </c>
      <c r="G1851" s="90">
        <v>1835</v>
      </c>
      <c r="H1851" s="100">
        <v>-7.7639404645694063E-2</v>
      </c>
      <c r="I1851" s="100">
        <v>-5.8580068858867802E-2</v>
      </c>
    </row>
    <row r="1852" spans="1:9">
      <c r="A1852" s="90">
        <v>1836</v>
      </c>
      <c r="B1852" s="110">
        <v>1.1385295985929904</v>
      </c>
      <c r="C1852" s="110">
        <v>1.0666525612604545</v>
      </c>
      <c r="G1852" s="90">
        <v>1836</v>
      </c>
      <c r="H1852" s="100">
        <v>-6.5212306837712536E-2</v>
      </c>
      <c r="I1852" s="100">
        <v>-5.8568397801833587E-2</v>
      </c>
    </row>
    <row r="1853" spans="1:9">
      <c r="A1853" s="90">
        <v>1837</v>
      </c>
      <c r="B1853" s="110">
        <v>1.1216346259650523</v>
      </c>
      <c r="C1853" s="110">
        <v>1.0505875492073036</v>
      </c>
      <c r="G1853" s="90">
        <v>1837</v>
      </c>
      <c r="H1853" s="100">
        <v>-6.5437530417352868E-2</v>
      </c>
      <c r="I1853" s="100">
        <v>-5.8556221381206176E-2</v>
      </c>
    </row>
    <row r="1854" spans="1:9">
      <c r="A1854" s="90">
        <v>1838</v>
      </c>
      <c r="B1854" s="110">
        <v>1.1204371933749695</v>
      </c>
      <c r="C1854" s="110">
        <v>1.0427052473423006</v>
      </c>
      <c r="G1854" s="90">
        <v>1838</v>
      </c>
      <c r="H1854" s="100">
        <v>-7.1900425110275237E-2</v>
      </c>
      <c r="I1854" s="100">
        <v>-5.8536254483186903E-2</v>
      </c>
    </row>
    <row r="1855" spans="1:9">
      <c r="A1855" s="90">
        <v>1839</v>
      </c>
      <c r="B1855" s="110">
        <v>1.1103979937584394</v>
      </c>
      <c r="C1855" s="110">
        <v>1.0551111964845921</v>
      </c>
      <c r="G1855" s="90">
        <v>1839</v>
      </c>
      <c r="H1855" s="100">
        <v>-5.1072343109677808E-2</v>
      </c>
      <c r="I1855" s="100">
        <v>-5.8532326579863903E-2</v>
      </c>
    </row>
    <row r="1856" spans="1:9">
      <c r="A1856" s="90">
        <v>1840</v>
      </c>
      <c r="B1856" s="110">
        <v>1.095014264294101</v>
      </c>
      <c r="C1856" s="110">
        <v>1.0548816589684538</v>
      </c>
      <c r="G1856" s="90">
        <v>1840</v>
      </c>
      <c r="H1856" s="100">
        <v>-3.7338800893776947E-2</v>
      </c>
      <c r="I1856" s="100">
        <v>-5.8523407282923413E-2</v>
      </c>
    </row>
    <row r="1857" spans="1:9">
      <c r="A1857" s="90">
        <v>1841</v>
      </c>
      <c r="B1857" s="110">
        <v>1.08523327131134</v>
      </c>
      <c r="C1857" s="110">
        <v>1.0695010812910297</v>
      </c>
      <c r="G1857" s="90">
        <v>1841</v>
      </c>
      <c r="H1857" s="100">
        <v>-1.460269991966133E-2</v>
      </c>
      <c r="I1857" s="100">
        <v>-5.850904027477067E-2</v>
      </c>
    </row>
    <row r="1858" spans="1:9">
      <c r="A1858" s="90">
        <v>1842</v>
      </c>
      <c r="B1858" s="110">
        <v>1.1221643003663715</v>
      </c>
      <c r="C1858" s="110">
        <v>1.0491300146834182</v>
      </c>
      <c r="G1858" s="90">
        <v>1842</v>
      </c>
      <c r="H1858" s="100">
        <v>-6.7297968362426089E-2</v>
      </c>
      <c r="I1858" s="100">
        <v>-5.8417434515698072E-2</v>
      </c>
    </row>
    <row r="1859" spans="1:9">
      <c r="A1859" s="90">
        <v>1843</v>
      </c>
      <c r="B1859" s="110">
        <v>1.1140842372216886</v>
      </c>
      <c r="C1859" s="110">
        <v>1.0568682619263112</v>
      </c>
      <c r="G1859" s="90">
        <v>1843</v>
      </c>
      <c r="H1859" s="100">
        <v>-5.2722690360381227E-2</v>
      </c>
      <c r="I1859" s="100">
        <v>-5.8414573976388773E-2</v>
      </c>
    </row>
    <row r="1860" spans="1:9">
      <c r="A1860" s="90">
        <v>1844</v>
      </c>
      <c r="B1860" s="110">
        <v>1.0787872336011586</v>
      </c>
      <c r="C1860" s="110">
        <v>1.0443449872213062</v>
      </c>
      <c r="G1860" s="90">
        <v>1844</v>
      </c>
      <c r="H1860" s="100">
        <v>-3.2447595920310407E-2</v>
      </c>
      <c r="I1860" s="100">
        <v>-5.8410607975299823E-2</v>
      </c>
    </row>
    <row r="1861" spans="1:9">
      <c r="A1861" s="90">
        <v>1845</v>
      </c>
      <c r="B1861" s="110">
        <v>1.1007550803948016</v>
      </c>
      <c r="C1861" s="110">
        <v>1.0684818176856015</v>
      </c>
      <c r="G1861" s="90">
        <v>1845</v>
      </c>
      <c r="H1861" s="100">
        <v>-2.975760207700753E-2</v>
      </c>
      <c r="I1861" s="100">
        <v>-5.8400822350954305E-2</v>
      </c>
    </row>
    <row r="1862" spans="1:9">
      <c r="A1862" s="90">
        <v>1846</v>
      </c>
      <c r="B1862" s="110">
        <v>1.106888799897827</v>
      </c>
      <c r="C1862" s="110">
        <v>1.0477802932671032</v>
      </c>
      <c r="G1862" s="90">
        <v>1846</v>
      </c>
      <c r="H1862" s="100">
        <v>-5.4879276825991821E-2</v>
      </c>
      <c r="I1862" s="100">
        <v>-5.8384890104890293E-2</v>
      </c>
    </row>
    <row r="1863" spans="1:9">
      <c r="A1863" s="90">
        <v>1847</v>
      </c>
      <c r="B1863" s="110">
        <v>1.1067749493742804</v>
      </c>
      <c r="C1863" s="110">
        <v>1.0496437357974491</v>
      </c>
      <c r="G1863" s="90">
        <v>1847</v>
      </c>
      <c r="H1863" s="100">
        <v>-5.2999527939934163E-2</v>
      </c>
      <c r="I1863" s="100">
        <v>-5.838052056655247E-2</v>
      </c>
    </row>
    <row r="1864" spans="1:9">
      <c r="A1864" s="90">
        <v>1848</v>
      </c>
      <c r="B1864" s="110">
        <v>1.1065308383181449</v>
      </c>
      <c r="C1864" s="110">
        <v>1.0374402519666786</v>
      </c>
      <c r="G1864" s="90">
        <v>1848</v>
      </c>
      <c r="H1864" s="100">
        <v>-6.4473367269459347E-2</v>
      </c>
      <c r="I1864" s="100">
        <v>-5.8365650491101019E-2</v>
      </c>
    </row>
    <row r="1865" spans="1:9">
      <c r="A1865" s="90">
        <v>1849</v>
      </c>
      <c r="B1865" s="110">
        <v>1.1367935601143231</v>
      </c>
      <c r="C1865" s="110">
        <v>1.0734640291978115</v>
      </c>
      <c r="G1865" s="90">
        <v>1849</v>
      </c>
      <c r="H1865" s="100">
        <v>-5.7320803051989458E-2</v>
      </c>
      <c r="I1865" s="100">
        <v>-5.8345227529523883E-2</v>
      </c>
    </row>
    <row r="1866" spans="1:9">
      <c r="A1866" s="90">
        <v>1850</v>
      </c>
      <c r="B1866" s="110">
        <v>1.1142151458026208</v>
      </c>
      <c r="C1866" s="110">
        <v>1.0659148535222798</v>
      </c>
      <c r="G1866" s="90">
        <v>1850</v>
      </c>
      <c r="H1866" s="100">
        <v>-4.4316804135886803E-2</v>
      </c>
      <c r="I1866" s="100">
        <v>-5.8321415128585831E-2</v>
      </c>
    </row>
    <row r="1867" spans="1:9">
      <c r="A1867" s="90">
        <v>1851</v>
      </c>
      <c r="B1867" s="110">
        <v>1.1298765542208851</v>
      </c>
      <c r="C1867" s="110">
        <v>1.0579481956982293</v>
      </c>
      <c r="G1867" s="90">
        <v>1851</v>
      </c>
      <c r="H1867" s="100">
        <v>-6.577701483545853E-2</v>
      </c>
      <c r="I1867" s="100">
        <v>-5.8309786875007069E-2</v>
      </c>
    </row>
    <row r="1868" spans="1:9">
      <c r="A1868" s="90">
        <v>1852</v>
      </c>
      <c r="B1868" s="110">
        <v>1.1205238606501613</v>
      </c>
      <c r="C1868" s="110">
        <v>1.052965565838295</v>
      </c>
      <c r="G1868" s="90">
        <v>1852</v>
      </c>
      <c r="H1868" s="100">
        <v>-6.218577706862654E-2</v>
      </c>
      <c r="I1868" s="100">
        <v>-5.8294975253566451E-2</v>
      </c>
    </row>
    <row r="1869" spans="1:9">
      <c r="A1869" s="90">
        <v>1853</v>
      </c>
      <c r="B1869" s="110">
        <v>1.1136442868318925</v>
      </c>
      <c r="C1869" s="110">
        <v>1.0676739877157739</v>
      </c>
      <c r="G1869" s="90">
        <v>1853</v>
      </c>
      <c r="H1869" s="100">
        <v>-4.2155339882794463E-2</v>
      </c>
      <c r="I1869" s="100">
        <v>-5.8283210981499939E-2</v>
      </c>
    </row>
    <row r="1870" spans="1:9">
      <c r="A1870" s="90">
        <v>1854</v>
      </c>
      <c r="B1870" s="110">
        <v>1.1235491391086998</v>
      </c>
      <c r="C1870" s="110">
        <v>1.0634602975883092</v>
      </c>
      <c r="G1870" s="90">
        <v>1854</v>
      </c>
      <c r="H1870" s="100">
        <v>-5.4964526089776977E-2</v>
      </c>
      <c r="I1870" s="100">
        <v>-5.8279729972313787E-2</v>
      </c>
    </row>
    <row r="1871" spans="1:9">
      <c r="A1871" s="90">
        <v>1855</v>
      </c>
      <c r="B1871" s="110">
        <v>1.0946917231326616</v>
      </c>
      <c r="C1871" s="110">
        <v>1.0592090055285492</v>
      </c>
      <c r="G1871" s="90">
        <v>1855</v>
      </c>
      <c r="H1871" s="100">
        <v>-3.2950383882499781E-2</v>
      </c>
      <c r="I1871" s="100">
        <v>-5.8279338834109552E-2</v>
      </c>
    </row>
    <row r="1872" spans="1:9">
      <c r="A1872" s="90">
        <v>1856</v>
      </c>
      <c r="B1872" s="110">
        <v>1.1004923575881349</v>
      </c>
      <c r="C1872" s="110">
        <v>1.046525324950681</v>
      </c>
      <c r="G1872" s="90">
        <v>1856</v>
      </c>
      <c r="H1872" s="100">
        <v>-5.0282215192390026E-2</v>
      </c>
      <c r="I1872" s="100">
        <v>-5.8276359209188111E-2</v>
      </c>
    </row>
    <row r="1873" spans="1:9">
      <c r="A1873" s="90">
        <v>1857</v>
      </c>
      <c r="B1873" s="110">
        <v>1.1392845492634438</v>
      </c>
      <c r="C1873" s="110">
        <v>1.0563588690732859</v>
      </c>
      <c r="G1873" s="90">
        <v>1857</v>
      </c>
      <c r="H1873" s="100">
        <v>-7.5572511335240913E-2</v>
      </c>
      <c r="I1873" s="100">
        <v>-5.8233634498425238E-2</v>
      </c>
    </row>
    <row r="1874" spans="1:9">
      <c r="A1874" s="90">
        <v>1858</v>
      </c>
      <c r="B1874" s="110">
        <v>1.1181910024614972</v>
      </c>
      <c r="C1874" s="110">
        <v>1.0560047340985259</v>
      </c>
      <c r="G1874" s="90">
        <v>1858</v>
      </c>
      <c r="H1874" s="100">
        <v>-5.7219534807855368E-2</v>
      </c>
      <c r="I1874" s="100">
        <v>-5.8231288597189512E-2</v>
      </c>
    </row>
    <row r="1875" spans="1:9">
      <c r="A1875" s="90">
        <v>1859</v>
      </c>
      <c r="B1875" s="110">
        <v>1.1026272677509996</v>
      </c>
      <c r="C1875" s="110">
        <v>1.0464137702959158</v>
      </c>
      <c r="G1875" s="90">
        <v>1859</v>
      </c>
      <c r="H1875" s="100">
        <v>-5.2326895957828204E-2</v>
      </c>
      <c r="I1875" s="100">
        <v>-5.8227945639804622E-2</v>
      </c>
    </row>
    <row r="1876" spans="1:9">
      <c r="A1876" s="90">
        <v>1860</v>
      </c>
      <c r="B1876" s="110">
        <v>1.1106961696886413</v>
      </c>
      <c r="C1876" s="110">
        <v>1.064904619793601</v>
      </c>
      <c r="G1876" s="90">
        <v>1860</v>
      </c>
      <c r="H1876" s="100">
        <v>-4.2101762357297685E-2</v>
      </c>
      <c r="I1876" s="100">
        <v>-5.8227300537603589E-2</v>
      </c>
    </row>
    <row r="1877" spans="1:9">
      <c r="A1877" s="90">
        <v>1861</v>
      </c>
      <c r="B1877" s="110">
        <v>1.0993362003775042</v>
      </c>
      <c r="C1877" s="110">
        <v>1.0332346559461141</v>
      </c>
      <c r="G1877" s="90">
        <v>1861</v>
      </c>
      <c r="H1877" s="100">
        <v>-6.2012219432856015E-2</v>
      </c>
      <c r="I1877" s="100">
        <v>-5.8205014092891243E-2</v>
      </c>
    </row>
    <row r="1878" spans="1:9">
      <c r="A1878" s="90">
        <v>1862</v>
      </c>
      <c r="B1878" s="110">
        <v>1.0909179904553401</v>
      </c>
      <c r="C1878" s="110">
        <v>1.0393821145147997</v>
      </c>
      <c r="G1878" s="90">
        <v>1862</v>
      </c>
      <c r="H1878" s="100">
        <v>-4.8393118938928295E-2</v>
      </c>
      <c r="I1878" s="100">
        <v>-5.8196984274041248E-2</v>
      </c>
    </row>
    <row r="1879" spans="1:9">
      <c r="A1879" s="90">
        <v>1863</v>
      </c>
      <c r="B1879" s="110">
        <v>1.0886742950744259</v>
      </c>
      <c r="C1879" s="110">
        <v>1.0389236733030542</v>
      </c>
      <c r="G1879" s="90">
        <v>1863</v>
      </c>
      <c r="H1879" s="100">
        <v>-4.677546523858047E-2</v>
      </c>
      <c r="I1879" s="100">
        <v>-5.8195021359940931E-2</v>
      </c>
    </row>
    <row r="1880" spans="1:9">
      <c r="A1880" s="90">
        <v>1864</v>
      </c>
      <c r="B1880" s="110">
        <v>1.0829727516821674</v>
      </c>
      <c r="C1880" s="110">
        <v>1.0820926746705062</v>
      </c>
      <c r="G1880" s="90">
        <v>1864</v>
      </c>
      <c r="H1880" s="100">
        <v>-8.1297964433040644E-4</v>
      </c>
      <c r="I1880" s="100">
        <v>-5.8167497983074683E-2</v>
      </c>
    </row>
    <row r="1881" spans="1:9">
      <c r="A1881" s="90">
        <v>1865</v>
      </c>
      <c r="B1881" s="110">
        <v>1.0989548539836276</v>
      </c>
      <c r="C1881" s="110">
        <v>1.0441811896879911</v>
      </c>
      <c r="G1881" s="90">
        <v>1865</v>
      </c>
      <c r="H1881" s="100">
        <v>-5.112656765714297E-2</v>
      </c>
      <c r="I1881" s="100">
        <v>-5.8139359300001026E-2</v>
      </c>
    </row>
    <row r="1882" spans="1:9">
      <c r="A1882" s="90">
        <v>1866</v>
      </c>
      <c r="B1882" s="110">
        <v>1.1016959953242607</v>
      </c>
      <c r="C1882" s="110">
        <v>1.0380404382446609</v>
      </c>
      <c r="G1882" s="90">
        <v>1866</v>
      </c>
      <c r="H1882" s="100">
        <v>-5.9516064529335319E-2</v>
      </c>
      <c r="I1882" s="100">
        <v>-5.8139121191103996E-2</v>
      </c>
    </row>
    <row r="1883" spans="1:9">
      <c r="A1883" s="90">
        <v>1867</v>
      </c>
      <c r="B1883" s="110">
        <v>1.1230966344610998</v>
      </c>
      <c r="C1883" s="110">
        <v>1.0412097894037911</v>
      </c>
      <c r="G1883" s="90">
        <v>1867</v>
      </c>
      <c r="H1883" s="100">
        <v>-7.5706426197391471E-2</v>
      </c>
      <c r="I1883" s="100">
        <v>-5.8133234449016434E-2</v>
      </c>
    </row>
    <row r="1884" spans="1:9">
      <c r="A1884" s="90">
        <v>1868</v>
      </c>
      <c r="B1884" s="110">
        <v>1.0884637587776664</v>
      </c>
      <c r="C1884" s="110">
        <v>1.0468088428947355</v>
      </c>
      <c r="G1884" s="90">
        <v>1868</v>
      </c>
      <c r="H1884" s="100">
        <v>-3.9020967304440789E-2</v>
      </c>
      <c r="I1884" s="100">
        <v>-5.8128249210387395E-2</v>
      </c>
    </row>
    <row r="1885" spans="1:9">
      <c r="A1885" s="90">
        <v>1869</v>
      </c>
      <c r="B1885" s="110">
        <v>1.1050062540775445</v>
      </c>
      <c r="C1885" s="110">
        <v>1.0397766331147522</v>
      </c>
      <c r="G1885" s="90">
        <v>1869</v>
      </c>
      <c r="H1885" s="100">
        <v>-6.0845080517936953E-2</v>
      </c>
      <c r="I1885" s="100">
        <v>-5.8124107569078536E-2</v>
      </c>
    </row>
    <row r="1886" spans="1:9">
      <c r="A1886" s="90">
        <v>1870</v>
      </c>
      <c r="B1886" s="110">
        <v>1.1081666468986791</v>
      </c>
      <c r="C1886" s="110">
        <v>1.0698811471496754</v>
      </c>
      <c r="G1886" s="90">
        <v>1870</v>
      </c>
      <c r="H1886" s="100">
        <v>-3.5159415479751724E-2</v>
      </c>
      <c r="I1886" s="100">
        <v>-5.8118880944144365E-2</v>
      </c>
    </row>
    <row r="1887" spans="1:9">
      <c r="A1887" s="90">
        <v>1871</v>
      </c>
      <c r="B1887" s="110">
        <v>1.152399399324022</v>
      </c>
      <c r="C1887" s="110">
        <v>1.0356493677376533</v>
      </c>
      <c r="G1887" s="90">
        <v>1871</v>
      </c>
      <c r="H1887" s="100">
        <v>-0.10681756456784786</v>
      </c>
      <c r="I1887" s="100">
        <v>-5.8099196310253759E-2</v>
      </c>
    </row>
    <row r="1888" spans="1:9">
      <c r="A1888" s="90">
        <v>1872</v>
      </c>
      <c r="B1888" s="110">
        <v>1.1368660329239419</v>
      </c>
      <c r="C1888" s="110">
        <v>1.0556864943902731</v>
      </c>
      <c r="G1888" s="90">
        <v>1872</v>
      </c>
      <c r="H1888" s="100">
        <v>-7.4084121887432824E-2</v>
      </c>
      <c r="I1888" s="100">
        <v>-5.8094251879938497E-2</v>
      </c>
    </row>
    <row r="1889" spans="1:9">
      <c r="A1889" s="90">
        <v>1873</v>
      </c>
      <c r="B1889" s="110">
        <v>1.1150698520396565</v>
      </c>
      <c r="C1889" s="110">
        <v>1.0500352760438501</v>
      </c>
      <c r="G1889" s="90">
        <v>1873</v>
      </c>
      <c r="H1889" s="100">
        <v>-6.0093290681674301E-2</v>
      </c>
      <c r="I1889" s="100">
        <v>-5.809363468698709E-2</v>
      </c>
    </row>
    <row r="1890" spans="1:9">
      <c r="A1890" s="90">
        <v>1874</v>
      </c>
      <c r="B1890" s="110">
        <v>1.1360002028737732</v>
      </c>
      <c r="C1890" s="110">
        <v>1.0523217653872068</v>
      </c>
      <c r="G1890" s="90">
        <v>1874</v>
      </c>
      <c r="H1890" s="100">
        <v>-7.6514570701094686E-2</v>
      </c>
      <c r="I1890" s="100">
        <v>-5.8048361824085036E-2</v>
      </c>
    </row>
    <row r="1891" spans="1:9">
      <c r="A1891" s="90">
        <v>1875</v>
      </c>
      <c r="B1891" s="110">
        <v>1.1312840329584399</v>
      </c>
      <c r="C1891" s="110">
        <v>1.0537789347929001</v>
      </c>
      <c r="G1891" s="90">
        <v>1875</v>
      </c>
      <c r="H1891" s="100">
        <v>-7.0970611127487065E-2</v>
      </c>
      <c r="I1891" s="100">
        <v>-5.8044402064369158E-2</v>
      </c>
    </row>
    <row r="1892" spans="1:9">
      <c r="A1892" s="90">
        <v>1876</v>
      </c>
      <c r="B1892" s="110">
        <v>1.1140300093431441</v>
      </c>
      <c r="C1892" s="110">
        <v>1.0598640567820561</v>
      </c>
      <c r="G1892" s="90">
        <v>1876</v>
      </c>
      <c r="H1892" s="100">
        <v>-4.9843427930689091E-2</v>
      </c>
      <c r="I1892" s="100">
        <v>-5.8020454789695593E-2</v>
      </c>
    </row>
    <row r="1893" spans="1:9">
      <c r="A1893" s="90">
        <v>1877</v>
      </c>
      <c r="B1893" s="110">
        <v>1.1155114326446358</v>
      </c>
      <c r="C1893" s="110">
        <v>1.0761698770252528</v>
      </c>
      <c r="G1893" s="90">
        <v>1877</v>
      </c>
      <c r="H1893" s="100">
        <v>-3.5904656180573126E-2</v>
      </c>
      <c r="I1893" s="100">
        <v>-5.8012900081536381E-2</v>
      </c>
    </row>
    <row r="1894" spans="1:9">
      <c r="A1894" s="90">
        <v>1878</v>
      </c>
      <c r="B1894" s="110">
        <v>1.1397693981960426</v>
      </c>
      <c r="C1894" s="110">
        <v>1.0254931927033544</v>
      </c>
      <c r="G1894" s="90">
        <v>1878</v>
      </c>
      <c r="H1894" s="100">
        <v>-0.10565229917910207</v>
      </c>
      <c r="I1894" s="100">
        <v>-5.8007714255621699E-2</v>
      </c>
    </row>
    <row r="1895" spans="1:9">
      <c r="A1895" s="90">
        <v>1879</v>
      </c>
      <c r="B1895" s="110">
        <v>1.1121817895167971</v>
      </c>
      <c r="C1895" s="110">
        <v>1.0788467084586049</v>
      </c>
      <c r="G1895" s="90">
        <v>1879</v>
      </c>
      <c r="H1895" s="100">
        <v>-3.0431054221951429E-2</v>
      </c>
      <c r="I1895" s="100">
        <v>-5.8005560599564458E-2</v>
      </c>
    </row>
    <row r="1896" spans="1:9">
      <c r="A1896" s="90">
        <v>1880</v>
      </c>
      <c r="B1896" s="110">
        <v>1.1025266001280705</v>
      </c>
      <c r="C1896" s="110">
        <v>1.0506712630446233</v>
      </c>
      <c r="G1896" s="90">
        <v>1880</v>
      </c>
      <c r="H1896" s="100">
        <v>-4.817519710493437E-2</v>
      </c>
      <c r="I1896" s="100">
        <v>-5.7985883249676441E-2</v>
      </c>
    </row>
    <row r="1897" spans="1:9">
      <c r="A1897" s="90">
        <v>1881</v>
      </c>
      <c r="B1897" s="110">
        <v>1.1098513138222819</v>
      </c>
      <c r="C1897" s="110">
        <v>1.0460282698472763</v>
      </c>
      <c r="G1897" s="90">
        <v>1881</v>
      </c>
      <c r="H1897" s="100">
        <v>-5.9225662940326419E-2</v>
      </c>
      <c r="I1897" s="100">
        <v>-5.7980717333933139E-2</v>
      </c>
    </row>
    <row r="1898" spans="1:9">
      <c r="A1898" s="90">
        <v>1882</v>
      </c>
      <c r="B1898" s="110">
        <v>1.1080501218655392</v>
      </c>
      <c r="C1898" s="110">
        <v>1.0545729156270081</v>
      </c>
      <c r="G1898" s="90">
        <v>1882</v>
      </c>
      <c r="H1898" s="100">
        <v>-4.9465957987019714E-2</v>
      </c>
      <c r="I1898" s="100">
        <v>-5.7969271179651678E-2</v>
      </c>
    </row>
    <row r="1899" spans="1:9">
      <c r="A1899" s="90">
        <v>1883</v>
      </c>
      <c r="B1899" s="110">
        <v>1.1174738219904083</v>
      </c>
      <c r="C1899" s="110">
        <v>1.0517327158423846</v>
      </c>
      <c r="G1899" s="90">
        <v>1883</v>
      </c>
      <c r="H1899" s="100">
        <v>-6.063161207877741E-2</v>
      </c>
      <c r="I1899" s="100">
        <v>-5.7964578777277752E-2</v>
      </c>
    </row>
    <row r="1900" spans="1:9">
      <c r="A1900" s="90">
        <v>1884</v>
      </c>
      <c r="B1900" s="110">
        <v>1.1090128454800436</v>
      </c>
      <c r="C1900" s="110">
        <v>1.0438600419292019</v>
      </c>
      <c r="G1900" s="90">
        <v>1884</v>
      </c>
      <c r="H1900" s="100">
        <v>-6.0544870221885191E-2</v>
      </c>
      <c r="I1900" s="100">
        <v>-5.7952201079108562E-2</v>
      </c>
    </row>
    <row r="1901" spans="1:9">
      <c r="A1901" s="90">
        <v>1885</v>
      </c>
      <c r="B1901" s="110">
        <v>1.1244923291471722</v>
      </c>
      <c r="C1901" s="110">
        <v>1.0528678842295189</v>
      </c>
      <c r="G1901" s="90">
        <v>1885</v>
      </c>
      <c r="H1901" s="100">
        <v>-6.5813911614831674E-2</v>
      </c>
      <c r="I1901" s="100">
        <v>-5.7941169137324999E-2</v>
      </c>
    </row>
    <row r="1902" spans="1:9">
      <c r="A1902" s="90">
        <v>1886</v>
      </c>
      <c r="B1902" s="110">
        <v>1.0959991561250715</v>
      </c>
      <c r="C1902" s="110">
        <v>1.0492251708360785</v>
      </c>
      <c r="G1902" s="90">
        <v>1886</v>
      </c>
      <c r="H1902" s="100">
        <v>-4.3614459340521571E-2</v>
      </c>
      <c r="I1902" s="100">
        <v>-5.7939927568393786E-2</v>
      </c>
    </row>
    <row r="1903" spans="1:9">
      <c r="A1903" s="90">
        <v>1887</v>
      </c>
      <c r="B1903" s="110">
        <v>1.113398243400979</v>
      </c>
      <c r="C1903" s="110">
        <v>1.0708944480659295</v>
      </c>
      <c r="G1903" s="90">
        <v>1887</v>
      </c>
      <c r="H1903" s="100">
        <v>-3.8922587028444471E-2</v>
      </c>
      <c r="I1903" s="100">
        <v>-5.7929609537824389E-2</v>
      </c>
    </row>
    <row r="1904" spans="1:9">
      <c r="A1904" s="90">
        <v>1888</v>
      </c>
      <c r="B1904" s="110">
        <v>1.1194925017373525</v>
      </c>
      <c r="C1904" s="110">
        <v>1.0733987191716714</v>
      </c>
      <c r="G1904" s="90">
        <v>1888</v>
      </c>
      <c r="H1904" s="100">
        <v>-4.2045471651082862E-2</v>
      </c>
      <c r="I1904" s="100">
        <v>-5.7921032044247957E-2</v>
      </c>
    </row>
    <row r="1905" spans="1:9">
      <c r="A1905" s="90">
        <v>1889</v>
      </c>
      <c r="B1905" s="110">
        <v>1.0916894978874021</v>
      </c>
      <c r="C1905" s="110">
        <v>1.063209178900635</v>
      </c>
      <c r="G1905" s="90">
        <v>1889</v>
      </c>
      <c r="H1905" s="100">
        <v>-2.6434632638609845E-2</v>
      </c>
      <c r="I1905" s="100">
        <v>-5.7919072327597007E-2</v>
      </c>
    </row>
    <row r="1906" spans="1:9">
      <c r="A1906" s="90">
        <v>1890</v>
      </c>
      <c r="B1906" s="110">
        <v>1.1543318292452902</v>
      </c>
      <c r="C1906" s="110">
        <v>1.0479174443604626</v>
      </c>
      <c r="G1906" s="90">
        <v>1890</v>
      </c>
      <c r="H1906" s="100">
        <v>-9.671686542773629E-2</v>
      </c>
      <c r="I1906" s="100">
        <v>-5.7915253010411255E-2</v>
      </c>
    </row>
    <row r="1907" spans="1:9">
      <c r="A1907" s="90">
        <v>1891</v>
      </c>
      <c r="B1907" s="110">
        <v>1.13988333784661</v>
      </c>
      <c r="C1907" s="110">
        <v>1.060578369619138</v>
      </c>
      <c r="G1907" s="90">
        <v>1891</v>
      </c>
      <c r="H1907" s="100">
        <v>-7.2111530910241917E-2</v>
      </c>
      <c r="I1907" s="100">
        <v>-5.7910111180123118E-2</v>
      </c>
    </row>
    <row r="1908" spans="1:9">
      <c r="A1908" s="90">
        <v>1892</v>
      </c>
      <c r="B1908" s="110">
        <v>1.1006579821777307</v>
      </c>
      <c r="C1908" s="110">
        <v>1.0577585820833368</v>
      </c>
      <c r="G1908" s="90">
        <v>1892</v>
      </c>
      <c r="H1908" s="100">
        <v>-3.9756042478431577E-2</v>
      </c>
      <c r="I1908" s="100">
        <v>-5.7904780776793334E-2</v>
      </c>
    </row>
    <row r="1909" spans="1:9">
      <c r="A1909" s="90">
        <v>1893</v>
      </c>
      <c r="B1909" s="110">
        <v>1.0800095695132392</v>
      </c>
      <c r="C1909" s="110">
        <v>1.0874901055030226</v>
      </c>
      <c r="G1909" s="90">
        <v>1893</v>
      </c>
      <c r="H1909" s="100">
        <v>6.902483794006751E-3</v>
      </c>
      <c r="I1909" s="100">
        <v>-5.7904171300174445E-2</v>
      </c>
    </row>
    <row r="1910" spans="1:9">
      <c r="A1910" s="90">
        <v>1894</v>
      </c>
      <c r="B1910" s="110">
        <v>1.1083620603670556</v>
      </c>
      <c r="C1910" s="110">
        <v>1.0699460714264348</v>
      </c>
      <c r="G1910" s="90">
        <v>1894</v>
      </c>
      <c r="H1910" s="100">
        <v>-3.527505756436064E-2</v>
      </c>
      <c r="I1910" s="100">
        <v>-5.7888250954581E-2</v>
      </c>
    </row>
    <row r="1911" spans="1:9">
      <c r="A1911" s="90">
        <v>1895</v>
      </c>
      <c r="B1911" s="110">
        <v>1.1036643874124943</v>
      </c>
      <c r="C1911" s="110">
        <v>1.0566903413912596</v>
      </c>
      <c r="G1911" s="90">
        <v>1895</v>
      </c>
      <c r="H1911" s="100">
        <v>-4.3494200657276612E-2</v>
      </c>
      <c r="I1911" s="100">
        <v>-5.7887058154566032E-2</v>
      </c>
    </row>
    <row r="1912" spans="1:9">
      <c r="A1912" s="90">
        <v>1896</v>
      </c>
      <c r="B1912" s="110">
        <v>1.0754509006829029</v>
      </c>
      <c r="C1912" s="110">
        <v>1.0484884478732168</v>
      </c>
      <c r="G1912" s="90">
        <v>1896</v>
      </c>
      <c r="H1912" s="100">
        <v>-2.5390462599966943E-2</v>
      </c>
      <c r="I1912" s="100">
        <v>-5.7884900500567993E-2</v>
      </c>
    </row>
    <row r="1913" spans="1:9">
      <c r="A1913" s="90">
        <v>1897</v>
      </c>
      <c r="B1913" s="110">
        <v>1.1047146955356071</v>
      </c>
      <c r="C1913" s="110">
        <v>1.0357066882267025</v>
      </c>
      <c r="G1913" s="90">
        <v>1897</v>
      </c>
      <c r="H1913" s="100">
        <v>-6.4503123267348805E-2</v>
      </c>
      <c r="I1913" s="100">
        <v>-5.7883792241796884E-2</v>
      </c>
    </row>
    <row r="1914" spans="1:9">
      <c r="A1914" s="90">
        <v>1898</v>
      </c>
      <c r="B1914" s="110">
        <v>1.1096254083507757</v>
      </c>
      <c r="C1914" s="110">
        <v>1.0625800553629292</v>
      </c>
      <c r="G1914" s="90">
        <v>1898</v>
      </c>
      <c r="H1914" s="100">
        <v>-4.3322523212203326E-2</v>
      </c>
      <c r="I1914" s="100">
        <v>-5.7882760209905779E-2</v>
      </c>
    </row>
    <row r="1915" spans="1:9">
      <c r="A1915" s="90">
        <v>1899</v>
      </c>
      <c r="B1915" s="110">
        <v>1.094031382544103</v>
      </c>
      <c r="C1915" s="110">
        <v>1.0474527466190275</v>
      </c>
      <c r="G1915" s="90">
        <v>1899</v>
      </c>
      <c r="H1915" s="100">
        <v>-4.3508128472877057E-2</v>
      </c>
      <c r="I1915" s="100">
        <v>-5.7849318553584474E-2</v>
      </c>
    </row>
    <row r="1916" spans="1:9">
      <c r="A1916" s="90">
        <v>1900</v>
      </c>
      <c r="B1916" s="110">
        <v>1.1330228638601272</v>
      </c>
      <c r="C1916" s="110">
        <v>1.0677501412899015</v>
      </c>
      <c r="G1916" s="90">
        <v>1900</v>
      </c>
      <c r="H1916" s="100">
        <v>-5.9335398707440132E-2</v>
      </c>
      <c r="I1916" s="100">
        <v>-5.7831950991727797E-2</v>
      </c>
    </row>
    <row r="1917" spans="1:9">
      <c r="A1917" s="90">
        <v>1901</v>
      </c>
      <c r="B1917" s="110">
        <v>1.1444748915565295</v>
      </c>
      <c r="C1917" s="110">
        <v>1.074346292654625</v>
      </c>
      <c r="G1917" s="90">
        <v>1901</v>
      </c>
      <c r="H1917" s="100">
        <v>-6.3233545062422916E-2</v>
      </c>
      <c r="I1917" s="100">
        <v>-5.782073520963011E-2</v>
      </c>
    </row>
    <row r="1918" spans="1:9">
      <c r="A1918" s="90">
        <v>1902</v>
      </c>
      <c r="B1918" s="110">
        <v>1.0977619454725847</v>
      </c>
      <c r="C1918" s="110">
        <v>1.0472524215973502</v>
      </c>
      <c r="G1918" s="90">
        <v>1902</v>
      </c>
      <c r="H1918" s="100">
        <v>-4.7103518997547673E-2</v>
      </c>
      <c r="I1918" s="100">
        <v>-5.7778922117431158E-2</v>
      </c>
    </row>
    <row r="1919" spans="1:9">
      <c r="A1919" s="90">
        <v>1903</v>
      </c>
      <c r="B1919" s="110">
        <v>1.1208706606822072</v>
      </c>
      <c r="C1919" s="110">
        <v>1.0652212686266775</v>
      </c>
      <c r="G1919" s="90">
        <v>1903</v>
      </c>
      <c r="H1919" s="100">
        <v>-5.0923217366043966E-2</v>
      </c>
      <c r="I1919" s="100">
        <v>-5.7768640383746635E-2</v>
      </c>
    </row>
    <row r="1920" spans="1:9">
      <c r="A1920" s="90">
        <v>1904</v>
      </c>
      <c r="B1920" s="110">
        <v>1.1117255130316179</v>
      </c>
      <c r="C1920" s="110">
        <v>1.0604511269777324</v>
      </c>
      <c r="G1920" s="90">
        <v>1904</v>
      </c>
      <c r="H1920" s="100">
        <v>-4.7218915485249278E-2</v>
      </c>
      <c r="I1920" s="100">
        <v>-5.7748485520955829E-2</v>
      </c>
    </row>
    <row r="1921" spans="1:9">
      <c r="A1921" s="90">
        <v>1905</v>
      </c>
      <c r="B1921" s="110">
        <v>1.11192696971616</v>
      </c>
      <c r="C1921" s="110">
        <v>1.0522864946027279</v>
      </c>
      <c r="G1921" s="90">
        <v>1905</v>
      </c>
      <c r="H1921" s="100">
        <v>-5.5129108443929896E-2</v>
      </c>
      <c r="I1921" s="100">
        <v>-5.7726807109874025E-2</v>
      </c>
    </row>
    <row r="1922" spans="1:9">
      <c r="A1922" s="90">
        <v>1906</v>
      </c>
      <c r="B1922" s="110">
        <v>1.1290786641680248</v>
      </c>
      <c r="C1922" s="110">
        <v>1.0524938846669325</v>
      </c>
      <c r="G1922" s="90">
        <v>1906</v>
      </c>
      <c r="H1922" s="100">
        <v>-7.0239482443583925E-2</v>
      </c>
      <c r="I1922" s="100">
        <v>-5.7708077954644478E-2</v>
      </c>
    </row>
    <row r="1923" spans="1:9">
      <c r="A1923" s="90">
        <v>1907</v>
      </c>
      <c r="B1923" s="110">
        <v>1.0938851512264423</v>
      </c>
      <c r="C1923" s="110">
        <v>1.0446750768097457</v>
      </c>
      <c r="G1923" s="90">
        <v>1907</v>
      </c>
      <c r="H1923" s="100">
        <v>-4.60298121064582E-2</v>
      </c>
      <c r="I1923" s="100">
        <v>-5.7704522930596566E-2</v>
      </c>
    </row>
    <row r="1924" spans="1:9">
      <c r="A1924" s="90">
        <v>1908</v>
      </c>
      <c r="B1924" s="110">
        <v>1.1137552573708818</v>
      </c>
      <c r="C1924" s="110">
        <v>1.064013364060844</v>
      </c>
      <c r="G1924" s="90">
        <v>1908</v>
      </c>
      <c r="H1924" s="100">
        <v>-4.5689469166396282E-2</v>
      </c>
      <c r="I1924" s="100">
        <v>-5.7704446185486674E-2</v>
      </c>
    </row>
    <row r="1925" spans="1:9">
      <c r="A1925" s="90">
        <v>1909</v>
      </c>
      <c r="B1925" s="110">
        <v>1.1000024897063669</v>
      </c>
      <c r="C1925" s="110">
        <v>1.0594394532202407</v>
      </c>
      <c r="G1925" s="90">
        <v>1909</v>
      </c>
      <c r="H1925" s="100">
        <v>-3.7572492637368893E-2</v>
      </c>
      <c r="I1925" s="100">
        <v>-5.7703305064850718E-2</v>
      </c>
    </row>
    <row r="1926" spans="1:9">
      <c r="A1926" s="90">
        <v>1910</v>
      </c>
      <c r="B1926" s="110">
        <v>1.0940094512052572</v>
      </c>
      <c r="C1926" s="110">
        <v>1.0490440565730077</v>
      </c>
      <c r="G1926" s="90">
        <v>1910</v>
      </c>
      <c r="H1926" s="100">
        <v>-4.1970015917858067E-2</v>
      </c>
      <c r="I1926" s="100">
        <v>-5.7677368279865318E-2</v>
      </c>
    </row>
    <row r="1927" spans="1:9">
      <c r="A1927" s="90">
        <v>1911</v>
      </c>
      <c r="B1927" s="110">
        <v>1.079757144297028</v>
      </c>
      <c r="C1927" s="110">
        <v>1.0520742540338213</v>
      </c>
      <c r="G1927" s="90">
        <v>1911</v>
      </c>
      <c r="H1927" s="100">
        <v>-2.5972453951302939E-2</v>
      </c>
      <c r="I1927" s="100">
        <v>-5.7655252118397948E-2</v>
      </c>
    </row>
    <row r="1928" spans="1:9">
      <c r="A1928" s="90">
        <v>1912</v>
      </c>
      <c r="B1928" s="110">
        <v>1.0892530271205585</v>
      </c>
      <c r="C1928" s="110">
        <v>1.0525296225327927</v>
      </c>
      <c r="G1928" s="90">
        <v>1912</v>
      </c>
      <c r="H1928" s="100">
        <v>-3.429573399598583E-2</v>
      </c>
      <c r="I1928" s="100">
        <v>-5.7650443349962666E-2</v>
      </c>
    </row>
    <row r="1929" spans="1:9">
      <c r="A1929" s="90">
        <v>1913</v>
      </c>
      <c r="B1929" s="110">
        <v>1.101049588344732</v>
      </c>
      <c r="C1929" s="110">
        <v>1.066958459787873</v>
      </c>
      <c r="G1929" s="90">
        <v>1913</v>
      </c>
      <c r="H1929" s="100">
        <v>-3.1451856315745437E-2</v>
      </c>
      <c r="I1929" s="100">
        <v>-5.7649072346721543E-2</v>
      </c>
    </row>
    <row r="1930" spans="1:9">
      <c r="A1930" s="90">
        <v>1914</v>
      </c>
      <c r="B1930" s="110">
        <v>1.1216928921285358</v>
      </c>
      <c r="C1930" s="110">
        <v>1.0638092191307811</v>
      </c>
      <c r="G1930" s="90">
        <v>1914</v>
      </c>
      <c r="H1930" s="100">
        <v>-5.298298543923792E-2</v>
      </c>
      <c r="I1930" s="100">
        <v>-5.7646914952983068E-2</v>
      </c>
    </row>
    <row r="1931" spans="1:9">
      <c r="A1931" s="90">
        <v>1915</v>
      </c>
      <c r="B1931" s="110">
        <v>1.1080870472900359</v>
      </c>
      <c r="C1931" s="110">
        <v>1.0410708161223849</v>
      </c>
      <c r="G1931" s="90">
        <v>1915</v>
      </c>
      <c r="H1931" s="100">
        <v>-6.2385333441472748E-2</v>
      </c>
      <c r="I1931" s="100">
        <v>-5.7635138663160314E-2</v>
      </c>
    </row>
    <row r="1932" spans="1:9">
      <c r="A1932" s="90">
        <v>1916</v>
      </c>
      <c r="B1932" s="110">
        <v>1.1058675691787931</v>
      </c>
      <c r="C1932" s="110">
        <v>1.0481182798856203</v>
      </c>
      <c r="G1932" s="90">
        <v>1916</v>
      </c>
      <c r="H1932" s="100">
        <v>-5.3633715377920659E-2</v>
      </c>
      <c r="I1932" s="100">
        <v>-5.7631261866099313E-2</v>
      </c>
    </row>
    <row r="1933" spans="1:9">
      <c r="A1933" s="90">
        <v>1917</v>
      </c>
      <c r="B1933" s="110">
        <v>1.1578981164868629</v>
      </c>
      <c r="C1933" s="110">
        <v>1.0616241715897874</v>
      </c>
      <c r="G1933" s="90">
        <v>1917</v>
      </c>
      <c r="H1933" s="100">
        <v>-8.680642017681163E-2</v>
      </c>
      <c r="I1933" s="100">
        <v>-5.7618047273179186E-2</v>
      </c>
    </row>
    <row r="1934" spans="1:9">
      <c r="A1934" s="90">
        <v>1918</v>
      </c>
      <c r="B1934" s="110">
        <v>1.1064029632111447</v>
      </c>
      <c r="C1934" s="110">
        <v>1.0343967160015271</v>
      </c>
      <c r="G1934" s="90">
        <v>1918</v>
      </c>
      <c r="H1934" s="100">
        <v>-6.7295805925986329E-2</v>
      </c>
      <c r="I1934" s="100">
        <v>-5.7610605689116939E-2</v>
      </c>
    </row>
    <row r="1935" spans="1:9">
      <c r="A1935" s="90">
        <v>1919</v>
      </c>
      <c r="B1935" s="110">
        <v>1.0964332347524974</v>
      </c>
      <c r="C1935" s="110">
        <v>1.0361429918118363</v>
      </c>
      <c r="G1935" s="90">
        <v>1919</v>
      </c>
      <c r="H1935" s="100">
        <v>-5.6557240305969342E-2</v>
      </c>
      <c r="I1935" s="100">
        <v>-5.7602536985442924E-2</v>
      </c>
    </row>
    <row r="1936" spans="1:9">
      <c r="A1936" s="90">
        <v>1920</v>
      </c>
      <c r="B1936" s="110">
        <v>1.1247657570237788</v>
      </c>
      <c r="C1936" s="110">
        <v>1.0615037628987098</v>
      </c>
      <c r="G1936" s="90">
        <v>1920</v>
      </c>
      <c r="H1936" s="100">
        <v>-5.7888250954581E-2</v>
      </c>
      <c r="I1936" s="100">
        <v>-5.758691713741429E-2</v>
      </c>
    </row>
    <row r="1937" spans="1:9">
      <c r="A1937" s="90">
        <v>1921</v>
      </c>
      <c r="B1937" s="110">
        <v>1.0892680862592852</v>
      </c>
      <c r="C1937" s="110">
        <v>1.062772976970713</v>
      </c>
      <c r="G1937" s="90">
        <v>1921</v>
      </c>
      <c r="H1937" s="100">
        <v>-2.4624481880865183E-2</v>
      </c>
      <c r="I1937" s="100">
        <v>-5.7581530908405391E-2</v>
      </c>
    </row>
    <row r="1938" spans="1:9">
      <c r="A1938" s="90">
        <v>1922</v>
      </c>
      <c r="B1938" s="110">
        <v>1.1331734613831093</v>
      </c>
      <c r="C1938" s="110">
        <v>1.0437951224708399</v>
      </c>
      <c r="G1938" s="90">
        <v>1922</v>
      </c>
      <c r="H1938" s="100">
        <v>-8.2158842159847534E-2</v>
      </c>
      <c r="I1938" s="100">
        <v>-5.7531609123558904E-2</v>
      </c>
    </row>
    <row r="1939" spans="1:9">
      <c r="A1939" s="90">
        <v>1923</v>
      </c>
      <c r="B1939" s="110">
        <v>1.1347394811801443</v>
      </c>
      <c r="C1939" s="110">
        <v>1.0397012034442215</v>
      </c>
      <c r="G1939" s="90">
        <v>1923</v>
      </c>
      <c r="H1939" s="100">
        <v>-8.7469725094077397E-2</v>
      </c>
      <c r="I1939" s="100">
        <v>-5.7522577667755787E-2</v>
      </c>
    </row>
    <row r="1940" spans="1:9">
      <c r="A1940" s="90">
        <v>1924</v>
      </c>
      <c r="B1940" s="110">
        <v>1.0855087544956166</v>
      </c>
      <c r="C1940" s="110">
        <v>1.0576443584474611</v>
      </c>
      <c r="G1940" s="90">
        <v>1924</v>
      </c>
      <c r="H1940" s="100">
        <v>-2.6004643454735788E-2</v>
      </c>
      <c r="I1940" s="100">
        <v>-5.7499183951481361E-2</v>
      </c>
    </row>
    <row r="1941" spans="1:9">
      <c r="A1941" s="90">
        <v>1925</v>
      </c>
      <c r="B1941" s="110">
        <v>1.1137104435027958</v>
      </c>
      <c r="C1941" s="110">
        <v>1.0751995014699804</v>
      </c>
      <c r="G1941" s="90">
        <v>1925</v>
      </c>
      <c r="H1941" s="100">
        <v>-3.5190955552302124E-2</v>
      </c>
      <c r="I1941" s="100">
        <v>-5.7498700424799765E-2</v>
      </c>
    </row>
    <row r="1942" spans="1:9">
      <c r="A1942" s="90">
        <v>1926</v>
      </c>
      <c r="B1942" s="110">
        <v>1.1234161952385098</v>
      </c>
      <c r="C1942" s="110">
        <v>1.0470716466312049</v>
      </c>
      <c r="G1942" s="90">
        <v>1926</v>
      </c>
      <c r="H1942" s="100">
        <v>-7.0376857333543069E-2</v>
      </c>
      <c r="I1942" s="100">
        <v>-5.7450004852432963E-2</v>
      </c>
    </row>
    <row r="1943" spans="1:9">
      <c r="A1943" s="90">
        <v>1927</v>
      </c>
      <c r="B1943" s="110">
        <v>1.1408011662502682</v>
      </c>
      <c r="C1943" s="110">
        <v>1.058059851512517</v>
      </c>
      <c r="G1943" s="90">
        <v>1927</v>
      </c>
      <c r="H1943" s="100">
        <v>-7.5293890722741841E-2</v>
      </c>
      <c r="I1943" s="100">
        <v>-5.742421843255472E-2</v>
      </c>
    </row>
    <row r="1944" spans="1:9">
      <c r="A1944" s="90">
        <v>1928</v>
      </c>
      <c r="B1944" s="110">
        <v>1.1159327213659644</v>
      </c>
      <c r="C1944" s="110">
        <v>1.0505459706549458</v>
      </c>
      <c r="G1944" s="90">
        <v>1928</v>
      </c>
      <c r="H1944" s="100">
        <v>-6.0380575544368466E-2</v>
      </c>
      <c r="I1944" s="100">
        <v>-5.7411037645714889E-2</v>
      </c>
    </row>
    <row r="1945" spans="1:9">
      <c r="A1945" s="90">
        <v>1929</v>
      </c>
      <c r="B1945" s="110">
        <v>1.1058014438366195</v>
      </c>
      <c r="C1945" s="110">
        <v>1.045073146426027</v>
      </c>
      <c r="G1945" s="90">
        <v>1929</v>
      </c>
      <c r="H1945" s="100">
        <v>-5.6483481067960646E-2</v>
      </c>
      <c r="I1945" s="100">
        <v>-5.7396036165564969E-2</v>
      </c>
    </row>
    <row r="1946" spans="1:9">
      <c r="A1946" s="90">
        <v>1930</v>
      </c>
      <c r="B1946" s="110">
        <v>1.1156350652365019</v>
      </c>
      <c r="C1946" s="110">
        <v>1.0661327640401428</v>
      </c>
      <c r="G1946" s="90">
        <v>1930</v>
      </c>
      <c r="H1946" s="100">
        <v>-4.5385945889507846E-2</v>
      </c>
      <c r="I1946" s="100">
        <v>-5.7388213830545334E-2</v>
      </c>
    </row>
    <row r="1947" spans="1:9">
      <c r="A1947" s="90">
        <v>1931</v>
      </c>
      <c r="B1947" s="110">
        <v>1.0968363575963045</v>
      </c>
      <c r="C1947" s="110">
        <v>1.0495879491997888</v>
      </c>
      <c r="G1947" s="90">
        <v>1931</v>
      </c>
      <c r="H1947" s="100">
        <v>-4.4032339694332137E-2</v>
      </c>
      <c r="I1947" s="100">
        <v>-5.7382412473851903E-2</v>
      </c>
    </row>
    <row r="1948" spans="1:9">
      <c r="A1948" s="90">
        <v>1932</v>
      </c>
      <c r="B1948" s="110">
        <v>1.102687329261191</v>
      </c>
      <c r="C1948" s="110">
        <v>1.0802540740953754</v>
      </c>
      <c r="G1948" s="90">
        <v>1932</v>
      </c>
      <c r="H1948" s="100">
        <v>-2.0553959807027043E-2</v>
      </c>
      <c r="I1948" s="100">
        <v>-5.7370117839669402E-2</v>
      </c>
    </row>
    <row r="1949" spans="1:9">
      <c r="A1949" s="90">
        <v>1933</v>
      </c>
      <c r="B1949" s="110">
        <v>1.0969773955920752</v>
      </c>
      <c r="C1949" s="110">
        <v>1.0638165936234261</v>
      </c>
      <c r="G1949" s="90">
        <v>1933</v>
      </c>
      <c r="H1949" s="100">
        <v>-3.0695573774589379E-2</v>
      </c>
      <c r="I1949" s="100">
        <v>-5.7362215843082306E-2</v>
      </c>
    </row>
    <row r="1950" spans="1:9">
      <c r="A1950" s="90">
        <v>1934</v>
      </c>
      <c r="B1950" s="110">
        <v>1.1021169007010283</v>
      </c>
      <c r="C1950" s="110">
        <v>1.0553543804531502</v>
      </c>
      <c r="G1950" s="90">
        <v>1934</v>
      </c>
      <c r="H1950" s="100">
        <v>-4.3356169428380269E-2</v>
      </c>
      <c r="I1950" s="100">
        <v>-5.7354913858334897E-2</v>
      </c>
    </row>
    <row r="1951" spans="1:9">
      <c r="A1951" s="90">
        <v>1935</v>
      </c>
      <c r="B1951" s="110">
        <v>1.1031127424904266</v>
      </c>
      <c r="C1951" s="110">
        <v>1.0607963898310928</v>
      </c>
      <c r="G1951" s="90">
        <v>1935</v>
      </c>
      <c r="H1951" s="100">
        <v>-3.9116012261942938E-2</v>
      </c>
      <c r="I1951" s="100">
        <v>-5.7347583460768674E-2</v>
      </c>
    </row>
    <row r="1952" spans="1:9">
      <c r="A1952" s="90">
        <v>1936</v>
      </c>
      <c r="B1952" s="110">
        <v>1.0917661861045143</v>
      </c>
      <c r="C1952" s="110">
        <v>1.0553623084871617</v>
      </c>
      <c r="G1952" s="90">
        <v>1936</v>
      </c>
      <c r="H1952" s="100">
        <v>-3.3912610768125101E-2</v>
      </c>
      <c r="I1952" s="100">
        <v>-5.7338541162315501E-2</v>
      </c>
    </row>
    <row r="1953" spans="1:9">
      <c r="A1953" s="90">
        <v>1937</v>
      </c>
      <c r="B1953" s="110">
        <v>1.0959854512087475</v>
      </c>
      <c r="C1953" s="110">
        <v>1.0541411754810512</v>
      </c>
      <c r="G1953" s="90">
        <v>1937</v>
      </c>
      <c r="H1953" s="100">
        <v>-3.8927530261837623E-2</v>
      </c>
      <c r="I1953" s="100">
        <v>-5.7335794028286778E-2</v>
      </c>
    </row>
    <row r="1954" spans="1:9">
      <c r="A1954" s="90">
        <v>1938</v>
      </c>
      <c r="B1954" s="110">
        <v>1.1064016443142863</v>
      </c>
      <c r="C1954" s="110">
        <v>1.0575431170640406</v>
      </c>
      <c r="G1954" s="90">
        <v>1938</v>
      </c>
      <c r="H1954" s="100">
        <v>-4.5164583807080882E-2</v>
      </c>
      <c r="I1954" s="100">
        <v>-5.733387995163515E-2</v>
      </c>
    </row>
    <row r="1955" spans="1:9">
      <c r="A1955" s="90">
        <v>1939</v>
      </c>
      <c r="B1955" s="110">
        <v>1.0897119314957044</v>
      </c>
      <c r="C1955" s="110">
        <v>1.0327394452821483</v>
      </c>
      <c r="G1955" s="90">
        <v>1939</v>
      </c>
      <c r="H1955" s="100">
        <v>-5.369845105060593E-2</v>
      </c>
      <c r="I1955" s="100">
        <v>-5.7327994079669757E-2</v>
      </c>
    </row>
    <row r="1956" spans="1:9">
      <c r="A1956" s="90">
        <v>1940</v>
      </c>
      <c r="B1956" s="110">
        <v>1.1119512960932363</v>
      </c>
      <c r="C1956" s="110">
        <v>1.0591097234607161</v>
      </c>
      <c r="G1956" s="90">
        <v>1940</v>
      </c>
      <c r="H1956" s="100">
        <v>-4.8687724695334701E-2</v>
      </c>
      <c r="I1956" s="100">
        <v>-5.7320803051989458E-2</v>
      </c>
    </row>
    <row r="1957" spans="1:9">
      <c r="A1957" s="90">
        <v>1941</v>
      </c>
      <c r="B1957" s="110">
        <v>1.0775881948476935</v>
      </c>
      <c r="C1957" s="110">
        <v>1.0535431778798827</v>
      </c>
      <c r="G1957" s="90">
        <v>1941</v>
      </c>
      <c r="H1957" s="100">
        <v>-2.256645241753617E-2</v>
      </c>
      <c r="I1957" s="100">
        <v>-5.7309435699995241E-2</v>
      </c>
    </row>
    <row r="1958" spans="1:9">
      <c r="A1958" s="90">
        <v>1942</v>
      </c>
      <c r="B1958" s="110">
        <v>1.1112100421703919</v>
      </c>
      <c r="C1958" s="110">
        <v>1.0499709694962216</v>
      </c>
      <c r="G1958" s="90">
        <v>1942</v>
      </c>
      <c r="H1958" s="100">
        <v>-5.6687033959155989E-2</v>
      </c>
      <c r="I1958" s="100">
        <v>-5.7303665133486691E-2</v>
      </c>
    </row>
    <row r="1959" spans="1:9">
      <c r="A1959" s="90">
        <v>1943</v>
      </c>
      <c r="B1959" s="110">
        <v>1.0870625845289301</v>
      </c>
      <c r="C1959" s="110">
        <v>1.0576028007580933</v>
      </c>
      <c r="G1959" s="90">
        <v>1943</v>
      </c>
      <c r="H1959" s="100">
        <v>-2.7474343612900409E-2</v>
      </c>
      <c r="I1959" s="100">
        <v>-5.7287490791210087E-2</v>
      </c>
    </row>
    <row r="1960" spans="1:9">
      <c r="A1960" s="90">
        <v>1944</v>
      </c>
      <c r="B1960" s="110">
        <v>1.1016154776411728</v>
      </c>
      <c r="C1960" s="110">
        <v>1.0448534058707883</v>
      </c>
      <c r="G1960" s="90">
        <v>1944</v>
      </c>
      <c r="H1960" s="100">
        <v>-5.2901124366864442E-2</v>
      </c>
      <c r="I1960" s="100">
        <v>-5.7278007494601275E-2</v>
      </c>
    </row>
    <row r="1961" spans="1:9">
      <c r="A1961" s="90">
        <v>1945</v>
      </c>
      <c r="B1961" s="110">
        <v>1.0950873379233603</v>
      </c>
      <c r="C1961" s="110">
        <v>1.0518278249408533</v>
      </c>
      <c r="G1961" s="90">
        <v>1945</v>
      </c>
      <c r="H1961" s="100">
        <v>-4.030468433222565E-2</v>
      </c>
      <c r="I1961" s="100">
        <v>-5.7262430521190233E-2</v>
      </c>
    </row>
    <row r="1962" spans="1:9">
      <c r="A1962" s="90">
        <v>1946</v>
      </c>
      <c r="B1962" s="110">
        <v>1.0996406435676944</v>
      </c>
      <c r="C1962" s="110">
        <v>1.0581798780782783</v>
      </c>
      <c r="G1962" s="90">
        <v>1946</v>
      </c>
      <c r="H1962" s="100">
        <v>-3.8433102692492074E-2</v>
      </c>
      <c r="I1962" s="100">
        <v>-5.7252738398475708E-2</v>
      </c>
    </row>
    <row r="1963" spans="1:9">
      <c r="A1963" s="90">
        <v>1947</v>
      </c>
      <c r="B1963" s="110">
        <v>1.0935667721887219</v>
      </c>
      <c r="C1963" s="110">
        <v>1.0619378517530103</v>
      </c>
      <c r="G1963" s="90">
        <v>1947</v>
      </c>
      <c r="H1963" s="100">
        <v>-2.9349220985099612E-2</v>
      </c>
      <c r="I1963" s="100">
        <v>-5.7240413829205375E-2</v>
      </c>
    </row>
    <row r="1964" spans="1:9">
      <c r="A1964" s="90">
        <v>1948</v>
      </c>
      <c r="B1964" s="110">
        <v>1.1450163445309243</v>
      </c>
      <c r="C1964" s="110">
        <v>1.0379660009110112</v>
      </c>
      <c r="G1964" s="90">
        <v>1948</v>
      </c>
      <c r="H1964" s="100">
        <v>-9.8155881817549542E-2</v>
      </c>
      <c r="I1964" s="100">
        <v>-5.7237043390281267E-2</v>
      </c>
    </row>
    <row r="1965" spans="1:9">
      <c r="A1965" s="90">
        <v>1949</v>
      </c>
      <c r="B1965" s="110">
        <v>1.1136082484099432</v>
      </c>
      <c r="C1965" s="110">
        <v>1.0522238523204388</v>
      </c>
      <c r="G1965" s="90">
        <v>1949</v>
      </c>
      <c r="H1965" s="100">
        <v>-5.6699538491568044E-2</v>
      </c>
      <c r="I1965" s="100">
        <v>-5.7228648804899286E-2</v>
      </c>
    </row>
    <row r="1966" spans="1:9">
      <c r="A1966" s="90">
        <v>1950</v>
      </c>
      <c r="B1966" s="110">
        <v>1.0970663284140456</v>
      </c>
      <c r="C1966" s="110">
        <v>1.0660536113292818</v>
      </c>
      <c r="G1966" s="90">
        <v>1950</v>
      </c>
      <c r="H1966" s="100">
        <v>-2.8676026391031711E-2</v>
      </c>
      <c r="I1966" s="100">
        <v>-5.7219534807855368E-2</v>
      </c>
    </row>
    <row r="1967" spans="1:9">
      <c r="A1967" s="90">
        <v>1951</v>
      </c>
      <c r="B1967" s="110">
        <v>1.1060436546429424</v>
      </c>
      <c r="C1967" s="110">
        <v>1.0360945704843323</v>
      </c>
      <c r="G1967" s="90">
        <v>1951</v>
      </c>
      <c r="H1967" s="100">
        <v>-6.5330949142841002E-2</v>
      </c>
      <c r="I1967" s="100">
        <v>-5.7217431233901571E-2</v>
      </c>
    </row>
    <row r="1968" spans="1:9">
      <c r="A1968" s="90">
        <v>1952</v>
      </c>
      <c r="B1968" s="110">
        <v>1.116058633908978</v>
      </c>
      <c r="C1968" s="110">
        <v>1.0560910181769823</v>
      </c>
      <c r="G1968" s="90">
        <v>1952</v>
      </c>
      <c r="H1968" s="100">
        <v>-5.5229028898663227E-2</v>
      </c>
      <c r="I1968" s="100">
        <v>-5.7211087422349358E-2</v>
      </c>
    </row>
    <row r="1969" spans="1:9">
      <c r="A1969" s="90">
        <v>1953</v>
      </c>
      <c r="B1969" s="110">
        <v>1.1041103102461463</v>
      </c>
      <c r="C1969" s="110">
        <v>1.065667076603878</v>
      </c>
      <c r="G1969" s="90">
        <v>1953</v>
      </c>
      <c r="H1969" s="100">
        <v>-3.543889547829121E-2</v>
      </c>
      <c r="I1969" s="100">
        <v>-5.7202786914008263E-2</v>
      </c>
    </row>
    <row r="1970" spans="1:9">
      <c r="A1970" s="90">
        <v>1954</v>
      </c>
      <c r="B1970" s="110">
        <v>1.1077282361698504</v>
      </c>
      <c r="C1970" s="110">
        <v>1.0543250485962243</v>
      </c>
      <c r="G1970" s="90">
        <v>1954</v>
      </c>
      <c r="H1970" s="100">
        <v>-4.9410486197801862E-2</v>
      </c>
      <c r="I1970" s="100">
        <v>-5.7198293266324113E-2</v>
      </c>
    </row>
    <row r="1971" spans="1:9">
      <c r="A1971" s="90">
        <v>1955</v>
      </c>
      <c r="B1971" s="110">
        <v>1.0957006884126363</v>
      </c>
      <c r="C1971" s="110">
        <v>1.0563308274316556</v>
      </c>
      <c r="G1971" s="90">
        <v>1955</v>
      </c>
      <c r="H1971" s="100">
        <v>-3.6592636940979952E-2</v>
      </c>
      <c r="I1971" s="100">
        <v>-5.7188084066801786E-2</v>
      </c>
    </row>
    <row r="1972" spans="1:9">
      <c r="A1972" s="90">
        <v>1956</v>
      </c>
      <c r="B1972" s="110">
        <v>1.1374971990363185</v>
      </c>
      <c r="C1972" s="110">
        <v>1.0622429556843063</v>
      </c>
      <c r="G1972" s="90">
        <v>1956</v>
      </c>
      <c r="H1972" s="100">
        <v>-6.8447740968023724E-2</v>
      </c>
      <c r="I1972" s="100">
        <v>-5.7175323645426344E-2</v>
      </c>
    </row>
    <row r="1973" spans="1:9">
      <c r="A1973" s="90">
        <v>1957</v>
      </c>
      <c r="B1973" s="110">
        <v>1.1041286088053397</v>
      </c>
      <c r="C1973" s="110">
        <v>1.0495936075860186</v>
      </c>
      <c r="G1973" s="90">
        <v>1957</v>
      </c>
      <c r="H1973" s="100">
        <v>-5.0653385697463485E-2</v>
      </c>
      <c r="I1973" s="100">
        <v>-5.7153359102776996E-2</v>
      </c>
    </row>
    <row r="1974" spans="1:9">
      <c r="A1974" s="90">
        <v>1958</v>
      </c>
      <c r="B1974" s="110">
        <v>1.1023835075129877</v>
      </c>
      <c r="C1974" s="110">
        <v>1.0496843472637325</v>
      </c>
      <c r="G1974" s="90">
        <v>1958</v>
      </c>
      <c r="H1974" s="100">
        <v>-4.8985163316393458E-2</v>
      </c>
      <c r="I1974" s="100">
        <v>-5.7151237307357008E-2</v>
      </c>
    </row>
    <row r="1975" spans="1:9">
      <c r="A1975" s="90">
        <v>1959</v>
      </c>
      <c r="B1975" s="110">
        <v>1.1400316768764429</v>
      </c>
      <c r="C1975" s="110">
        <v>1.0474576507984146</v>
      </c>
      <c r="G1975" s="90">
        <v>1959</v>
      </c>
      <c r="H1975" s="100">
        <v>-8.4690105589255826E-2</v>
      </c>
      <c r="I1975" s="100">
        <v>-5.7148094160253939E-2</v>
      </c>
    </row>
    <row r="1976" spans="1:9">
      <c r="A1976" s="90">
        <v>1960</v>
      </c>
      <c r="B1976" s="110">
        <v>1.111521404953915</v>
      </c>
      <c r="C1976" s="110">
        <v>1.0448428596931105</v>
      </c>
      <c r="G1976" s="90">
        <v>1960</v>
      </c>
      <c r="H1976" s="100">
        <v>-6.1863211344878474E-2</v>
      </c>
      <c r="I1976" s="100">
        <v>-5.7147969471750923E-2</v>
      </c>
    </row>
    <row r="1977" spans="1:9">
      <c r="A1977" s="90">
        <v>1961</v>
      </c>
      <c r="B1977" s="110">
        <v>1.1057081876547659</v>
      </c>
      <c r="C1977" s="110">
        <v>1.0300671322472537</v>
      </c>
      <c r="G1977" s="90">
        <v>1961</v>
      </c>
      <c r="H1977" s="100">
        <v>-7.0862046433503939E-2</v>
      </c>
      <c r="I1977" s="100">
        <v>-5.7135522257768669E-2</v>
      </c>
    </row>
    <row r="1978" spans="1:9">
      <c r="A1978" s="90">
        <v>1962</v>
      </c>
      <c r="B1978" s="110">
        <v>1.0982996629906598</v>
      </c>
      <c r="C1978" s="110">
        <v>1.0397130809859143</v>
      </c>
      <c r="G1978" s="90">
        <v>1962</v>
      </c>
      <c r="H1978" s="100">
        <v>-5.4818431542780106E-2</v>
      </c>
      <c r="I1978" s="100">
        <v>-5.713446800538078E-2</v>
      </c>
    </row>
    <row r="1979" spans="1:9">
      <c r="A1979" s="90">
        <v>1963</v>
      </c>
      <c r="B1979" s="110">
        <v>1.1126499164285435</v>
      </c>
      <c r="C1979" s="110">
        <v>1.0599867019411746</v>
      </c>
      <c r="G1979" s="90">
        <v>1963</v>
      </c>
      <c r="H1979" s="100">
        <v>-4.848811961293422E-2</v>
      </c>
      <c r="I1979" s="100">
        <v>-5.7134409882382518E-2</v>
      </c>
    </row>
    <row r="1980" spans="1:9">
      <c r="A1980" s="90">
        <v>1964</v>
      </c>
      <c r="B1980" s="110">
        <v>1.0975554396174505</v>
      </c>
      <c r="C1980" s="110">
        <v>1.0438234177291907</v>
      </c>
      <c r="G1980" s="90">
        <v>1964</v>
      </c>
      <c r="H1980" s="100">
        <v>-5.0195044100683817E-2</v>
      </c>
      <c r="I1980" s="100">
        <v>-5.7132849013671549E-2</v>
      </c>
    </row>
    <row r="1981" spans="1:9">
      <c r="A1981" s="90">
        <v>1965</v>
      </c>
      <c r="B1981" s="110">
        <v>1.1068134625395558</v>
      </c>
      <c r="C1981" s="110">
        <v>1.0598110332723936</v>
      </c>
      <c r="G1981" s="90">
        <v>1965</v>
      </c>
      <c r="H1981" s="100">
        <v>-4.3394510602401654E-2</v>
      </c>
      <c r="I1981" s="100">
        <v>-5.712959580870057E-2</v>
      </c>
    </row>
    <row r="1982" spans="1:9">
      <c r="A1982" s="90">
        <v>1966</v>
      </c>
      <c r="B1982" s="110">
        <v>1.1010836742835373</v>
      </c>
      <c r="C1982" s="110">
        <v>1.0809775087372204</v>
      </c>
      <c r="G1982" s="90">
        <v>1966</v>
      </c>
      <c r="H1982" s="100">
        <v>-1.8429120831699987E-2</v>
      </c>
      <c r="I1982" s="100">
        <v>-5.7099801588534844E-2</v>
      </c>
    </row>
    <row r="1983" spans="1:9">
      <c r="A1983" s="90">
        <v>1967</v>
      </c>
      <c r="B1983" s="110">
        <v>1.0938881782295096</v>
      </c>
      <c r="C1983" s="110">
        <v>1.0238256737103339</v>
      </c>
      <c r="G1983" s="90">
        <v>1967</v>
      </c>
      <c r="H1983" s="100">
        <v>-6.6192213483934725E-2</v>
      </c>
      <c r="I1983" s="100">
        <v>-5.7083580065545453E-2</v>
      </c>
    </row>
    <row r="1984" spans="1:9">
      <c r="A1984" s="90">
        <v>1968</v>
      </c>
      <c r="B1984" s="110">
        <v>1.1274169799430513</v>
      </c>
      <c r="C1984" s="110">
        <v>1.055850778122456</v>
      </c>
      <c r="G1984" s="90">
        <v>1968</v>
      </c>
      <c r="H1984" s="100">
        <v>-6.5582291001263449E-2</v>
      </c>
      <c r="I1984" s="100">
        <v>-5.707540320016629E-2</v>
      </c>
    </row>
    <row r="1985" spans="1:9">
      <c r="A1985" s="90">
        <v>1969</v>
      </c>
      <c r="B1985" s="110">
        <v>1.1251323636893977</v>
      </c>
      <c r="C1985" s="110">
        <v>1.0537126929337655</v>
      </c>
      <c r="G1985" s="90">
        <v>1969</v>
      </c>
      <c r="H1985" s="100">
        <v>-6.5580859737067371E-2</v>
      </c>
      <c r="I1985" s="100">
        <v>-5.7064626228452743E-2</v>
      </c>
    </row>
    <row r="1986" spans="1:9">
      <c r="A1986" s="90">
        <v>1970</v>
      </c>
      <c r="B1986" s="110">
        <v>1.1300678428255202</v>
      </c>
      <c r="C1986" s="110">
        <v>1.0403163890210811</v>
      </c>
      <c r="G1986" s="90">
        <v>1970</v>
      </c>
      <c r="H1986" s="100">
        <v>-8.2752781720463658E-2</v>
      </c>
      <c r="I1986" s="100">
        <v>-5.705714679391459E-2</v>
      </c>
    </row>
    <row r="1987" spans="1:9">
      <c r="A1987" s="90">
        <v>1971</v>
      </c>
      <c r="B1987" s="110">
        <v>1.1019538618921147</v>
      </c>
      <c r="C1987" s="110">
        <v>1.0379480401531831</v>
      </c>
      <c r="G1987" s="90">
        <v>1971</v>
      </c>
      <c r="H1987" s="100">
        <v>-5.9839116407861104E-2</v>
      </c>
      <c r="I1987" s="100">
        <v>-5.7055431797599782E-2</v>
      </c>
    </row>
    <row r="1988" spans="1:9">
      <c r="A1988" s="90">
        <v>1972</v>
      </c>
      <c r="B1988" s="110">
        <v>1.0816420090072774</v>
      </c>
      <c r="C1988" s="110">
        <v>1.0291642292509116</v>
      </c>
      <c r="G1988" s="90">
        <v>1972</v>
      </c>
      <c r="H1988" s="100">
        <v>-4.9733220297016233E-2</v>
      </c>
      <c r="I1988" s="100">
        <v>-5.7052489388479996E-2</v>
      </c>
    </row>
    <row r="1989" spans="1:9">
      <c r="A1989" s="90">
        <v>1973</v>
      </c>
      <c r="B1989" s="110">
        <v>1.1078170041651891</v>
      </c>
      <c r="C1989" s="110">
        <v>1.0681111752790802</v>
      </c>
      <c r="G1989" s="90">
        <v>1973</v>
      </c>
      <c r="H1989" s="100">
        <v>-3.6499584165639261E-2</v>
      </c>
      <c r="I1989" s="100">
        <v>-5.7047102159537677E-2</v>
      </c>
    </row>
    <row r="1990" spans="1:9">
      <c r="A1990" s="90">
        <v>1974</v>
      </c>
      <c r="B1990" s="110">
        <v>1.0932391291120671</v>
      </c>
      <c r="C1990" s="110">
        <v>1.0432566674826207</v>
      </c>
      <c r="G1990" s="90">
        <v>1974</v>
      </c>
      <c r="H1990" s="100">
        <v>-4.6797736080257196E-2</v>
      </c>
      <c r="I1990" s="100">
        <v>-5.7004985367949443E-2</v>
      </c>
    </row>
    <row r="1991" spans="1:9">
      <c r="A1991" s="90">
        <v>1975</v>
      </c>
      <c r="B1991" s="110">
        <v>1.1175819085471814</v>
      </c>
      <c r="C1991" s="110">
        <v>1.0149959806243607</v>
      </c>
      <c r="G1991" s="90">
        <v>1975</v>
      </c>
      <c r="H1991" s="100">
        <v>-9.628268854872668E-2</v>
      </c>
      <c r="I1991" s="100">
        <v>-5.7001590856990844E-2</v>
      </c>
    </row>
    <row r="1992" spans="1:9">
      <c r="A1992" s="90">
        <v>1976</v>
      </c>
      <c r="B1992" s="110">
        <v>1.1649748105572788</v>
      </c>
      <c r="C1992" s="110">
        <v>1.0626661253855341</v>
      </c>
      <c r="G1992" s="90">
        <v>1976</v>
      </c>
      <c r="H1992" s="100">
        <v>-9.1918502046099859E-2</v>
      </c>
      <c r="I1992" s="100">
        <v>-5.6982401021238339E-2</v>
      </c>
    </row>
    <row r="1993" spans="1:9">
      <c r="A1993" s="90">
        <v>1977</v>
      </c>
      <c r="B1993" s="110">
        <v>1.137565867851468</v>
      </c>
      <c r="C1993" s="110">
        <v>1.0733574930199989</v>
      </c>
      <c r="G1993" s="90">
        <v>1977</v>
      </c>
      <c r="H1993" s="100">
        <v>-5.8099196310253759E-2</v>
      </c>
      <c r="I1993" s="100">
        <v>-5.6975547201679605E-2</v>
      </c>
    </row>
    <row r="1994" spans="1:9">
      <c r="A1994" s="90">
        <v>1978</v>
      </c>
      <c r="B1994" s="110">
        <v>1.0833355366020916</v>
      </c>
      <c r="C1994" s="110">
        <v>1.0479966867532666</v>
      </c>
      <c r="G1994" s="90">
        <v>1978</v>
      </c>
      <c r="H1994" s="100">
        <v>-3.3164317059136063E-2</v>
      </c>
      <c r="I1994" s="100">
        <v>-5.6953861119718875E-2</v>
      </c>
    </row>
    <row r="1995" spans="1:9">
      <c r="A1995" s="90">
        <v>1979</v>
      </c>
      <c r="B1995" s="110">
        <v>1.092410682480631</v>
      </c>
      <c r="C1995" s="110">
        <v>1.0606985165883416</v>
      </c>
      <c r="G1995" s="90">
        <v>1979</v>
      </c>
      <c r="H1995" s="100">
        <v>-2.9459220472101252E-2</v>
      </c>
      <c r="I1995" s="100">
        <v>-5.6943123626928091E-2</v>
      </c>
    </row>
    <row r="1996" spans="1:9">
      <c r="A1996" s="90">
        <v>1980</v>
      </c>
      <c r="B1996" s="110">
        <v>1.1060770915837659</v>
      </c>
      <c r="C1996" s="110">
        <v>1.0551581191196906</v>
      </c>
      <c r="G1996" s="90">
        <v>1980</v>
      </c>
      <c r="H1996" s="100">
        <v>-4.7128972089873045E-2</v>
      </c>
      <c r="I1996" s="100">
        <v>-5.6938162302951366E-2</v>
      </c>
    </row>
    <row r="1997" spans="1:9">
      <c r="A1997" s="90">
        <v>1981</v>
      </c>
      <c r="B1997" s="110">
        <v>1.1397144779094748</v>
      </c>
      <c r="C1997" s="110">
        <v>1.0701220797397342</v>
      </c>
      <c r="G1997" s="90">
        <v>1981</v>
      </c>
      <c r="H1997" s="100">
        <v>-6.3005037882038969E-2</v>
      </c>
      <c r="I1997" s="100">
        <v>-5.6917609999498721E-2</v>
      </c>
    </row>
    <row r="1998" spans="1:9">
      <c r="A1998" s="90">
        <v>1982</v>
      </c>
      <c r="B1998" s="110">
        <v>1.0984314295140833</v>
      </c>
      <c r="C1998" s="110">
        <v>1.0701785695510746</v>
      </c>
      <c r="G1998" s="90">
        <v>1982</v>
      </c>
      <c r="H1998" s="100">
        <v>-2.6057666987443648E-2</v>
      </c>
      <c r="I1998" s="100">
        <v>-5.6916152274279638E-2</v>
      </c>
    </row>
    <row r="1999" spans="1:9">
      <c r="A1999" s="90">
        <v>1983</v>
      </c>
      <c r="B1999" s="110">
        <v>1.1303436304361982</v>
      </c>
      <c r="C1999" s="110">
        <v>1.0680154493095624</v>
      </c>
      <c r="G1999" s="90">
        <v>1983</v>
      </c>
      <c r="H1999" s="100">
        <v>-5.6719478148020412E-2</v>
      </c>
      <c r="I1999" s="100">
        <v>-5.6911072030372961E-2</v>
      </c>
    </row>
    <row r="2000" spans="1:9">
      <c r="A2000" s="90">
        <v>1984</v>
      </c>
      <c r="B2000" s="110">
        <v>1.1081845870770384</v>
      </c>
      <c r="C2000" s="110">
        <v>1.0524940545252368</v>
      </c>
      <c r="G2000" s="90">
        <v>1984</v>
      </c>
      <c r="H2000" s="100">
        <v>-5.1560531633279907E-2</v>
      </c>
      <c r="I2000" s="100">
        <v>-5.6900127499295662E-2</v>
      </c>
    </row>
    <row r="2001" spans="1:9">
      <c r="A2001" s="90">
        <v>1985</v>
      </c>
      <c r="B2001" s="110">
        <v>1.1099565330228898</v>
      </c>
      <c r="C2001" s="110">
        <v>1.059563167574834</v>
      </c>
      <c r="G2001" s="90">
        <v>1985</v>
      </c>
      <c r="H2001" s="100">
        <v>-4.6464137995195116E-2</v>
      </c>
      <c r="I2001" s="100">
        <v>-5.6878239716793122E-2</v>
      </c>
    </row>
    <row r="2002" spans="1:9">
      <c r="A2002" s="90">
        <v>1986</v>
      </c>
      <c r="B2002" s="110">
        <v>1.0709671676353965</v>
      </c>
      <c r="C2002" s="110">
        <v>1.0326320631227943</v>
      </c>
      <c r="G2002" s="90">
        <v>1986</v>
      </c>
      <c r="H2002" s="100">
        <v>-3.6451191347143683E-2</v>
      </c>
      <c r="I2002" s="100">
        <v>-5.6857268353660687E-2</v>
      </c>
    </row>
    <row r="2003" spans="1:9">
      <c r="A2003" s="90">
        <v>1987</v>
      </c>
      <c r="B2003" s="110">
        <v>1.1072995900229201</v>
      </c>
      <c r="C2003" s="110">
        <v>1.053016879174872</v>
      </c>
      <c r="G2003" s="90">
        <v>1987</v>
      </c>
      <c r="H2003" s="100">
        <v>-5.0264986843397821E-2</v>
      </c>
      <c r="I2003" s="100">
        <v>-5.6846642180955885E-2</v>
      </c>
    </row>
    <row r="2004" spans="1:9">
      <c r="A2004" s="90">
        <v>1988</v>
      </c>
      <c r="B2004" s="110">
        <v>1.1340712449946149</v>
      </c>
      <c r="C2004" s="110">
        <v>1.0523722642488953</v>
      </c>
      <c r="G2004" s="90">
        <v>1988</v>
      </c>
      <c r="H2004" s="100">
        <v>-7.4767114530872758E-2</v>
      </c>
      <c r="I2004" s="100">
        <v>-5.6845880752934307E-2</v>
      </c>
    </row>
    <row r="2005" spans="1:9">
      <c r="A2005" s="90">
        <v>1989</v>
      </c>
      <c r="B2005" s="110">
        <v>1.1148851217703171</v>
      </c>
      <c r="C2005" s="110">
        <v>1.053861989144719</v>
      </c>
      <c r="G2005" s="90">
        <v>1989</v>
      </c>
      <c r="H2005" s="100">
        <v>-5.6289868346372063E-2</v>
      </c>
      <c r="I2005" s="100">
        <v>-5.6830487719535819E-2</v>
      </c>
    </row>
    <row r="2006" spans="1:9">
      <c r="A2006" s="90">
        <v>1990</v>
      </c>
      <c r="B2006" s="110">
        <v>1.1203637460596667</v>
      </c>
      <c r="C2006" s="110">
        <v>1.0627456963286335</v>
      </c>
      <c r="G2006" s="90">
        <v>1990</v>
      </c>
      <c r="H2006" s="100">
        <v>-5.2797567159967439E-2</v>
      </c>
      <c r="I2006" s="100">
        <v>-5.6827080085608404E-2</v>
      </c>
    </row>
    <row r="2007" spans="1:9">
      <c r="A2007" s="90">
        <v>1991</v>
      </c>
      <c r="B2007" s="110">
        <v>1.1226223497775654</v>
      </c>
      <c r="C2007" s="110">
        <v>1.0456131529176935</v>
      </c>
      <c r="G2007" s="90">
        <v>1991</v>
      </c>
      <c r="H2007" s="100">
        <v>-7.1063869718837158E-2</v>
      </c>
      <c r="I2007" s="100">
        <v>-5.6820946864465961E-2</v>
      </c>
    </row>
    <row r="2008" spans="1:9">
      <c r="A2008" s="90">
        <v>1992</v>
      </c>
      <c r="B2008" s="110">
        <v>1.0758578567647374</v>
      </c>
      <c r="C2008" s="110">
        <v>1.0492636508972364</v>
      </c>
      <c r="G2008" s="90">
        <v>1992</v>
      </c>
      <c r="H2008" s="100">
        <v>-2.5029716340270729E-2</v>
      </c>
      <c r="I2008" s="100">
        <v>-5.6817977831759695E-2</v>
      </c>
    </row>
    <row r="2009" spans="1:9">
      <c r="A2009" s="90">
        <v>1993</v>
      </c>
      <c r="B2009" s="110">
        <v>1.1072171577391545</v>
      </c>
      <c r="C2009" s="110">
        <v>1.0580869983570675</v>
      </c>
      <c r="G2009" s="90">
        <v>1993</v>
      </c>
      <c r="H2009" s="100">
        <v>-4.5387243147727886E-2</v>
      </c>
      <c r="I2009" s="100">
        <v>-5.681783022117827E-2</v>
      </c>
    </row>
    <row r="2010" spans="1:9">
      <c r="A2010" s="90">
        <v>1994</v>
      </c>
      <c r="B2010" s="110">
        <v>1.0813653549417039</v>
      </c>
      <c r="C2010" s="110">
        <v>1.0567122935976099</v>
      </c>
      <c r="G2010" s="90">
        <v>1994</v>
      </c>
      <c r="H2010" s="100">
        <v>-2.3061981874945771E-2</v>
      </c>
      <c r="I2010" s="100">
        <v>-5.6803148009064018E-2</v>
      </c>
    </row>
    <row r="2011" spans="1:9">
      <c r="A2011" s="90">
        <v>1995</v>
      </c>
      <c r="B2011" s="110">
        <v>1.127572263285618</v>
      </c>
      <c r="C2011" s="110">
        <v>1.0601469823093912</v>
      </c>
      <c r="G2011" s="90">
        <v>1995</v>
      </c>
      <c r="H2011" s="100">
        <v>-6.1659320879545142E-2</v>
      </c>
      <c r="I2011" s="100">
        <v>-5.6795551984222516E-2</v>
      </c>
    </row>
    <row r="2012" spans="1:9">
      <c r="A2012" s="90">
        <v>1996</v>
      </c>
      <c r="B2012" s="110">
        <v>1.106767405517231</v>
      </c>
      <c r="C2012" s="110">
        <v>1.0560052279718808</v>
      </c>
      <c r="G2012" s="90">
        <v>1996</v>
      </c>
      <c r="H2012" s="100">
        <v>-4.6950383196464558E-2</v>
      </c>
      <c r="I2012" s="100">
        <v>-5.6772967044059E-2</v>
      </c>
    </row>
    <row r="2013" spans="1:9">
      <c r="A2013" s="90">
        <v>1997</v>
      </c>
      <c r="B2013" s="110">
        <v>1.1181110400261214</v>
      </c>
      <c r="C2013" s="110">
        <v>1.0399615692070732</v>
      </c>
      <c r="G2013" s="90">
        <v>1997</v>
      </c>
      <c r="H2013" s="100">
        <v>-7.2456930254005195E-2</v>
      </c>
      <c r="I2013" s="100">
        <v>-5.6760528769092079E-2</v>
      </c>
    </row>
    <row r="2014" spans="1:9">
      <c r="A2014" s="90">
        <v>1998</v>
      </c>
      <c r="B2014" s="110">
        <v>1.104230011210072</v>
      </c>
      <c r="C2014" s="110">
        <v>1.0634812387554662</v>
      </c>
      <c r="G2014" s="90">
        <v>1998</v>
      </c>
      <c r="H2014" s="100">
        <v>-3.7600555177831257E-2</v>
      </c>
      <c r="I2014" s="100">
        <v>-5.6746362318089161E-2</v>
      </c>
    </row>
    <row r="2015" spans="1:9">
      <c r="A2015" s="90">
        <v>1999</v>
      </c>
      <c r="B2015" s="110">
        <v>1.092801759740113</v>
      </c>
      <c r="C2015" s="110">
        <v>1.0540011714315616</v>
      </c>
      <c r="G2015" s="90">
        <v>1999</v>
      </c>
      <c r="H2015" s="100">
        <v>-3.6151258603305335E-2</v>
      </c>
      <c r="I2015" s="100">
        <v>-5.6746300483027576E-2</v>
      </c>
    </row>
    <row r="2016" spans="1:9">
      <c r="A2016" s="90">
        <v>2000</v>
      </c>
      <c r="B2016" s="110">
        <v>1.0876553771752902</v>
      </c>
      <c r="C2016" s="110">
        <v>1.0527203762362707</v>
      </c>
      <c r="G2016" s="90">
        <v>2000</v>
      </c>
      <c r="H2016" s="100">
        <v>-3.2646701084325776E-2</v>
      </c>
      <c r="I2016" s="100">
        <v>-5.6737426217362587E-2</v>
      </c>
    </row>
    <row r="2017" spans="1:9">
      <c r="A2017" s="90">
        <v>2001</v>
      </c>
      <c r="B2017" s="110">
        <v>1.0835427367118813</v>
      </c>
      <c r="C2017" s="110">
        <v>1.0470537919919427</v>
      </c>
      <c r="G2017" s="90">
        <v>2001</v>
      </c>
      <c r="H2017" s="100">
        <v>-3.4255676591410676E-2</v>
      </c>
      <c r="I2017" s="100">
        <v>-5.6731767485683787E-2</v>
      </c>
    </row>
    <row r="2018" spans="1:9">
      <c r="A2018" s="90">
        <v>2002</v>
      </c>
      <c r="B2018" s="110">
        <v>1.1470800575692028</v>
      </c>
      <c r="C2018" s="110">
        <v>1.0511796387017247</v>
      </c>
      <c r="G2018" s="90">
        <v>2002</v>
      </c>
      <c r="H2018" s="100">
        <v>-8.7306634084511031E-2</v>
      </c>
      <c r="I2018" s="100">
        <v>-5.6719478148020412E-2</v>
      </c>
    </row>
    <row r="2019" spans="1:9">
      <c r="A2019" s="90">
        <v>2003</v>
      </c>
      <c r="B2019" s="110">
        <v>1.1238784967258821</v>
      </c>
      <c r="C2019" s="110">
        <v>1.0731578536957933</v>
      </c>
      <c r="G2019" s="90">
        <v>2003</v>
      </c>
      <c r="H2019" s="100">
        <v>-4.6180079453386355E-2</v>
      </c>
      <c r="I2019" s="100">
        <v>-5.6716165466097659E-2</v>
      </c>
    </row>
    <row r="2020" spans="1:9">
      <c r="A2020" s="90">
        <v>2004</v>
      </c>
      <c r="B2020" s="110">
        <v>1.1371288405215609</v>
      </c>
      <c r="C2020" s="110">
        <v>1.0536628690335761</v>
      </c>
      <c r="G2020" s="90">
        <v>2004</v>
      </c>
      <c r="H2020" s="100">
        <v>-7.6233984198926713E-2</v>
      </c>
      <c r="I2020" s="100">
        <v>-5.6711544745157619E-2</v>
      </c>
    </row>
    <row r="2021" spans="1:9">
      <c r="A2021" s="90">
        <v>2005</v>
      </c>
      <c r="B2021" s="110">
        <v>1.1665117974084878</v>
      </c>
      <c r="C2021" s="110">
        <v>1.071456766805762</v>
      </c>
      <c r="G2021" s="90">
        <v>2005</v>
      </c>
      <c r="H2021" s="100">
        <v>-8.4998739111333821E-2</v>
      </c>
      <c r="I2021" s="100">
        <v>-5.6707479879859905E-2</v>
      </c>
    </row>
    <row r="2022" spans="1:9">
      <c r="A2022" s="90">
        <v>2006</v>
      </c>
      <c r="B2022" s="110">
        <v>1.1059180982536054</v>
      </c>
      <c r="C2022" s="110">
        <v>1.0669263325845191</v>
      </c>
      <c r="G2022" s="90">
        <v>2006</v>
      </c>
      <c r="H2022" s="100">
        <v>-3.5893919836584215E-2</v>
      </c>
      <c r="I2022" s="100">
        <v>-5.6699538491568044E-2</v>
      </c>
    </row>
    <row r="2023" spans="1:9">
      <c r="A2023" s="90">
        <v>2007</v>
      </c>
      <c r="B2023" s="110">
        <v>1.0954580120432147</v>
      </c>
      <c r="C2023" s="110">
        <v>1.0561652864869369</v>
      </c>
      <c r="G2023" s="90">
        <v>2007</v>
      </c>
      <c r="H2023" s="100">
        <v>-3.6527857323725509E-2</v>
      </c>
      <c r="I2023" s="100">
        <v>-5.6695446013403018E-2</v>
      </c>
    </row>
    <row r="2024" spans="1:9">
      <c r="A2024" s="90">
        <v>2008</v>
      </c>
      <c r="B2024" s="110">
        <v>1.0910651101954463</v>
      </c>
      <c r="C2024" s="110">
        <v>1.0610720636085496</v>
      </c>
      <c r="G2024" s="90">
        <v>2008</v>
      </c>
      <c r="H2024" s="100">
        <v>-2.7874606656918152E-2</v>
      </c>
      <c r="I2024" s="100">
        <v>-5.6694182260739745E-2</v>
      </c>
    </row>
    <row r="2025" spans="1:9">
      <c r="A2025" s="90">
        <v>2009</v>
      </c>
      <c r="B2025" s="110">
        <v>1.1038705643355327</v>
      </c>
      <c r="C2025" s="110">
        <v>1.0494248457984872</v>
      </c>
      <c r="G2025" s="90">
        <v>2009</v>
      </c>
      <c r="H2025" s="100">
        <v>-5.0580450347094144E-2</v>
      </c>
      <c r="I2025" s="100">
        <v>-5.6692422527813993E-2</v>
      </c>
    </row>
    <row r="2026" spans="1:9">
      <c r="A2026" s="90">
        <v>2010</v>
      </c>
      <c r="B2026" s="110">
        <v>1.1261661727509242</v>
      </c>
      <c r="C2026" s="110">
        <v>1.0635177581650357</v>
      </c>
      <c r="G2026" s="90">
        <v>2010</v>
      </c>
      <c r="H2026" s="100">
        <v>-5.7237043390281267E-2</v>
      </c>
      <c r="I2026" s="100">
        <v>-5.6687777527921042E-2</v>
      </c>
    </row>
    <row r="2027" spans="1:9">
      <c r="A2027" s="90">
        <v>2011</v>
      </c>
      <c r="B2027" s="110">
        <v>1.1125334937778535</v>
      </c>
      <c r="C2027" s="110">
        <v>1.0506004247989997</v>
      </c>
      <c r="G2027" s="90">
        <v>2011</v>
      </c>
      <c r="H2027" s="100">
        <v>-5.7278007494601275E-2</v>
      </c>
      <c r="I2027" s="100">
        <v>-5.6687033959155989E-2</v>
      </c>
    </row>
    <row r="2028" spans="1:9">
      <c r="A2028" s="90">
        <v>2012</v>
      </c>
      <c r="B2028" s="110">
        <v>1.1400546220165271</v>
      </c>
      <c r="C2028" s="110">
        <v>1.0622495454814271</v>
      </c>
      <c r="G2028" s="90">
        <v>2012</v>
      </c>
      <c r="H2028" s="100">
        <v>-7.0687303178320046E-2</v>
      </c>
      <c r="I2028" s="100">
        <v>-5.668415278601574E-2</v>
      </c>
    </row>
    <row r="2029" spans="1:9">
      <c r="A2029" s="90">
        <v>2013</v>
      </c>
      <c r="B2029" s="110">
        <v>1.0863743694387402</v>
      </c>
      <c r="C2029" s="110">
        <v>1.063999537838324</v>
      </c>
      <c r="G2029" s="90">
        <v>2013</v>
      </c>
      <c r="H2029" s="100">
        <v>-2.0810928791550384E-2</v>
      </c>
      <c r="I2029" s="100">
        <v>-5.6677268770846084E-2</v>
      </c>
    </row>
    <row r="2030" spans="1:9">
      <c r="A2030" s="90">
        <v>2014</v>
      </c>
      <c r="B2030" s="110">
        <v>1.1543941036274552</v>
      </c>
      <c r="C2030" s="110">
        <v>1.0827220080143043</v>
      </c>
      <c r="G2030" s="90">
        <v>2014</v>
      </c>
      <c r="H2030" s="100">
        <v>-6.4097372624940946E-2</v>
      </c>
      <c r="I2030" s="100">
        <v>-5.6674192269432495E-2</v>
      </c>
    </row>
    <row r="2031" spans="1:9">
      <c r="A2031" s="90">
        <v>2015</v>
      </c>
      <c r="B2031" s="110">
        <v>1.1275687187430015</v>
      </c>
      <c r="C2031" s="110">
        <v>1.0457471484392391</v>
      </c>
      <c r="G2031" s="90">
        <v>2015</v>
      </c>
      <c r="H2031" s="100">
        <v>-7.5332133897597298E-2</v>
      </c>
      <c r="I2031" s="100">
        <v>-5.6672034149455743E-2</v>
      </c>
    </row>
    <row r="2032" spans="1:9">
      <c r="A2032" s="90">
        <v>2016</v>
      </c>
      <c r="B2032" s="110">
        <v>1.0572261285330489</v>
      </c>
      <c r="C2032" s="110">
        <v>1.0515919148090651</v>
      </c>
      <c r="G2032" s="90">
        <v>2016</v>
      </c>
      <c r="H2032" s="100">
        <v>-5.3434929086161884E-3</v>
      </c>
      <c r="I2032" s="100">
        <v>-5.6659139583184595E-2</v>
      </c>
    </row>
    <row r="2033" spans="1:9">
      <c r="A2033" s="90">
        <v>2017</v>
      </c>
      <c r="B2033" s="110">
        <v>1.1166007367750492</v>
      </c>
      <c r="C2033" s="110">
        <v>1.0470523483914904</v>
      </c>
      <c r="G2033" s="90">
        <v>2017</v>
      </c>
      <c r="H2033" s="100">
        <v>-6.4310084629635209E-2</v>
      </c>
      <c r="I2033" s="100">
        <v>-5.6656882309283854E-2</v>
      </c>
    </row>
    <row r="2034" spans="1:9">
      <c r="A2034" s="90">
        <v>2018</v>
      </c>
      <c r="B2034" s="110">
        <v>1.1206542486182824</v>
      </c>
      <c r="C2034" s="110">
        <v>1.0658743025230615</v>
      </c>
      <c r="G2034" s="90">
        <v>2018</v>
      </c>
      <c r="H2034" s="100">
        <v>-5.0117261599954693E-2</v>
      </c>
      <c r="I2034" s="100">
        <v>-5.6651409068385922E-2</v>
      </c>
    </row>
    <row r="2035" spans="1:9">
      <c r="A2035" s="90">
        <v>2019</v>
      </c>
      <c r="B2035" s="110">
        <v>1.094786743427548</v>
      </c>
      <c r="C2035" s="110">
        <v>1.0623580595568149</v>
      </c>
      <c r="G2035" s="90">
        <v>2019</v>
      </c>
      <c r="H2035" s="100">
        <v>-3.0068567553575818E-2</v>
      </c>
      <c r="I2035" s="100">
        <v>-5.6640124734167761E-2</v>
      </c>
    </row>
    <row r="2036" spans="1:9">
      <c r="A2036" s="90">
        <v>2020</v>
      </c>
      <c r="B2036" s="110">
        <v>1.106086623986466</v>
      </c>
      <c r="C2036" s="110">
        <v>1.0894759065674469</v>
      </c>
      <c r="G2036" s="90">
        <v>2020</v>
      </c>
      <c r="H2036" s="100">
        <v>-1.5131460954240819E-2</v>
      </c>
      <c r="I2036" s="100">
        <v>-5.6603046280625124E-2</v>
      </c>
    </row>
    <row r="2037" spans="1:9">
      <c r="A2037" s="90">
        <v>2021</v>
      </c>
      <c r="B2037" s="110">
        <v>1.1102779808708292</v>
      </c>
      <c r="C2037" s="110">
        <v>1.0504801195291014</v>
      </c>
      <c r="G2037" s="90">
        <v>2021</v>
      </c>
      <c r="H2037" s="100">
        <v>-5.5363100834213065E-2</v>
      </c>
      <c r="I2037" s="100">
        <v>-5.657378219067237E-2</v>
      </c>
    </row>
    <row r="2038" spans="1:9">
      <c r="A2038" s="90">
        <v>2022</v>
      </c>
      <c r="B2038" s="110">
        <v>1.1046549175233755</v>
      </c>
      <c r="C2038" s="110">
        <v>1.0444046969268284</v>
      </c>
      <c r="G2038" s="90">
        <v>2022</v>
      </c>
      <c r="H2038" s="100">
        <v>-5.608593928071938E-2</v>
      </c>
      <c r="I2038" s="100">
        <v>-5.6557240305969342E-2</v>
      </c>
    </row>
    <row r="2039" spans="1:9">
      <c r="A2039" s="90">
        <v>2023</v>
      </c>
      <c r="B2039" s="110">
        <v>1.0933033974657143</v>
      </c>
      <c r="C2039" s="110">
        <v>1.051395925875841</v>
      </c>
      <c r="G2039" s="90">
        <v>2023</v>
      </c>
      <c r="H2039" s="100">
        <v>-3.9085018542310335E-2</v>
      </c>
      <c r="I2039" s="100">
        <v>-5.6537918247609308E-2</v>
      </c>
    </row>
    <row r="2040" spans="1:9">
      <c r="A2040" s="90">
        <v>2024</v>
      </c>
      <c r="B2040" s="110">
        <v>1.0957892426177165</v>
      </c>
      <c r="C2040" s="110">
        <v>1.060180649845156</v>
      </c>
      <c r="G2040" s="90">
        <v>2024</v>
      </c>
      <c r="H2040" s="100">
        <v>-3.3035555167149136E-2</v>
      </c>
      <c r="I2040" s="100">
        <v>-5.6523937837376463E-2</v>
      </c>
    </row>
    <row r="2041" spans="1:9">
      <c r="A2041" s="90">
        <v>2025</v>
      </c>
      <c r="B2041" s="110">
        <v>1.1257085499042614</v>
      </c>
      <c r="C2041" s="110">
        <v>1.0552451564867362</v>
      </c>
      <c r="G2041" s="90">
        <v>2025</v>
      </c>
      <c r="H2041" s="100">
        <v>-6.4639543789018372E-2</v>
      </c>
      <c r="I2041" s="100">
        <v>-5.6515633555737271E-2</v>
      </c>
    </row>
    <row r="2042" spans="1:9">
      <c r="A2042" s="90">
        <v>2026</v>
      </c>
      <c r="B2042" s="110">
        <v>1.085691361747277</v>
      </c>
      <c r="C2042" s="110">
        <v>1.0509840300597544</v>
      </c>
      <c r="G2042" s="90">
        <v>2026</v>
      </c>
      <c r="H2042" s="100">
        <v>-3.249008705003243E-2</v>
      </c>
      <c r="I2042" s="100">
        <v>-5.6508420713582808E-2</v>
      </c>
    </row>
    <row r="2043" spans="1:9">
      <c r="A2043" s="90">
        <v>2027</v>
      </c>
      <c r="B2043" s="110">
        <v>1.1347784646465175</v>
      </c>
      <c r="C2043" s="110">
        <v>1.0798710116849597</v>
      </c>
      <c r="G2043" s="90">
        <v>2027</v>
      </c>
      <c r="H2043" s="100">
        <v>-4.9595846170437372E-2</v>
      </c>
      <c r="I2043" s="100">
        <v>-5.650228246703598E-2</v>
      </c>
    </row>
    <row r="2044" spans="1:9">
      <c r="A2044" s="90">
        <v>2028</v>
      </c>
      <c r="B2044" s="110">
        <v>1.1466304604389277</v>
      </c>
      <c r="C2044" s="110">
        <v>1.0435554388734571</v>
      </c>
      <c r="G2044" s="90">
        <v>2028</v>
      </c>
      <c r="H2044" s="100">
        <v>-9.419403308262754E-2</v>
      </c>
      <c r="I2044" s="100">
        <v>-5.6489240298219619E-2</v>
      </c>
    </row>
    <row r="2045" spans="1:9">
      <c r="A2045" s="90">
        <v>2029</v>
      </c>
      <c r="B2045" s="110">
        <v>1.120286344786646</v>
      </c>
      <c r="C2045" s="110">
        <v>1.0459654663577456</v>
      </c>
      <c r="G2045" s="90">
        <v>2029</v>
      </c>
      <c r="H2045" s="100">
        <v>-6.8643967474984913E-2</v>
      </c>
      <c r="I2045" s="100">
        <v>-5.6483481067960646E-2</v>
      </c>
    </row>
    <row r="2046" spans="1:9">
      <c r="A2046" s="90">
        <v>2030</v>
      </c>
      <c r="B2046" s="110">
        <v>1.0797987545519045</v>
      </c>
      <c r="C2046" s="110">
        <v>1.0583398199969072</v>
      </c>
      <c r="G2046" s="90">
        <v>2030</v>
      </c>
      <c r="H2046" s="100">
        <v>-2.0073212606411477E-2</v>
      </c>
      <c r="I2046" s="100">
        <v>-5.6481893442391302E-2</v>
      </c>
    </row>
    <row r="2047" spans="1:9">
      <c r="A2047" s="90">
        <v>2031</v>
      </c>
      <c r="B2047" s="110">
        <v>1.0884188878889136</v>
      </c>
      <c r="C2047" s="110">
        <v>1.0814541096086265</v>
      </c>
      <c r="G2047" s="90">
        <v>2031</v>
      </c>
      <c r="H2047" s="100">
        <v>-6.419548247165164E-3</v>
      </c>
      <c r="I2047" s="100">
        <v>-5.6462812242931461E-2</v>
      </c>
    </row>
    <row r="2048" spans="1:9">
      <c r="A2048" s="90">
        <v>2032</v>
      </c>
      <c r="B2048" s="110">
        <v>1.120012849305954</v>
      </c>
      <c r="C2048" s="110">
        <v>1.0690561367054918</v>
      </c>
      <c r="G2048" s="90">
        <v>2032</v>
      </c>
      <c r="H2048" s="100">
        <v>-4.656401388308179E-2</v>
      </c>
      <c r="I2048" s="100">
        <v>-5.6460552020470713E-2</v>
      </c>
    </row>
    <row r="2049" spans="1:9">
      <c r="A2049" s="90">
        <v>2033</v>
      </c>
      <c r="B2049" s="110">
        <v>1.1143523387145624</v>
      </c>
      <c r="C2049" s="110">
        <v>1.0510082764780455</v>
      </c>
      <c r="G2049" s="90">
        <v>2033</v>
      </c>
      <c r="H2049" s="100">
        <v>-5.8523407282923413E-2</v>
      </c>
      <c r="I2049" s="100">
        <v>-5.6431171427985781E-2</v>
      </c>
    </row>
    <row r="2050" spans="1:9">
      <c r="A2050" s="90">
        <v>2034</v>
      </c>
      <c r="B2050" s="110">
        <v>1.1171268080667232</v>
      </c>
      <c r="C2050" s="110">
        <v>1.0399623301249628</v>
      </c>
      <c r="G2050" s="90">
        <v>2034</v>
      </c>
      <c r="H2050" s="100">
        <v>-7.1575547754435101E-2</v>
      </c>
      <c r="I2050" s="100">
        <v>-5.6423429985073083E-2</v>
      </c>
    </row>
    <row r="2051" spans="1:9">
      <c r="A2051" s="90">
        <v>2035</v>
      </c>
      <c r="B2051" s="110">
        <v>1.0817946579112119</v>
      </c>
      <c r="C2051" s="110">
        <v>1.0521309999472417</v>
      </c>
      <c r="G2051" s="90">
        <v>2035</v>
      </c>
      <c r="H2051" s="100">
        <v>-2.7803751067092368E-2</v>
      </c>
      <c r="I2051" s="100">
        <v>-5.6418479718086396E-2</v>
      </c>
    </row>
    <row r="2052" spans="1:9">
      <c r="A2052" s="90">
        <v>2036</v>
      </c>
      <c r="B2052" s="110">
        <v>1.0908477412561535</v>
      </c>
      <c r="C2052" s="110">
        <v>1.0602453024695697</v>
      </c>
      <c r="G2052" s="90">
        <v>2036</v>
      </c>
      <c r="H2052" s="100">
        <v>-2.8454839451184436E-2</v>
      </c>
      <c r="I2052" s="100">
        <v>-5.6414216309433364E-2</v>
      </c>
    </row>
    <row r="2053" spans="1:9">
      <c r="A2053" s="90">
        <v>2037</v>
      </c>
      <c r="B2053" s="110">
        <v>1.1013003021738026</v>
      </c>
      <c r="C2053" s="110">
        <v>1.072915470195158</v>
      </c>
      <c r="G2053" s="90">
        <v>2037</v>
      </c>
      <c r="H2053" s="100">
        <v>-2.6111892964647505E-2</v>
      </c>
      <c r="I2053" s="100">
        <v>-5.6409932760963372E-2</v>
      </c>
    </row>
    <row r="2054" spans="1:9">
      <c r="A2054" s="90">
        <v>2038</v>
      </c>
      <c r="B2054" s="110">
        <v>1.1273407166246547</v>
      </c>
      <c r="C2054" s="110">
        <v>1.0576139206386246</v>
      </c>
      <c r="G2054" s="90">
        <v>2038</v>
      </c>
      <c r="H2054" s="100">
        <v>-6.3846158620182128E-2</v>
      </c>
      <c r="I2054" s="100">
        <v>-5.6401141414263424E-2</v>
      </c>
    </row>
    <row r="2055" spans="1:9">
      <c r="A2055" s="90">
        <v>2039</v>
      </c>
      <c r="B2055" s="110">
        <v>1.1111251366834902</v>
      </c>
      <c r="C2055" s="110">
        <v>1.0458447440086525</v>
      </c>
      <c r="G2055" s="90">
        <v>2039</v>
      </c>
      <c r="H2055" s="100">
        <v>-6.0548212257142749E-2</v>
      </c>
      <c r="I2055" s="100">
        <v>-5.639308580103377E-2</v>
      </c>
    </row>
    <row r="2056" spans="1:9">
      <c r="A2056" s="90">
        <v>2040</v>
      </c>
      <c r="B2056" s="110">
        <v>1.1024937664226084</v>
      </c>
      <c r="C2056" s="110">
        <v>1.0667994250347281</v>
      </c>
      <c r="G2056" s="90">
        <v>2040</v>
      </c>
      <c r="H2056" s="100">
        <v>-3.2911699921424571E-2</v>
      </c>
      <c r="I2056" s="100">
        <v>-5.6392092682859961E-2</v>
      </c>
    </row>
    <row r="2057" spans="1:9">
      <c r="A2057" s="90">
        <v>2041</v>
      </c>
      <c r="B2057" s="110">
        <v>1.0953707591692858</v>
      </c>
      <c r="C2057" s="110">
        <v>1.0484941390482383</v>
      </c>
      <c r="G2057" s="90">
        <v>2041</v>
      </c>
      <c r="H2057" s="100">
        <v>-4.3737917307602646E-2</v>
      </c>
      <c r="I2057" s="100">
        <v>-5.6388001051815261E-2</v>
      </c>
    </row>
    <row r="2058" spans="1:9">
      <c r="A2058" s="90">
        <v>2042</v>
      </c>
      <c r="B2058" s="110">
        <v>1.1184143969486768</v>
      </c>
      <c r="C2058" s="110">
        <v>1.0571702792919322</v>
      </c>
      <c r="G2058" s="90">
        <v>2042</v>
      </c>
      <c r="H2058" s="100">
        <v>-5.6316174533617556E-2</v>
      </c>
      <c r="I2058" s="100">
        <v>-5.6386381053216569E-2</v>
      </c>
    </row>
    <row r="2059" spans="1:9">
      <c r="A2059" s="90">
        <v>2043</v>
      </c>
      <c r="B2059" s="110">
        <v>1.1210671308070703</v>
      </c>
      <c r="C2059" s="110">
        <v>1.0627079915400277</v>
      </c>
      <c r="G2059" s="90">
        <v>2043</v>
      </c>
      <c r="H2059" s="100">
        <v>-5.3460667646933378E-2</v>
      </c>
      <c r="I2059" s="100">
        <v>-5.6379914076943517E-2</v>
      </c>
    </row>
    <row r="2060" spans="1:9">
      <c r="A2060" s="90">
        <v>2044</v>
      </c>
      <c r="B2060" s="110">
        <v>1.0949276457309813</v>
      </c>
      <c r="C2060" s="110">
        <v>1.0455884435322473</v>
      </c>
      <c r="G2060" s="90">
        <v>2044</v>
      </c>
      <c r="H2060" s="100">
        <v>-4.6108453335379072E-2</v>
      </c>
      <c r="I2060" s="100">
        <v>-5.6316174533617556E-2</v>
      </c>
    </row>
    <row r="2061" spans="1:9">
      <c r="A2061" s="90">
        <v>2045</v>
      </c>
      <c r="B2061" s="110">
        <v>1.1037437884580692</v>
      </c>
      <c r="C2061" s="110">
        <v>1.0489961052758909</v>
      </c>
      <c r="G2061" s="90">
        <v>2045</v>
      </c>
      <c r="H2061" s="100">
        <v>-5.0874228638924567E-2</v>
      </c>
      <c r="I2061" s="100">
        <v>-5.6307535743947416E-2</v>
      </c>
    </row>
    <row r="2062" spans="1:9">
      <c r="A2062" s="90">
        <v>2046</v>
      </c>
      <c r="B2062" s="110">
        <v>1.1422527883758904</v>
      </c>
      <c r="C2062" s="110">
        <v>1.0539063226097629</v>
      </c>
      <c r="G2062" s="90">
        <v>2046</v>
      </c>
      <c r="H2062" s="100">
        <v>-8.0498874394079517E-2</v>
      </c>
      <c r="I2062" s="100">
        <v>-5.6289868346372063E-2</v>
      </c>
    </row>
    <row r="2063" spans="1:9">
      <c r="A2063" s="90">
        <v>2047</v>
      </c>
      <c r="B2063" s="110">
        <v>1.0940763656091144</v>
      </c>
      <c r="C2063" s="110">
        <v>1.0325179125442974</v>
      </c>
      <c r="G2063" s="90">
        <v>2047</v>
      </c>
      <c r="H2063" s="100">
        <v>-5.7910111180123118E-2</v>
      </c>
      <c r="I2063" s="100">
        <v>-5.6270504189173877E-2</v>
      </c>
    </row>
    <row r="2064" spans="1:9">
      <c r="A2064" s="90">
        <v>2048</v>
      </c>
      <c r="B2064" s="110">
        <v>1.1328982507590069</v>
      </c>
      <c r="C2064" s="110">
        <v>1.0509072894003366</v>
      </c>
      <c r="G2064" s="90">
        <v>2048</v>
      </c>
      <c r="H2064" s="100">
        <v>-7.5125296651853593E-2</v>
      </c>
      <c r="I2064" s="100">
        <v>-5.626469869964483E-2</v>
      </c>
    </row>
    <row r="2065" spans="1:9">
      <c r="A2065" s="90">
        <v>2049</v>
      </c>
      <c r="B2065" s="110">
        <v>1.1195675478349449</v>
      </c>
      <c r="C2065" s="110">
        <v>1.0715594135809028</v>
      </c>
      <c r="G2065" s="90">
        <v>2049</v>
      </c>
      <c r="H2065" s="100">
        <v>-4.3827509366571482E-2</v>
      </c>
      <c r="I2065" s="100">
        <v>-5.6239318822478367E-2</v>
      </c>
    </row>
    <row r="2066" spans="1:9">
      <c r="A2066" s="90">
        <v>2050</v>
      </c>
      <c r="B2066" s="110">
        <v>1.1267992284837871</v>
      </c>
      <c r="C2066" s="110">
        <v>1.069016350783125</v>
      </c>
      <c r="G2066" s="90">
        <v>2050</v>
      </c>
      <c r="H2066" s="100">
        <v>-5.264214499674566E-2</v>
      </c>
      <c r="I2066" s="100">
        <v>-5.6185378807406851E-2</v>
      </c>
    </row>
    <row r="2067" spans="1:9">
      <c r="A2067" s="90">
        <v>2051</v>
      </c>
      <c r="B2067" s="110">
        <v>1.0978273489687256</v>
      </c>
      <c r="C2067" s="110">
        <v>1.0542328265901095</v>
      </c>
      <c r="G2067" s="90">
        <v>2051</v>
      </c>
      <c r="H2067" s="100">
        <v>-4.0519765529366973E-2</v>
      </c>
      <c r="I2067" s="100">
        <v>-5.6185299946891941E-2</v>
      </c>
    </row>
    <row r="2068" spans="1:9">
      <c r="A2068" s="90">
        <v>2052</v>
      </c>
      <c r="B2068" s="110">
        <v>1.1164326640287581</v>
      </c>
      <c r="C2068" s="110">
        <v>1.0643283054069164</v>
      </c>
      <c r="G2068" s="90">
        <v>2052</v>
      </c>
      <c r="H2068" s="100">
        <v>-4.7794579569541133E-2</v>
      </c>
      <c r="I2068" s="100">
        <v>-5.6184248243127899E-2</v>
      </c>
    </row>
    <row r="2069" spans="1:9">
      <c r="A2069" s="90">
        <v>2053</v>
      </c>
      <c r="B2069" s="110">
        <v>1.112763926442194</v>
      </c>
      <c r="C2069" s="110">
        <v>1.0710950891321438</v>
      </c>
      <c r="G2069" s="90">
        <v>2053</v>
      </c>
      <c r="H2069" s="100">
        <v>-3.816537127812189E-2</v>
      </c>
      <c r="I2069" s="100">
        <v>-5.6172128010827195E-2</v>
      </c>
    </row>
    <row r="2070" spans="1:9">
      <c r="A2070" s="90">
        <v>2054</v>
      </c>
      <c r="B2070" s="110">
        <v>1.1177324169184051</v>
      </c>
      <c r="C2070" s="110">
        <v>1.055661511284042</v>
      </c>
      <c r="G2070" s="90">
        <v>2054</v>
      </c>
      <c r="H2070" s="100">
        <v>-5.7134409882382518E-2</v>
      </c>
      <c r="I2070" s="100">
        <v>-5.617160672355942E-2</v>
      </c>
    </row>
    <row r="2071" spans="1:9">
      <c r="A2071" s="90">
        <v>2055</v>
      </c>
      <c r="B2071" s="110">
        <v>1.0952110852151016</v>
      </c>
      <c r="C2071" s="110">
        <v>1.0365659036774595</v>
      </c>
      <c r="G2071" s="90">
        <v>2055</v>
      </c>
      <c r="H2071" s="100">
        <v>-5.5033882802346196E-2</v>
      </c>
      <c r="I2071" s="100">
        <v>-5.6170232052843216E-2</v>
      </c>
    </row>
    <row r="2072" spans="1:9">
      <c r="A2072" s="90">
        <v>2056</v>
      </c>
      <c r="B2072" s="110">
        <v>1.1515838203794395</v>
      </c>
      <c r="C2072" s="110">
        <v>1.0562138915031365</v>
      </c>
      <c r="G2072" s="90">
        <v>2056</v>
      </c>
      <c r="H2072" s="100">
        <v>-8.6447516423561466E-2</v>
      </c>
      <c r="I2072" s="100">
        <v>-5.615710563440398E-2</v>
      </c>
    </row>
    <row r="2073" spans="1:9">
      <c r="A2073" s="90">
        <v>2057</v>
      </c>
      <c r="B2073" s="110">
        <v>1.1115121999723201</v>
      </c>
      <c r="C2073" s="110">
        <v>1.0648689447758679</v>
      </c>
      <c r="G2073" s="90">
        <v>2057</v>
      </c>
      <c r="H2073" s="100">
        <v>-4.2869695454488994E-2</v>
      </c>
      <c r="I2073" s="100">
        <v>-5.6150131704805588E-2</v>
      </c>
    </row>
    <row r="2074" spans="1:9">
      <c r="A2074" s="90">
        <v>2058</v>
      </c>
      <c r="B2074" s="110">
        <v>1.1207418216855574</v>
      </c>
      <c r="C2074" s="110">
        <v>1.0399081433026445</v>
      </c>
      <c r="G2074" s="90">
        <v>2058</v>
      </c>
      <c r="H2074" s="100">
        <v>-7.4858421341772882E-2</v>
      </c>
      <c r="I2074" s="100">
        <v>-5.6126808189569777E-2</v>
      </c>
    </row>
    <row r="2075" spans="1:9">
      <c r="A2075" s="90">
        <v>2059</v>
      </c>
      <c r="B2075" s="110">
        <v>1.1176875534113631</v>
      </c>
      <c r="C2075" s="110">
        <v>1.0617737047628084</v>
      </c>
      <c r="G2075" s="90">
        <v>2059</v>
      </c>
      <c r="H2075" s="100">
        <v>-5.1321050366869125E-2</v>
      </c>
      <c r="I2075" s="100">
        <v>-5.612219887951396E-2</v>
      </c>
    </row>
    <row r="2076" spans="1:9">
      <c r="A2076" s="90">
        <v>2060</v>
      </c>
      <c r="B2076" s="110">
        <v>1.0832650879770138</v>
      </c>
      <c r="C2076" s="110">
        <v>1.0571538340506221</v>
      </c>
      <c r="G2076" s="90">
        <v>2060</v>
      </c>
      <c r="H2076" s="100">
        <v>-2.4399475313396136E-2</v>
      </c>
      <c r="I2076" s="100">
        <v>-5.6116917457264152E-2</v>
      </c>
    </row>
    <row r="2077" spans="1:9">
      <c r="A2077" s="90">
        <v>2061</v>
      </c>
      <c r="B2077" s="110">
        <v>1.1305480744010952</v>
      </c>
      <c r="C2077" s="110">
        <v>1.0522297268838372</v>
      </c>
      <c r="G2077" s="90">
        <v>2061</v>
      </c>
      <c r="H2077" s="100">
        <v>-7.1791074694682919E-2</v>
      </c>
      <c r="I2077" s="100">
        <v>-5.6111359879918783E-2</v>
      </c>
    </row>
    <row r="2078" spans="1:9">
      <c r="A2078" s="90">
        <v>2062</v>
      </c>
      <c r="B2078" s="110">
        <v>1.111841889547625</v>
      </c>
      <c r="C2078" s="110">
        <v>1.0383304204178052</v>
      </c>
      <c r="G2078" s="90">
        <v>2062</v>
      </c>
      <c r="H2078" s="100">
        <v>-6.840394186917978E-2</v>
      </c>
      <c r="I2078" s="100">
        <v>-5.608593928071938E-2</v>
      </c>
    </row>
    <row r="2079" spans="1:9">
      <c r="A2079" s="90">
        <v>2063</v>
      </c>
      <c r="B2079" s="110">
        <v>1.1342200768061592</v>
      </c>
      <c r="C2079" s="110">
        <v>1.04810265759229</v>
      </c>
      <c r="G2079" s="90">
        <v>2063</v>
      </c>
      <c r="H2079" s="100">
        <v>-7.8963720914469557E-2</v>
      </c>
      <c r="I2079" s="100">
        <v>-5.6063286359526864E-2</v>
      </c>
    </row>
    <row r="2080" spans="1:9">
      <c r="A2080" s="90">
        <v>2064</v>
      </c>
      <c r="B2080" s="110">
        <v>1.1513360148178686</v>
      </c>
      <c r="C2080" s="110">
        <v>1.050967195677208</v>
      </c>
      <c r="G2080" s="90">
        <v>2064</v>
      </c>
      <c r="H2080" s="100">
        <v>-9.1212141157340082E-2</v>
      </c>
      <c r="I2080" s="100">
        <v>-5.6040160647133727E-2</v>
      </c>
    </row>
    <row r="2081" spans="1:9">
      <c r="A2081" s="90">
        <v>2065</v>
      </c>
      <c r="B2081" s="110">
        <v>1.0946063179378398</v>
      </c>
      <c r="C2081" s="110">
        <v>1.0469906149679533</v>
      </c>
      <c r="G2081" s="90">
        <v>2065</v>
      </c>
      <c r="H2081" s="100">
        <v>-4.447480351394064E-2</v>
      </c>
      <c r="I2081" s="100">
        <v>-5.6038695276858091E-2</v>
      </c>
    </row>
    <row r="2082" spans="1:9">
      <c r="A2082" s="90">
        <v>2066</v>
      </c>
      <c r="B2082" s="110">
        <v>1.1273985276947067</v>
      </c>
      <c r="C2082" s="110">
        <v>1.0418545789043394</v>
      </c>
      <c r="G2082" s="90">
        <v>2066</v>
      </c>
      <c r="H2082" s="100">
        <v>-7.891041673558763E-2</v>
      </c>
      <c r="I2082" s="100">
        <v>-5.6031610482920637E-2</v>
      </c>
    </row>
    <row r="2083" spans="1:9">
      <c r="A2083" s="90">
        <v>2067</v>
      </c>
      <c r="B2083" s="110">
        <v>1.1437500443990194</v>
      </c>
      <c r="C2083" s="110">
        <v>1.0530648105075302</v>
      </c>
      <c r="G2083" s="90">
        <v>2067</v>
      </c>
      <c r="H2083" s="100">
        <v>-8.2607596728397556E-2</v>
      </c>
      <c r="I2083" s="100">
        <v>-5.601626446126802E-2</v>
      </c>
    </row>
    <row r="2084" spans="1:9">
      <c r="A2084" s="90">
        <v>2068</v>
      </c>
      <c r="B2084" s="110">
        <v>1.1017368813151145</v>
      </c>
      <c r="C2084" s="110">
        <v>1.0583810298529814</v>
      </c>
      <c r="G2084" s="90">
        <v>2068</v>
      </c>
      <c r="H2084" s="100">
        <v>-4.0147507296415155E-2</v>
      </c>
      <c r="I2084" s="100">
        <v>-5.6012976847610085E-2</v>
      </c>
    </row>
    <row r="2085" spans="1:9">
      <c r="A2085" s="90">
        <v>2069</v>
      </c>
      <c r="B2085" s="110">
        <v>1.1071993923043459</v>
      </c>
      <c r="C2085" s="110">
        <v>1.0603570034493479</v>
      </c>
      <c r="G2085" s="90">
        <v>2069</v>
      </c>
      <c r="H2085" s="100">
        <v>-4.3228109895083557E-2</v>
      </c>
      <c r="I2085" s="100">
        <v>-5.6011661062173208E-2</v>
      </c>
    </row>
    <row r="2086" spans="1:9">
      <c r="A2086" s="90">
        <v>2070</v>
      </c>
      <c r="B2086" s="110">
        <v>1.0934972733863031</v>
      </c>
      <c r="C2086" s="110">
        <v>1.0604601415427153</v>
      </c>
      <c r="G2086" s="90">
        <v>2070</v>
      </c>
      <c r="H2086" s="100">
        <v>-3.0678157931019818E-2</v>
      </c>
      <c r="I2086" s="100">
        <v>-5.6006112618849295E-2</v>
      </c>
    </row>
    <row r="2087" spans="1:9">
      <c r="A2087" s="90">
        <v>2071</v>
      </c>
      <c r="B2087" s="110">
        <v>1.104550817003479</v>
      </c>
      <c r="C2087" s="110">
        <v>1.0516522201908507</v>
      </c>
      <c r="G2087" s="90">
        <v>2071</v>
      </c>
      <c r="H2087" s="100">
        <v>-4.9076281389994661E-2</v>
      </c>
      <c r="I2087" s="100">
        <v>-5.6003993885321089E-2</v>
      </c>
    </row>
    <row r="2088" spans="1:9">
      <c r="A2088" s="90">
        <v>2072</v>
      </c>
      <c r="B2088" s="110">
        <v>1.1134647774932314</v>
      </c>
      <c r="C2088" s="110">
        <v>1.0474679352883005</v>
      </c>
      <c r="G2088" s="90">
        <v>2072</v>
      </c>
      <c r="H2088" s="100">
        <v>-6.1100813325868447E-2</v>
      </c>
      <c r="I2088" s="100">
        <v>-5.5990270537782945E-2</v>
      </c>
    </row>
    <row r="2089" spans="1:9">
      <c r="A2089" s="90">
        <v>2073</v>
      </c>
      <c r="B2089" s="110">
        <v>1.124514104672204</v>
      </c>
      <c r="C2089" s="110">
        <v>1.0618162843064951</v>
      </c>
      <c r="G2089" s="90">
        <v>2073</v>
      </c>
      <c r="H2089" s="100">
        <v>-5.7370117839669402E-2</v>
      </c>
      <c r="I2089" s="100">
        <v>-5.598624280810021E-2</v>
      </c>
    </row>
    <row r="2090" spans="1:9">
      <c r="A2090" s="90">
        <v>2074</v>
      </c>
      <c r="B2090" s="110">
        <v>1.0918797354352197</v>
      </c>
      <c r="C2090" s="110">
        <v>1.0488992718058328</v>
      </c>
      <c r="G2090" s="90">
        <v>2074</v>
      </c>
      <c r="H2090" s="100">
        <v>-4.0159437132746091E-2</v>
      </c>
      <c r="I2090" s="100">
        <v>-5.5984419112629469E-2</v>
      </c>
    </row>
    <row r="2091" spans="1:9">
      <c r="A2091" s="90">
        <v>2075</v>
      </c>
      <c r="B2091" s="110">
        <v>1.1057298757804486</v>
      </c>
      <c r="C2091" s="110">
        <v>1.0702089412914833</v>
      </c>
      <c r="G2091" s="90">
        <v>2075</v>
      </c>
      <c r="H2091" s="100">
        <v>-3.2651736344261557E-2</v>
      </c>
      <c r="I2091" s="100">
        <v>-5.598185169482639E-2</v>
      </c>
    </row>
    <row r="2092" spans="1:9">
      <c r="A2092" s="90">
        <v>2076</v>
      </c>
      <c r="B2092" s="110">
        <v>1.1006402826386319</v>
      </c>
      <c r="C2092" s="110">
        <v>1.0640875607012028</v>
      </c>
      <c r="G2092" s="90">
        <v>2076</v>
      </c>
      <c r="H2092" s="100">
        <v>-3.377440416473295E-2</v>
      </c>
      <c r="I2092" s="100">
        <v>-5.5974026267180794E-2</v>
      </c>
    </row>
    <row r="2093" spans="1:9">
      <c r="A2093" s="90">
        <v>2077</v>
      </c>
      <c r="B2093" s="110">
        <v>1.1566351162361974</v>
      </c>
      <c r="C2093" s="110">
        <v>1.0699525902264402</v>
      </c>
      <c r="G2093" s="90">
        <v>2077</v>
      </c>
      <c r="H2093" s="100">
        <v>-7.79006885968202E-2</v>
      </c>
      <c r="I2093" s="100">
        <v>-5.5967060111025313E-2</v>
      </c>
    </row>
    <row r="2094" spans="1:9">
      <c r="A2094" s="90">
        <v>2078</v>
      </c>
      <c r="B2094" s="110">
        <v>1.1122821515257451</v>
      </c>
      <c r="C2094" s="110">
        <v>1.0505673136389835</v>
      </c>
      <c r="G2094" s="90">
        <v>2078</v>
      </c>
      <c r="H2094" s="100">
        <v>-5.7083580065545453E-2</v>
      </c>
      <c r="I2094" s="100">
        <v>-5.5966767952483121E-2</v>
      </c>
    </row>
    <row r="2095" spans="1:9">
      <c r="A2095" s="90">
        <v>2079</v>
      </c>
      <c r="B2095" s="110">
        <v>1.117450920204504</v>
      </c>
      <c r="C2095" s="110">
        <v>1.0829306209468073</v>
      </c>
      <c r="G2095" s="90">
        <v>2079</v>
      </c>
      <c r="H2095" s="100">
        <v>-3.1379223208524959E-2</v>
      </c>
      <c r="I2095" s="100">
        <v>-5.5957988920392353E-2</v>
      </c>
    </row>
    <row r="2096" spans="1:9">
      <c r="A2096" s="90">
        <v>2080</v>
      </c>
      <c r="B2096" s="110">
        <v>1.1043567043527929</v>
      </c>
      <c r="C2096" s="110">
        <v>1.046145152109464</v>
      </c>
      <c r="G2096" s="90">
        <v>2080</v>
      </c>
      <c r="H2096" s="100">
        <v>-5.415087267526511E-2</v>
      </c>
      <c r="I2096" s="100">
        <v>-5.5956858494838287E-2</v>
      </c>
    </row>
    <row r="2097" spans="1:9">
      <c r="A2097" s="90">
        <v>2081</v>
      </c>
      <c r="B2097" s="110">
        <v>1.1095443835006811</v>
      </c>
      <c r="C2097" s="110">
        <v>1.0655835723733111</v>
      </c>
      <c r="G2097" s="90">
        <v>2081</v>
      </c>
      <c r="H2097" s="100">
        <v>-4.0426861376776771E-2</v>
      </c>
      <c r="I2097" s="100">
        <v>-5.5944163332051385E-2</v>
      </c>
    </row>
    <row r="2098" spans="1:9">
      <c r="A2098" s="90">
        <v>2082</v>
      </c>
      <c r="B2098" s="110">
        <v>1.0958860747120178</v>
      </c>
      <c r="C2098" s="110">
        <v>1.0456476074407102</v>
      </c>
      <c r="G2098" s="90">
        <v>2082</v>
      </c>
      <c r="H2098" s="100">
        <v>-4.6926823183812159E-2</v>
      </c>
      <c r="I2098" s="100">
        <v>-5.5942634279617341E-2</v>
      </c>
    </row>
    <row r="2099" spans="1:9">
      <c r="A2099" s="90">
        <v>2083</v>
      </c>
      <c r="B2099" s="110">
        <v>1.077511569821672</v>
      </c>
      <c r="C2099" s="110">
        <v>1.0511153149144623</v>
      </c>
      <c r="G2099" s="90">
        <v>2083</v>
      </c>
      <c r="H2099" s="100">
        <v>-2.4802475481991024E-2</v>
      </c>
      <c r="I2099" s="100">
        <v>-5.594081057458207E-2</v>
      </c>
    </row>
    <row r="2100" spans="1:9">
      <c r="A2100" s="90">
        <v>2084</v>
      </c>
      <c r="B2100" s="110">
        <v>1.0806876103775904</v>
      </c>
      <c r="C2100" s="110">
        <v>1.0520741763524875</v>
      </c>
      <c r="G2100" s="90">
        <v>2084</v>
      </c>
      <c r="H2100" s="100">
        <v>-2.683389314873735E-2</v>
      </c>
      <c r="I2100" s="100">
        <v>-5.5937383091767844E-2</v>
      </c>
    </row>
    <row r="2101" spans="1:9">
      <c r="A2101" s="90">
        <v>2085</v>
      </c>
      <c r="B2101" s="110">
        <v>1.0934409543909374</v>
      </c>
      <c r="C2101" s="110">
        <v>1.0481579757688868</v>
      </c>
      <c r="G2101" s="90">
        <v>2085</v>
      </c>
      <c r="H2101" s="100">
        <v>-4.229524800162502E-2</v>
      </c>
      <c r="I2101" s="100">
        <v>-5.592593127587682E-2</v>
      </c>
    </row>
    <row r="2102" spans="1:9">
      <c r="A2102" s="90">
        <v>2086</v>
      </c>
      <c r="B2102" s="110">
        <v>1.1373887589045362</v>
      </c>
      <c r="C2102" s="110">
        <v>1.0424991940947992</v>
      </c>
      <c r="G2102" s="90">
        <v>2086</v>
      </c>
      <c r="H2102" s="100">
        <v>-8.7114171051180384E-2</v>
      </c>
      <c r="I2102" s="100">
        <v>-5.5922917169807546E-2</v>
      </c>
    </row>
    <row r="2103" spans="1:9">
      <c r="A2103" s="90">
        <v>2087</v>
      </c>
      <c r="B2103" s="110">
        <v>1.0885683815565201</v>
      </c>
      <c r="C2103" s="110">
        <v>1.0497274353753301</v>
      </c>
      <c r="G2103" s="90">
        <v>2087</v>
      </c>
      <c r="H2103" s="100">
        <v>-3.6332876429770983E-2</v>
      </c>
      <c r="I2103" s="100">
        <v>-5.5885238985398253E-2</v>
      </c>
    </row>
    <row r="2104" spans="1:9">
      <c r="A2104" s="90">
        <v>2088</v>
      </c>
      <c r="B2104" s="110">
        <v>1.1081760735138741</v>
      </c>
      <c r="C2104" s="110">
        <v>1.0565534461767345</v>
      </c>
      <c r="G2104" s="90">
        <v>2088</v>
      </c>
      <c r="H2104" s="100">
        <v>-4.7703342062061331E-2</v>
      </c>
      <c r="I2104" s="100">
        <v>-5.5877961266978936E-2</v>
      </c>
    </row>
    <row r="2105" spans="1:9">
      <c r="A2105" s="90">
        <v>2089</v>
      </c>
      <c r="B2105" s="110">
        <v>1.1107717310352172</v>
      </c>
      <c r="C2105" s="110">
        <v>1.0450688618544175</v>
      </c>
      <c r="G2105" s="90">
        <v>2089</v>
      </c>
      <c r="H2105" s="100">
        <v>-6.0972247175493433E-2</v>
      </c>
      <c r="I2105" s="100">
        <v>-5.5873576196917789E-2</v>
      </c>
    </row>
    <row r="2106" spans="1:9">
      <c r="A2106" s="90">
        <v>2090</v>
      </c>
      <c r="B2106" s="110">
        <v>1.096783257117721</v>
      </c>
      <c r="C2106" s="110">
        <v>1.069299723506808</v>
      </c>
      <c r="G2106" s="90">
        <v>2090</v>
      </c>
      <c r="H2106" s="100">
        <v>-2.5377613733070216E-2</v>
      </c>
      <c r="I2106" s="100">
        <v>-5.5851953233063176E-2</v>
      </c>
    </row>
    <row r="2107" spans="1:9">
      <c r="A2107" s="90">
        <v>2091</v>
      </c>
      <c r="B2107" s="110">
        <v>1.1014125910556722</v>
      </c>
      <c r="C2107" s="110">
        <v>1.0720369870940114</v>
      </c>
      <c r="G2107" s="90">
        <v>2091</v>
      </c>
      <c r="H2107" s="100">
        <v>-2.703296470589845E-2</v>
      </c>
      <c r="I2107" s="100">
        <v>-5.584923281163863E-2</v>
      </c>
    </row>
    <row r="2108" spans="1:9">
      <c r="A2108" s="90">
        <v>2092</v>
      </c>
      <c r="B2108" s="110">
        <v>1.1113454130598648</v>
      </c>
      <c r="C2108" s="110">
        <v>1.049032237002117</v>
      </c>
      <c r="G2108" s="90">
        <v>2092</v>
      </c>
      <c r="H2108" s="100">
        <v>-5.7703305064850718E-2</v>
      </c>
      <c r="I2108" s="100">
        <v>-5.5842277549329217E-2</v>
      </c>
    </row>
    <row r="2109" spans="1:9">
      <c r="A2109" s="90">
        <v>2093</v>
      </c>
      <c r="B2109" s="110">
        <v>1.0915048435685506</v>
      </c>
      <c r="C2109" s="110">
        <v>1.0329983510731326</v>
      </c>
      <c r="G2109" s="90">
        <v>2093</v>
      </c>
      <c r="H2109" s="100">
        <v>-5.5091740646559605E-2</v>
      </c>
      <c r="I2109" s="100">
        <v>-5.5840828590226349E-2</v>
      </c>
    </row>
    <row r="2110" spans="1:9">
      <c r="A2110" s="90">
        <v>2094</v>
      </c>
      <c r="B2110" s="110">
        <v>1.1277690537707348</v>
      </c>
      <c r="C2110" s="110">
        <v>1.0562396456094711</v>
      </c>
      <c r="G2110" s="90">
        <v>2094</v>
      </c>
      <c r="H2110" s="100">
        <v>-6.5526295880994428E-2</v>
      </c>
      <c r="I2110" s="100">
        <v>-5.5836861177741913E-2</v>
      </c>
    </row>
    <row r="2111" spans="1:9">
      <c r="A2111" s="90">
        <v>2095</v>
      </c>
      <c r="B2111" s="110">
        <v>1.1309147027125794</v>
      </c>
      <c r="C2111" s="110">
        <v>1.0577058319538208</v>
      </c>
      <c r="G2111" s="90">
        <v>2095</v>
      </c>
      <c r="H2111" s="100">
        <v>-6.6924523562190655E-2</v>
      </c>
      <c r="I2111" s="100">
        <v>-5.5817633547285507E-2</v>
      </c>
    </row>
    <row r="2112" spans="1:9">
      <c r="A2112" s="90">
        <v>2096</v>
      </c>
      <c r="B2112" s="110">
        <v>1.1223282930555549</v>
      </c>
      <c r="C2112" s="110">
        <v>1.0448177721578304</v>
      </c>
      <c r="G2112" s="90">
        <v>2096</v>
      </c>
      <c r="H2112" s="100">
        <v>-7.1562871108271864E-2</v>
      </c>
      <c r="I2112" s="100">
        <v>-5.5809781684474723E-2</v>
      </c>
    </row>
    <row r="2113" spans="1:9">
      <c r="A2113" s="90">
        <v>2097</v>
      </c>
      <c r="B2113" s="110">
        <v>1.0736575807219466</v>
      </c>
      <c r="C2113" s="110">
        <v>1.0612483518665727</v>
      </c>
      <c r="G2113" s="90">
        <v>2097</v>
      </c>
      <c r="H2113" s="100">
        <v>-1.1625213476634092E-2</v>
      </c>
      <c r="I2113" s="100">
        <v>-5.5807595346130383E-2</v>
      </c>
    </row>
    <row r="2114" spans="1:9">
      <c r="A2114" s="90">
        <v>2098</v>
      </c>
      <c r="B2114" s="110">
        <v>1.1056096412924914</v>
      </c>
      <c r="C2114" s="110">
        <v>1.0772588809394195</v>
      </c>
      <c r="G2114" s="90">
        <v>2098</v>
      </c>
      <c r="H2114" s="100">
        <v>-2.5977152845990368E-2</v>
      </c>
      <c r="I2114" s="100">
        <v>-5.5790477888788714E-2</v>
      </c>
    </row>
    <row r="2115" spans="1:9">
      <c r="A2115" s="90">
        <v>2099</v>
      </c>
      <c r="B2115" s="110">
        <v>1.1116844773600933</v>
      </c>
      <c r="C2115" s="110">
        <v>1.0479885441847141</v>
      </c>
      <c r="G2115" s="90">
        <v>2099</v>
      </c>
      <c r="H2115" s="100">
        <v>-5.9003757466760745E-2</v>
      </c>
      <c r="I2115" s="100">
        <v>-5.5775898651736752E-2</v>
      </c>
    </row>
    <row r="2116" spans="1:9">
      <c r="A2116" s="90">
        <v>2100</v>
      </c>
      <c r="B2116" s="110">
        <v>1.099822845246279</v>
      </c>
      <c r="C2116" s="110">
        <v>1.0407033001980415</v>
      </c>
      <c r="G2116" s="90">
        <v>2100</v>
      </c>
      <c r="H2116" s="100">
        <v>-5.5252382268727314E-2</v>
      </c>
      <c r="I2116" s="100">
        <v>-5.5763782175017935E-2</v>
      </c>
    </row>
    <row r="2117" spans="1:9">
      <c r="A2117" s="90">
        <v>2101</v>
      </c>
      <c r="B2117" s="110">
        <v>1.1192238298017259</v>
      </c>
      <c r="C2117" s="110">
        <v>1.0415717676072309</v>
      </c>
      <c r="G2117" s="90">
        <v>2101</v>
      </c>
      <c r="H2117" s="100">
        <v>-7.1904548686533842E-2</v>
      </c>
      <c r="I2117" s="100">
        <v>-5.5754392217613837E-2</v>
      </c>
    </row>
    <row r="2118" spans="1:9">
      <c r="A2118" s="90">
        <v>2102</v>
      </c>
      <c r="B2118" s="110">
        <v>1.1401220118482571</v>
      </c>
      <c r="C2118" s="110">
        <v>1.0698163549117692</v>
      </c>
      <c r="G2118" s="90">
        <v>2102</v>
      </c>
      <c r="H2118" s="100">
        <v>-6.3648281796428549E-2</v>
      </c>
      <c r="I2118" s="100">
        <v>-5.5733478436533992E-2</v>
      </c>
    </row>
    <row r="2119" spans="1:9">
      <c r="A2119" s="90">
        <v>2103</v>
      </c>
      <c r="B2119" s="110">
        <v>1.0797705463615219</v>
      </c>
      <c r="C2119" s="110">
        <v>1.0631903702483558</v>
      </c>
      <c r="G2119" s="90">
        <v>2103</v>
      </c>
      <c r="H2119" s="100">
        <v>-1.5474390443865711E-2</v>
      </c>
      <c r="I2119" s="100">
        <v>-5.5709901803545854E-2</v>
      </c>
    </row>
    <row r="2120" spans="1:9">
      <c r="A2120" s="90">
        <v>2104</v>
      </c>
      <c r="B2120" s="110">
        <v>1.1248708447784548</v>
      </c>
      <c r="C2120" s="110">
        <v>1.0692076688766747</v>
      </c>
      <c r="G2120" s="90">
        <v>2104</v>
      </c>
      <c r="H2120" s="100">
        <v>-5.0750346630441402E-2</v>
      </c>
      <c r="I2120" s="100">
        <v>-5.5706251705077384E-2</v>
      </c>
    </row>
    <row r="2121" spans="1:9">
      <c r="A2121" s="90">
        <v>2105</v>
      </c>
      <c r="B2121" s="110">
        <v>1.1120172819347121</v>
      </c>
      <c r="C2121" s="110">
        <v>1.0625023535969018</v>
      </c>
      <c r="G2121" s="90">
        <v>2105</v>
      </c>
      <c r="H2121" s="100">
        <v>-4.5548900051813349E-2</v>
      </c>
      <c r="I2121" s="100">
        <v>-5.5700894564653346E-2</v>
      </c>
    </row>
    <row r="2122" spans="1:9">
      <c r="A2122" s="90">
        <v>2106</v>
      </c>
      <c r="B2122" s="110">
        <v>1.1052854592268206</v>
      </c>
      <c r="C2122" s="110">
        <v>1.065651861099971</v>
      </c>
      <c r="G2122" s="90">
        <v>2106</v>
      </c>
      <c r="H2122" s="100">
        <v>-3.6516947679726908E-2</v>
      </c>
      <c r="I2122" s="100">
        <v>-5.5691435567404642E-2</v>
      </c>
    </row>
    <row r="2123" spans="1:9">
      <c r="A2123" s="90">
        <v>2107</v>
      </c>
      <c r="B2123" s="110">
        <v>1.122745723340683</v>
      </c>
      <c r="C2123" s="110">
        <v>1.0460062515723787</v>
      </c>
      <c r="G2123" s="90">
        <v>2107</v>
      </c>
      <c r="H2123" s="100">
        <v>-7.0797881613816366E-2</v>
      </c>
      <c r="I2123" s="100">
        <v>-5.5688866328751196E-2</v>
      </c>
    </row>
    <row r="2124" spans="1:9">
      <c r="A2124" s="90">
        <v>2108</v>
      </c>
      <c r="B2124" s="110">
        <v>1.1354658236951416</v>
      </c>
      <c r="C2124" s="110">
        <v>1.0627802489208249</v>
      </c>
      <c r="G2124" s="90">
        <v>2108</v>
      </c>
      <c r="H2124" s="100">
        <v>-6.6154633360652373E-2</v>
      </c>
      <c r="I2124" s="100">
        <v>-5.5684329613520558E-2</v>
      </c>
    </row>
    <row r="2125" spans="1:9">
      <c r="A2125" s="90">
        <v>2109</v>
      </c>
      <c r="B2125" s="110">
        <v>1.1135403119549456</v>
      </c>
      <c r="C2125" s="110">
        <v>1.0365140201538452</v>
      </c>
      <c r="G2125" s="90">
        <v>2109</v>
      </c>
      <c r="H2125" s="100">
        <v>-7.1681230742097701E-2</v>
      </c>
      <c r="I2125" s="100">
        <v>-5.5677666387628937E-2</v>
      </c>
    </row>
    <row r="2126" spans="1:9">
      <c r="A2126" s="90">
        <v>2110</v>
      </c>
      <c r="B2126" s="110">
        <v>1.0929791845685144</v>
      </c>
      <c r="C2126" s="110">
        <v>1.0370140028778019</v>
      </c>
      <c r="G2126" s="90">
        <v>2110</v>
      </c>
      <c r="H2126" s="100">
        <v>-5.2561732288951973E-2</v>
      </c>
      <c r="I2126" s="100">
        <v>-5.5671361036353721E-2</v>
      </c>
    </row>
    <row r="2127" spans="1:9">
      <c r="A2127" s="90">
        <v>2111</v>
      </c>
      <c r="B2127" s="110">
        <v>1.1115905029936499</v>
      </c>
      <c r="C2127" s="110">
        <v>1.0700202921235076</v>
      </c>
      <c r="G2127" s="90">
        <v>2111</v>
      </c>
      <c r="H2127" s="100">
        <v>-3.8114262407762736E-2</v>
      </c>
      <c r="I2127" s="100">
        <v>-5.5658287266600763E-2</v>
      </c>
    </row>
    <row r="2128" spans="1:9">
      <c r="A2128" s="90">
        <v>2112</v>
      </c>
      <c r="B2128" s="110">
        <v>1.0965663696355603</v>
      </c>
      <c r="C2128" s="110">
        <v>1.0674029580189446</v>
      </c>
      <c r="G2128" s="90">
        <v>2112</v>
      </c>
      <c r="H2128" s="100">
        <v>-2.6955259516022387E-2</v>
      </c>
      <c r="I2128" s="100">
        <v>-5.5646120786606225E-2</v>
      </c>
    </row>
    <row r="2129" spans="1:9">
      <c r="A2129" s="90">
        <v>2113</v>
      </c>
      <c r="B2129" s="110">
        <v>1.1334389520057728</v>
      </c>
      <c r="C2129" s="110">
        <v>1.0648262180649819</v>
      </c>
      <c r="G2129" s="90">
        <v>2113</v>
      </c>
      <c r="H2129" s="100">
        <v>-6.244472123710796E-2</v>
      </c>
      <c r="I2129" s="100">
        <v>-5.5639624386610888E-2</v>
      </c>
    </row>
    <row r="2130" spans="1:9">
      <c r="A2130" s="90">
        <v>2114</v>
      </c>
      <c r="B2130" s="110">
        <v>1.1215204116423667</v>
      </c>
      <c r="C2130" s="110">
        <v>1.0528361837239888</v>
      </c>
      <c r="G2130" s="90">
        <v>2114</v>
      </c>
      <c r="H2130" s="100">
        <v>-6.319762508072109E-2</v>
      </c>
      <c r="I2130" s="100">
        <v>-5.5622977814171623E-2</v>
      </c>
    </row>
    <row r="2131" spans="1:9">
      <c r="A2131" s="90">
        <v>2115</v>
      </c>
      <c r="B2131" s="110">
        <v>1.1039263159694304</v>
      </c>
      <c r="C2131" s="110">
        <v>1.0569453968432581</v>
      </c>
      <c r="G2131" s="90">
        <v>2115</v>
      </c>
      <c r="H2131" s="100">
        <v>-4.3490155908093485E-2</v>
      </c>
      <c r="I2131" s="100">
        <v>-5.5617888112121677E-2</v>
      </c>
    </row>
    <row r="2132" spans="1:9">
      <c r="A2132" s="90">
        <v>2116</v>
      </c>
      <c r="B2132" s="110">
        <v>1.1014156066104157</v>
      </c>
      <c r="C2132" s="110">
        <v>1.0621603966369331</v>
      </c>
      <c r="G2132" s="90">
        <v>2116</v>
      </c>
      <c r="H2132" s="100">
        <v>-3.6291323508937094E-2</v>
      </c>
      <c r="I2132" s="100">
        <v>-5.5599949061561668E-2</v>
      </c>
    </row>
    <row r="2133" spans="1:9">
      <c r="A2133" s="90">
        <v>2117</v>
      </c>
      <c r="B2133" s="110">
        <v>1.0995867249674216</v>
      </c>
      <c r="C2133" s="110">
        <v>1.038195800874854</v>
      </c>
      <c r="G2133" s="90">
        <v>2117</v>
      </c>
      <c r="H2133" s="100">
        <v>-5.7450004852432963E-2</v>
      </c>
      <c r="I2133" s="100">
        <v>-5.5598227136439818E-2</v>
      </c>
    </row>
    <row r="2134" spans="1:9">
      <c r="A2134" s="90">
        <v>2118</v>
      </c>
      <c r="B2134" s="110">
        <v>1.1011232894750467</v>
      </c>
      <c r="C2134" s="110">
        <v>1.0438174107344622</v>
      </c>
      <c r="G2134" s="90">
        <v>2118</v>
      </c>
      <c r="H2134" s="100">
        <v>-5.3446250780458317E-2</v>
      </c>
      <c r="I2134" s="100">
        <v>-5.559375616214228E-2</v>
      </c>
    </row>
    <row r="2135" spans="1:9">
      <c r="A2135" s="90">
        <v>2119</v>
      </c>
      <c r="B2135" s="110">
        <v>1.110340117888561</v>
      </c>
      <c r="C2135" s="110">
        <v>1.0558630639425313</v>
      </c>
      <c r="G2135" s="90">
        <v>2119</v>
      </c>
      <c r="H2135" s="100">
        <v>-5.0307878322947579E-2</v>
      </c>
      <c r="I2135" s="100">
        <v>-5.5586036367284326E-2</v>
      </c>
    </row>
    <row r="2136" spans="1:9">
      <c r="A2136" s="90">
        <v>2120</v>
      </c>
      <c r="B2136" s="110">
        <v>1.1080852264154979</v>
      </c>
      <c r="C2136" s="110">
        <v>1.0235190456302141</v>
      </c>
      <c r="G2136" s="90">
        <v>2120</v>
      </c>
      <c r="H2136" s="100">
        <v>-7.9386770234096446E-2</v>
      </c>
      <c r="I2136" s="100">
        <v>-5.5581629965205034E-2</v>
      </c>
    </row>
    <row r="2137" spans="1:9">
      <c r="A2137" s="90">
        <v>2121</v>
      </c>
      <c r="B2137" s="110">
        <v>1.1264153533060672</v>
      </c>
      <c r="C2137" s="110">
        <v>1.058329804006765</v>
      </c>
      <c r="G2137" s="90">
        <v>2121</v>
      </c>
      <c r="H2137" s="100">
        <v>-6.2348327875389582E-2</v>
      </c>
      <c r="I2137" s="100">
        <v>-5.5571670662559101E-2</v>
      </c>
    </row>
    <row r="2138" spans="1:9">
      <c r="A2138" s="90">
        <v>2122</v>
      </c>
      <c r="B2138" s="110">
        <v>1.0949008556478799</v>
      </c>
      <c r="C2138" s="110">
        <v>1.0387715267401743</v>
      </c>
      <c r="G2138" s="90">
        <v>2122</v>
      </c>
      <c r="H2138" s="100">
        <v>-5.2625025712187516E-2</v>
      </c>
      <c r="I2138" s="100">
        <v>-5.5567722449584668E-2</v>
      </c>
    </row>
    <row r="2139" spans="1:9">
      <c r="A2139" s="90">
        <v>2123</v>
      </c>
      <c r="B2139" s="110">
        <v>1.0952060558901253</v>
      </c>
      <c r="C2139" s="110">
        <v>1.0575188839881322</v>
      </c>
      <c r="G2139" s="90">
        <v>2123</v>
      </c>
      <c r="H2139" s="100">
        <v>-3.5017035482090932E-2</v>
      </c>
      <c r="I2139" s="100">
        <v>-5.5551225350956364E-2</v>
      </c>
    </row>
    <row r="2140" spans="1:9">
      <c r="A2140" s="90">
        <v>2124</v>
      </c>
      <c r="B2140" s="110">
        <v>1.1362894979796356</v>
      </c>
      <c r="C2140" s="110">
        <v>1.0615498825703023</v>
      </c>
      <c r="G2140" s="90">
        <v>2124</v>
      </c>
      <c r="H2140" s="100">
        <v>-6.8038134016843263E-2</v>
      </c>
      <c r="I2140" s="100">
        <v>-5.5547424874186929E-2</v>
      </c>
    </row>
    <row r="2141" spans="1:9">
      <c r="A2141" s="90">
        <v>2125</v>
      </c>
      <c r="B2141" s="110">
        <v>1.1300019186791259</v>
      </c>
      <c r="C2141" s="110">
        <v>1.0569644977734185</v>
      </c>
      <c r="G2141" s="90">
        <v>2125</v>
      </c>
      <c r="H2141" s="100">
        <v>-6.6818212071105332E-2</v>
      </c>
      <c r="I2141" s="100">
        <v>-5.5542698516477092E-2</v>
      </c>
    </row>
    <row r="2142" spans="1:9">
      <c r="A2142" s="90">
        <v>2126</v>
      </c>
      <c r="B2142" s="110">
        <v>1.097163298249477</v>
      </c>
      <c r="C2142" s="110">
        <v>1.0544511424464316</v>
      </c>
      <c r="G2142" s="90">
        <v>2126</v>
      </c>
      <c r="H2142" s="100">
        <v>-3.9707641720184435E-2</v>
      </c>
      <c r="I2142" s="100">
        <v>-5.5513427465434979E-2</v>
      </c>
    </row>
    <row r="2143" spans="1:9">
      <c r="A2143" s="90">
        <v>2127</v>
      </c>
      <c r="B2143" s="110">
        <v>1.0777550890696939</v>
      </c>
      <c r="C2143" s="110">
        <v>1.0559724521879887</v>
      </c>
      <c r="G2143" s="90">
        <v>2127</v>
      </c>
      <c r="H2143" s="100">
        <v>-2.041815857229282E-2</v>
      </c>
      <c r="I2143" s="100">
        <v>-5.5509873755512543E-2</v>
      </c>
    </row>
    <row r="2144" spans="1:9">
      <c r="A2144" s="90">
        <v>2128</v>
      </c>
      <c r="B2144" s="110">
        <v>1.0739752997954786</v>
      </c>
      <c r="C2144" s="110">
        <v>1.0636917896373763</v>
      </c>
      <c r="G2144" s="90">
        <v>2128</v>
      </c>
      <c r="H2144" s="100">
        <v>-9.6213199308276404E-3</v>
      </c>
      <c r="I2144" s="100">
        <v>-5.5479902000741606E-2</v>
      </c>
    </row>
    <row r="2145" spans="1:9">
      <c r="A2145" s="90">
        <v>2129</v>
      </c>
      <c r="B2145" s="110">
        <v>1.0963911197739225</v>
      </c>
      <c r="C2145" s="110">
        <v>1.0439360005858971</v>
      </c>
      <c r="G2145" s="90">
        <v>2129</v>
      </c>
      <c r="H2145" s="100">
        <v>-4.9025800513029995E-2</v>
      </c>
      <c r="I2145" s="100">
        <v>-5.5466780770848892E-2</v>
      </c>
    </row>
    <row r="2146" spans="1:9">
      <c r="A2146" s="90">
        <v>2130</v>
      </c>
      <c r="B2146" s="110">
        <v>1.1016840217058641</v>
      </c>
      <c r="C2146" s="110">
        <v>1.0582606282518177</v>
      </c>
      <c r="G2146" s="90">
        <v>2130</v>
      </c>
      <c r="H2146" s="100">
        <v>-4.0213294349038073E-2</v>
      </c>
      <c r="I2146" s="100">
        <v>-5.5451048975435097E-2</v>
      </c>
    </row>
    <row r="2147" spans="1:9">
      <c r="A2147" s="90">
        <v>2131</v>
      </c>
      <c r="B2147" s="110">
        <v>1.0900573283920771</v>
      </c>
      <c r="C2147" s="110">
        <v>1.050093785743127</v>
      </c>
      <c r="G2147" s="90">
        <v>2131</v>
      </c>
      <c r="H2147" s="100">
        <v>-3.735080977708892E-2</v>
      </c>
      <c r="I2147" s="100">
        <v>-5.5437005332623995E-2</v>
      </c>
    </row>
    <row r="2148" spans="1:9">
      <c r="A2148" s="90">
        <v>2132</v>
      </c>
      <c r="B2148" s="110">
        <v>1.1156189883539265</v>
      </c>
      <c r="C2148" s="110">
        <v>1.0424490295563604</v>
      </c>
      <c r="G2148" s="90">
        <v>2132</v>
      </c>
      <c r="H2148" s="100">
        <v>-6.7836616397373137E-2</v>
      </c>
      <c r="I2148" s="100">
        <v>-5.5429950717259847E-2</v>
      </c>
    </row>
    <row r="2149" spans="1:9">
      <c r="A2149" s="90">
        <v>2133</v>
      </c>
      <c r="B2149" s="110">
        <v>1.1095972223662545</v>
      </c>
      <c r="C2149" s="110">
        <v>1.0482465826633978</v>
      </c>
      <c r="G2149" s="90">
        <v>2133</v>
      </c>
      <c r="H2149" s="100">
        <v>-5.6878239716793122E-2</v>
      </c>
      <c r="I2149" s="100">
        <v>-5.5429461232911863E-2</v>
      </c>
    </row>
    <row r="2150" spans="1:9">
      <c r="A2150" s="90">
        <v>2134</v>
      </c>
      <c r="B2150" s="110">
        <v>1.0999991020202589</v>
      </c>
      <c r="C2150" s="110">
        <v>1.0326576236173692</v>
      </c>
      <c r="G2150" s="90">
        <v>2134</v>
      </c>
      <c r="H2150" s="100">
        <v>-6.317366715824714E-2</v>
      </c>
      <c r="I2150" s="100">
        <v>-5.5414552017372672E-2</v>
      </c>
    </row>
    <row r="2151" spans="1:9">
      <c r="A2151" s="90">
        <v>2135</v>
      </c>
      <c r="B2151" s="110">
        <v>1.1186051196562379</v>
      </c>
      <c r="C2151" s="110">
        <v>1.0415288986232722</v>
      </c>
      <c r="G2151" s="90">
        <v>2135</v>
      </c>
      <c r="H2151" s="100">
        <v>-7.1392751785745431E-2</v>
      </c>
      <c r="I2151" s="100">
        <v>-5.541168130002834E-2</v>
      </c>
    </row>
    <row r="2152" spans="1:9">
      <c r="A2152" s="90">
        <v>2136</v>
      </c>
      <c r="B2152" s="110">
        <v>1.0850993564599238</v>
      </c>
      <c r="C2152" s="110">
        <v>1.0592511905700044</v>
      </c>
      <c r="G2152" s="90">
        <v>2136</v>
      </c>
      <c r="H2152" s="100">
        <v>-2.4109321075601414E-2</v>
      </c>
      <c r="I2152" s="100">
        <v>-5.5410124401572655E-2</v>
      </c>
    </row>
    <row r="2153" spans="1:9">
      <c r="A2153" s="90">
        <v>2137</v>
      </c>
      <c r="B2153" s="110">
        <v>1.1195045560789789</v>
      </c>
      <c r="C2153" s="110">
        <v>1.0665747786951019</v>
      </c>
      <c r="G2153" s="90">
        <v>2137</v>
      </c>
      <c r="H2153" s="100">
        <v>-4.8433854339363168E-2</v>
      </c>
      <c r="I2153" s="100">
        <v>-5.5407046418252462E-2</v>
      </c>
    </row>
    <row r="2154" spans="1:9">
      <c r="A2154" s="90">
        <v>2138</v>
      </c>
      <c r="B2154" s="110">
        <v>1.10807590049005</v>
      </c>
      <c r="C2154" s="110">
        <v>1.0589599462911721</v>
      </c>
      <c r="G2154" s="90">
        <v>2138</v>
      </c>
      <c r="H2154" s="100">
        <v>-4.5337844521347849E-2</v>
      </c>
      <c r="I2154" s="100">
        <v>-5.5376081696579302E-2</v>
      </c>
    </row>
    <row r="2155" spans="1:9">
      <c r="A2155" s="90">
        <v>2139</v>
      </c>
      <c r="B2155" s="110">
        <v>1.0983875760965371</v>
      </c>
      <c r="C2155" s="110">
        <v>1.067834925652724</v>
      </c>
      <c r="G2155" s="90">
        <v>2139</v>
      </c>
      <c r="H2155" s="100">
        <v>-2.8210099901548352E-2</v>
      </c>
      <c r="I2155" s="100">
        <v>-5.53660066057051E-2</v>
      </c>
    </row>
    <row r="2156" spans="1:9">
      <c r="A2156" s="90">
        <v>2140</v>
      </c>
      <c r="B2156" s="110">
        <v>1.1092833021356994</v>
      </c>
      <c r="C2156" s="110">
        <v>1.0620446228351208</v>
      </c>
      <c r="G2156" s="90">
        <v>2140</v>
      </c>
      <c r="H2156" s="100">
        <v>-4.3518193363009001E-2</v>
      </c>
      <c r="I2156" s="100">
        <v>-5.5363100834213065E-2</v>
      </c>
    </row>
    <row r="2157" spans="1:9">
      <c r="A2157" s="90">
        <v>2141</v>
      </c>
      <c r="B2157" s="110">
        <v>1.1238110435974438</v>
      </c>
      <c r="C2157" s="110">
        <v>1.0566972486309223</v>
      </c>
      <c r="G2157" s="90">
        <v>2141</v>
      </c>
      <c r="H2157" s="100">
        <v>-6.1577385936605854E-2</v>
      </c>
      <c r="I2157" s="100">
        <v>-5.5359936339936161E-2</v>
      </c>
    </row>
    <row r="2158" spans="1:9">
      <c r="A2158" s="90">
        <v>2142</v>
      </c>
      <c r="B2158" s="110">
        <v>1.1140326417279778</v>
      </c>
      <c r="C2158" s="110">
        <v>1.0675116000394522</v>
      </c>
      <c r="G2158" s="90">
        <v>2142</v>
      </c>
      <c r="H2158" s="100">
        <v>-4.2656109838330965E-2</v>
      </c>
      <c r="I2158" s="100">
        <v>-5.5359913891408846E-2</v>
      </c>
    </row>
    <row r="2159" spans="1:9">
      <c r="A2159" s="90">
        <v>2143</v>
      </c>
      <c r="B2159" s="110">
        <v>1.0976052618244985</v>
      </c>
      <c r="C2159" s="110">
        <v>1.0541629541292568</v>
      </c>
      <c r="G2159" s="90">
        <v>2143</v>
      </c>
      <c r="H2159" s="100">
        <v>-4.038372830959773E-2</v>
      </c>
      <c r="I2159" s="100">
        <v>-5.5352450314261788E-2</v>
      </c>
    </row>
    <row r="2160" spans="1:9">
      <c r="A2160" s="90">
        <v>2144</v>
      </c>
      <c r="B2160" s="110">
        <v>1.1099399723802592</v>
      </c>
      <c r="C2160" s="110">
        <v>1.0635662183080659</v>
      </c>
      <c r="G2160" s="90">
        <v>2144</v>
      </c>
      <c r="H2160" s="100">
        <v>-4.2678316693839896E-2</v>
      </c>
      <c r="I2160" s="100">
        <v>-5.5335836101700925E-2</v>
      </c>
    </row>
    <row r="2161" spans="1:9">
      <c r="A2161" s="90">
        <v>2145</v>
      </c>
      <c r="B2161" s="110">
        <v>1.1059603356080547</v>
      </c>
      <c r="C2161" s="110">
        <v>1.0525445916102554</v>
      </c>
      <c r="G2161" s="90">
        <v>2145</v>
      </c>
      <c r="H2161" s="100">
        <v>-4.9503386532272327E-2</v>
      </c>
      <c r="I2161" s="100">
        <v>-5.5320023477436565E-2</v>
      </c>
    </row>
    <row r="2162" spans="1:9">
      <c r="A2162" s="90">
        <v>2146</v>
      </c>
      <c r="B2162" s="110">
        <v>1.1114593430133051</v>
      </c>
      <c r="C2162" s="110">
        <v>1.0522988065713053</v>
      </c>
      <c r="G2162" s="90">
        <v>2146</v>
      </c>
      <c r="H2162" s="100">
        <v>-5.4696764618069361E-2</v>
      </c>
      <c r="I2162" s="100">
        <v>-5.5312062747055128E-2</v>
      </c>
    </row>
    <row r="2163" spans="1:9">
      <c r="A2163" s="90">
        <v>2147</v>
      </c>
      <c r="B2163" s="110">
        <v>1.0889559278709873</v>
      </c>
      <c r="C2163" s="110">
        <v>1.0556937417127443</v>
      </c>
      <c r="G2163" s="90">
        <v>2147</v>
      </c>
      <c r="H2163" s="100">
        <v>-3.102124695386661E-2</v>
      </c>
      <c r="I2163" s="100">
        <v>-5.5276048562934728E-2</v>
      </c>
    </row>
    <row r="2164" spans="1:9">
      <c r="A2164" s="90">
        <v>2148</v>
      </c>
      <c r="B2164" s="110">
        <v>1.081521297954551</v>
      </c>
      <c r="C2164" s="110">
        <v>1.0584495641651206</v>
      </c>
      <c r="G2164" s="90">
        <v>2148</v>
      </c>
      <c r="H2164" s="100">
        <v>-2.1563497139728917E-2</v>
      </c>
      <c r="I2164" s="100">
        <v>-5.5274075360483711E-2</v>
      </c>
    </row>
    <row r="2165" spans="1:9">
      <c r="A2165" s="90">
        <v>2149</v>
      </c>
      <c r="B2165" s="110">
        <v>1.1038434378694078</v>
      </c>
      <c r="C2165" s="110">
        <v>1.0309567791996266</v>
      </c>
      <c r="G2165" s="90">
        <v>2149</v>
      </c>
      <c r="H2165" s="100">
        <v>-6.8310841360100016E-2</v>
      </c>
      <c r="I2165" s="100">
        <v>-5.5252382268727314E-2</v>
      </c>
    </row>
    <row r="2166" spans="1:9">
      <c r="A2166" s="90">
        <v>2150</v>
      </c>
      <c r="B2166" s="110">
        <v>1.1233650103980519</v>
      </c>
      <c r="C2166" s="110">
        <v>1.039099919698359</v>
      </c>
      <c r="G2166" s="90">
        <v>2150</v>
      </c>
      <c r="H2166" s="100">
        <v>-7.7973777869509125E-2</v>
      </c>
      <c r="I2166" s="100">
        <v>-5.5231729588703378E-2</v>
      </c>
    </row>
    <row r="2167" spans="1:9">
      <c r="A2167" s="90">
        <v>2151</v>
      </c>
      <c r="B2167" s="110">
        <v>1.1195694518884802</v>
      </c>
      <c r="C2167" s="110">
        <v>1.0405220225074072</v>
      </c>
      <c r="G2167" s="90">
        <v>2151</v>
      </c>
      <c r="H2167" s="100">
        <v>-7.3221661502934118E-2</v>
      </c>
      <c r="I2167" s="100">
        <v>-5.5229028898663227E-2</v>
      </c>
    </row>
    <row r="2168" spans="1:9">
      <c r="A2168" s="90">
        <v>2152</v>
      </c>
      <c r="B2168" s="110">
        <v>1.0923745157694142</v>
      </c>
      <c r="C2168" s="110">
        <v>1.0537402471280974</v>
      </c>
      <c r="G2168" s="90">
        <v>2152</v>
      </c>
      <c r="H2168" s="100">
        <v>-3.6007806786450887E-2</v>
      </c>
      <c r="I2168" s="100">
        <v>-5.52185494129653E-2</v>
      </c>
    </row>
    <row r="2169" spans="1:9">
      <c r="A2169" s="90">
        <v>2153</v>
      </c>
      <c r="B2169" s="110">
        <v>1.1142745048325529</v>
      </c>
      <c r="C2169" s="110">
        <v>1.0739535309864403</v>
      </c>
      <c r="G2169" s="90">
        <v>2153</v>
      </c>
      <c r="H2169" s="100">
        <v>-3.685679691130752E-2</v>
      </c>
      <c r="I2169" s="100">
        <v>-5.5215055325608817E-2</v>
      </c>
    </row>
    <row r="2170" spans="1:9">
      <c r="A2170" s="90">
        <v>2154</v>
      </c>
      <c r="B2170" s="110">
        <v>1.1231249764483935</v>
      </c>
      <c r="C2170" s="110">
        <v>1.0485541257837794</v>
      </c>
      <c r="G2170" s="90">
        <v>2154</v>
      </c>
      <c r="H2170" s="100">
        <v>-6.870276544713555E-2</v>
      </c>
      <c r="I2170" s="100">
        <v>-5.5213644654425943E-2</v>
      </c>
    </row>
    <row r="2171" spans="1:9">
      <c r="A2171" s="90">
        <v>2155</v>
      </c>
      <c r="B2171" s="110">
        <v>1.0780421911773486</v>
      </c>
      <c r="C2171" s="110">
        <v>1.071000202014361</v>
      </c>
      <c r="G2171" s="90">
        <v>2155</v>
      </c>
      <c r="H2171" s="100">
        <v>-6.5536300165793624E-3</v>
      </c>
      <c r="I2171" s="100">
        <v>-5.5213556099749914E-2</v>
      </c>
    </row>
    <row r="2172" spans="1:9">
      <c r="A2172" s="90">
        <v>2156</v>
      </c>
      <c r="B2172" s="110">
        <v>1.0763914750306478</v>
      </c>
      <c r="C2172" s="110">
        <v>1.03534575153553</v>
      </c>
      <c r="G2172" s="90">
        <v>2156</v>
      </c>
      <c r="H2172" s="100">
        <v>-3.8878789562963152E-2</v>
      </c>
      <c r="I2172" s="100">
        <v>-5.5209444914069844E-2</v>
      </c>
    </row>
    <row r="2173" spans="1:9">
      <c r="A2173" s="90">
        <v>2157</v>
      </c>
      <c r="B2173" s="110">
        <v>1.1135833650229066</v>
      </c>
      <c r="C2173" s="110">
        <v>1.0328533908032924</v>
      </c>
      <c r="G2173" s="90">
        <v>2157</v>
      </c>
      <c r="H2173" s="100">
        <v>-7.5257818053367578E-2</v>
      </c>
      <c r="I2173" s="100">
        <v>-5.5206805685009429E-2</v>
      </c>
    </row>
    <row r="2174" spans="1:9">
      <c r="A2174" s="90">
        <v>2158</v>
      </c>
      <c r="B2174" s="110">
        <v>1.1053239638234014</v>
      </c>
      <c r="C2174" s="110">
        <v>1.0581957992541069</v>
      </c>
      <c r="G2174" s="90">
        <v>2158</v>
      </c>
      <c r="H2174" s="100">
        <v>-4.3573090160382119E-2</v>
      </c>
      <c r="I2174" s="100">
        <v>-5.520677969808041E-2</v>
      </c>
    </row>
    <row r="2175" spans="1:9">
      <c r="A2175" s="90">
        <v>2159</v>
      </c>
      <c r="B2175" s="110">
        <v>1.1064862596579199</v>
      </c>
      <c r="C2175" s="110">
        <v>1.0506084535541815</v>
      </c>
      <c r="G2175" s="90">
        <v>2159</v>
      </c>
      <c r="H2175" s="100">
        <v>-5.181998667856115E-2</v>
      </c>
      <c r="I2175" s="100">
        <v>-5.5205925075066303E-2</v>
      </c>
    </row>
    <row r="2176" spans="1:9">
      <c r="A2176" s="90">
        <v>2160</v>
      </c>
      <c r="B2176" s="110">
        <v>1.1129997469695454</v>
      </c>
      <c r="C2176" s="110">
        <v>1.0453317702335381</v>
      </c>
      <c r="G2176" s="90">
        <v>2160</v>
      </c>
      <c r="H2176" s="100">
        <v>-6.2724526445822743E-2</v>
      </c>
      <c r="I2176" s="100">
        <v>-5.5195083506275271E-2</v>
      </c>
    </row>
    <row r="2177" spans="1:9">
      <c r="A2177" s="90">
        <v>2161</v>
      </c>
      <c r="B2177" s="110">
        <v>1.0554003308630935</v>
      </c>
      <c r="C2177" s="110">
        <v>1.0446357914193138</v>
      </c>
      <c r="G2177" s="90">
        <v>2161</v>
      </c>
      <c r="H2177" s="100">
        <v>-1.0251855774585667E-2</v>
      </c>
      <c r="I2177" s="100">
        <v>-5.5189828632670489E-2</v>
      </c>
    </row>
    <row r="2178" spans="1:9">
      <c r="A2178" s="90">
        <v>2162</v>
      </c>
      <c r="B2178" s="110">
        <v>1.0909344039659559</v>
      </c>
      <c r="C2178" s="110">
        <v>1.0510840116406375</v>
      </c>
      <c r="G2178" s="90">
        <v>2162</v>
      </c>
      <c r="H2178" s="100">
        <v>-3.7212556697913381E-2</v>
      </c>
      <c r="I2178" s="100">
        <v>-5.5171322092002817E-2</v>
      </c>
    </row>
    <row r="2179" spans="1:9">
      <c r="A2179" s="90">
        <v>2163</v>
      </c>
      <c r="B2179" s="110">
        <v>1.1118313327495764</v>
      </c>
      <c r="C2179" s="110">
        <v>1.0675052218469689</v>
      </c>
      <c r="G2179" s="90">
        <v>2163</v>
      </c>
      <c r="H2179" s="100">
        <v>-4.0684147373302032E-2</v>
      </c>
      <c r="I2179" s="100">
        <v>-5.5135044020722161E-2</v>
      </c>
    </row>
    <row r="2180" spans="1:9">
      <c r="A2180" s="90">
        <v>2164</v>
      </c>
      <c r="B2180" s="110">
        <v>1.1065437700181944</v>
      </c>
      <c r="C2180" s="110">
        <v>1.0537793410880707</v>
      </c>
      <c r="G2180" s="90">
        <v>2164</v>
      </c>
      <c r="H2180" s="100">
        <v>-4.8858362510050254E-2</v>
      </c>
      <c r="I2180" s="100">
        <v>-5.5129108443929896E-2</v>
      </c>
    </row>
    <row r="2181" spans="1:9">
      <c r="A2181" s="90">
        <v>2165</v>
      </c>
      <c r="B2181" s="110">
        <v>1.1339822507845099</v>
      </c>
      <c r="C2181" s="110">
        <v>1.0457048551351387</v>
      </c>
      <c r="G2181" s="90">
        <v>2165</v>
      </c>
      <c r="H2181" s="100">
        <v>-8.1044392753707395E-2</v>
      </c>
      <c r="I2181" s="100">
        <v>-5.5125761833589519E-2</v>
      </c>
    </row>
    <row r="2182" spans="1:9">
      <c r="A2182" s="90">
        <v>2166</v>
      </c>
      <c r="B2182" s="110">
        <v>1.1218013736562602</v>
      </c>
      <c r="C2182" s="110">
        <v>1.0476003059120182</v>
      </c>
      <c r="G2182" s="90">
        <v>2166</v>
      </c>
      <c r="H2182" s="100">
        <v>-6.8433636938576708E-2</v>
      </c>
      <c r="I2182" s="100">
        <v>-5.5091740646559605E-2</v>
      </c>
    </row>
    <row r="2183" spans="1:9">
      <c r="A2183" s="90">
        <v>2167</v>
      </c>
      <c r="B2183" s="110">
        <v>1.1267333312474084</v>
      </c>
      <c r="C2183" s="110">
        <v>1.0677868633978822</v>
      </c>
      <c r="G2183" s="90">
        <v>2167</v>
      </c>
      <c r="H2183" s="100">
        <v>-5.3734434307391811E-2</v>
      </c>
      <c r="I2183" s="100">
        <v>-5.5088905303655185E-2</v>
      </c>
    </row>
    <row r="2184" spans="1:9">
      <c r="A2184" s="90">
        <v>2168</v>
      </c>
      <c r="B2184" s="110">
        <v>1.1033170555880691</v>
      </c>
      <c r="C2184" s="110">
        <v>1.0487075179252048</v>
      </c>
      <c r="G2184" s="90">
        <v>2168</v>
      </c>
      <c r="H2184" s="100">
        <v>-5.0762676731634038E-2</v>
      </c>
      <c r="I2184" s="100">
        <v>-5.50875541356989E-2</v>
      </c>
    </row>
    <row r="2185" spans="1:9">
      <c r="A2185" s="90">
        <v>2169</v>
      </c>
      <c r="B2185" s="110">
        <v>1.1200143002529528</v>
      </c>
      <c r="C2185" s="110">
        <v>1.0422273337193215</v>
      </c>
      <c r="G2185" s="90">
        <v>2169</v>
      </c>
      <c r="H2185" s="100">
        <v>-7.1981363217074323E-2</v>
      </c>
      <c r="I2185" s="100">
        <v>-5.5062297680189817E-2</v>
      </c>
    </row>
    <row r="2186" spans="1:9">
      <c r="A2186" s="90">
        <v>2170</v>
      </c>
      <c r="B2186" s="110">
        <v>1.1165634397605539</v>
      </c>
      <c r="C2186" s="110">
        <v>1.0435494589847476</v>
      </c>
      <c r="G2186" s="90">
        <v>2170</v>
      </c>
      <c r="H2186" s="100">
        <v>-6.7627767272184766E-2</v>
      </c>
      <c r="I2186" s="100">
        <v>-5.5055851619720819E-2</v>
      </c>
    </row>
    <row r="2187" spans="1:9">
      <c r="A2187" s="90">
        <v>2171</v>
      </c>
      <c r="B2187" s="110">
        <v>1.1675062339487388</v>
      </c>
      <c r="C2187" s="110">
        <v>1.0567265214989114</v>
      </c>
      <c r="G2187" s="90">
        <v>2171</v>
      </c>
      <c r="H2187" s="100">
        <v>-9.9694107548847929E-2</v>
      </c>
      <c r="I2187" s="100">
        <v>-5.5054644374343431E-2</v>
      </c>
    </row>
    <row r="2188" spans="1:9">
      <c r="A2188" s="90">
        <v>2172</v>
      </c>
      <c r="B2188" s="110">
        <v>1.1063947249210944</v>
      </c>
      <c r="C2188" s="110">
        <v>1.0299590390553472</v>
      </c>
      <c r="G2188" s="90">
        <v>2172</v>
      </c>
      <c r="H2188" s="100">
        <v>-7.1587700027265597E-2</v>
      </c>
      <c r="I2188" s="100">
        <v>-5.505193754678149E-2</v>
      </c>
    </row>
    <row r="2189" spans="1:9">
      <c r="A2189" s="90">
        <v>2173</v>
      </c>
      <c r="B2189" s="110">
        <v>1.1067962468949526</v>
      </c>
      <c r="C2189" s="110">
        <v>1.0437893277086452</v>
      </c>
      <c r="G2189" s="90">
        <v>2173</v>
      </c>
      <c r="H2189" s="100">
        <v>-5.8611902258551139E-2</v>
      </c>
      <c r="I2189" s="100">
        <v>-5.5033882802346196E-2</v>
      </c>
    </row>
    <row r="2190" spans="1:9">
      <c r="A2190" s="90">
        <v>2174</v>
      </c>
      <c r="B2190" s="110">
        <v>1.0940590422767424</v>
      </c>
      <c r="C2190" s="110">
        <v>1.040543776893442</v>
      </c>
      <c r="G2190" s="90">
        <v>2174</v>
      </c>
      <c r="H2190" s="100">
        <v>-5.0151232811951975E-2</v>
      </c>
      <c r="I2190" s="100">
        <v>-5.5024871239646299E-2</v>
      </c>
    </row>
    <row r="2191" spans="1:9">
      <c r="A2191" s="90">
        <v>2175</v>
      </c>
      <c r="B2191" s="110">
        <v>1.1288015097214688</v>
      </c>
      <c r="C2191" s="110">
        <v>1.0419299750749442</v>
      </c>
      <c r="G2191" s="90">
        <v>2175</v>
      </c>
      <c r="H2191" s="100">
        <v>-8.0081720362866066E-2</v>
      </c>
      <c r="I2191" s="100">
        <v>-5.4997893853929433E-2</v>
      </c>
    </row>
    <row r="2192" spans="1:9">
      <c r="A2192" s="90">
        <v>2176</v>
      </c>
      <c r="B2192" s="110">
        <v>1.1087035792804734</v>
      </c>
      <c r="C2192" s="110">
        <v>1.0604816240878321</v>
      </c>
      <c r="G2192" s="90">
        <v>2176</v>
      </c>
      <c r="H2192" s="100">
        <v>-4.4468218869248302E-2</v>
      </c>
      <c r="I2192" s="100">
        <v>-5.4974215921041514E-2</v>
      </c>
    </row>
    <row r="2193" spans="1:9">
      <c r="A2193" s="90">
        <v>2177</v>
      </c>
      <c r="B2193" s="110">
        <v>1.1264509154780096</v>
      </c>
      <c r="C2193" s="110">
        <v>1.0659666911918579</v>
      </c>
      <c r="G2193" s="90">
        <v>2177</v>
      </c>
      <c r="H2193" s="100">
        <v>-5.5189828632670489E-2</v>
      </c>
      <c r="I2193" s="100">
        <v>-5.4969269916654996E-2</v>
      </c>
    </row>
    <row r="2194" spans="1:9">
      <c r="A2194" s="90">
        <v>2178</v>
      </c>
      <c r="B2194" s="110">
        <v>1.1333429422891352</v>
      </c>
      <c r="C2194" s="110">
        <v>1.0652973151590219</v>
      </c>
      <c r="G2194" s="90">
        <v>2178</v>
      </c>
      <c r="H2194" s="100">
        <v>-6.1917692044147925E-2</v>
      </c>
      <c r="I2194" s="100">
        <v>-5.4964526089776977E-2</v>
      </c>
    </row>
    <row r="2195" spans="1:9">
      <c r="A2195" s="90">
        <v>2179</v>
      </c>
      <c r="B2195" s="110">
        <v>1.0882913165923129</v>
      </c>
      <c r="C2195" s="110">
        <v>1.0651865302413024</v>
      </c>
      <c r="G2195" s="90">
        <v>2179</v>
      </c>
      <c r="H2195" s="100">
        <v>-2.145893722322216E-2</v>
      </c>
      <c r="I2195" s="100">
        <v>-5.49644550782327E-2</v>
      </c>
    </row>
    <row r="2196" spans="1:9">
      <c r="A2196" s="90">
        <v>2180</v>
      </c>
      <c r="B2196" s="110">
        <v>1.1452050418204007</v>
      </c>
      <c r="C2196" s="110">
        <v>1.048489436037392</v>
      </c>
      <c r="G2196" s="90">
        <v>2180</v>
      </c>
      <c r="H2196" s="100">
        <v>-8.8233200800707096E-2</v>
      </c>
      <c r="I2196" s="100">
        <v>-5.496276301585188E-2</v>
      </c>
    </row>
    <row r="2197" spans="1:9">
      <c r="A2197" s="90">
        <v>2181</v>
      </c>
      <c r="B2197" s="110">
        <v>1.0934151849533058</v>
      </c>
      <c r="C2197" s="110">
        <v>1.0490985469855125</v>
      </c>
      <c r="G2197" s="90">
        <v>2181</v>
      </c>
      <c r="H2197" s="100">
        <v>-4.1374726468441536E-2</v>
      </c>
      <c r="I2197" s="100">
        <v>-5.495945027378818E-2</v>
      </c>
    </row>
    <row r="2198" spans="1:9">
      <c r="A2198" s="90">
        <v>2182</v>
      </c>
      <c r="B2198" s="110">
        <v>1.0637764614136709</v>
      </c>
      <c r="C2198" s="110">
        <v>1.0735006493109762</v>
      </c>
      <c r="G2198" s="90">
        <v>2182</v>
      </c>
      <c r="H2198" s="100">
        <v>9.0996670001341137E-3</v>
      </c>
      <c r="I2198" s="100">
        <v>-5.4959131053670472E-2</v>
      </c>
    </row>
    <row r="2199" spans="1:9">
      <c r="A2199" s="90">
        <v>2183</v>
      </c>
      <c r="B2199" s="110">
        <v>1.1264223120214323</v>
      </c>
      <c r="C2199" s="110">
        <v>1.0588627071063064</v>
      </c>
      <c r="G2199" s="90">
        <v>2183</v>
      </c>
      <c r="H2199" s="100">
        <v>-6.1851100171744812E-2</v>
      </c>
      <c r="I2199" s="100">
        <v>-5.4944871662102678E-2</v>
      </c>
    </row>
    <row r="2200" spans="1:9">
      <c r="A2200" s="90">
        <v>2184</v>
      </c>
      <c r="B2200" s="110">
        <v>1.1286369091610227</v>
      </c>
      <c r="C2200" s="110">
        <v>1.0622973391932036</v>
      </c>
      <c r="G2200" s="90">
        <v>2184</v>
      </c>
      <c r="H2200" s="100">
        <v>-6.0576765469652148E-2</v>
      </c>
      <c r="I2200" s="100">
        <v>-5.4936998083414797E-2</v>
      </c>
    </row>
    <row r="2201" spans="1:9">
      <c r="A2201" s="90">
        <v>2185</v>
      </c>
      <c r="B2201" s="110">
        <v>1.0807037236828771</v>
      </c>
      <c r="C2201" s="110">
        <v>1.0471764683228373</v>
      </c>
      <c r="G2201" s="90">
        <v>2185</v>
      </c>
      <c r="H2201" s="100">
        <v>-3.1514960625105254E-2</v>
      </c>
      <c r="I2201" s="100">
        <v>-5.48918721940709E-2</v>
      </c>
    </row>
    <row r="2202" spans="1:9">
      <c r="A2202" s="90">
        <v>2186</v>
      </c>
      <c r="B2202" s="110">
        <v>1.1159811929658419</v>
      </c>
      <c r="C2202" s="110">
        <v>1.038425010815837</v>
      </c>
      <c r="G2202" s="90">
        <v>2186</v>
      </c>
      <c r="H2202" s="100">
        <v>-7.2028859041708679E-2</v>
      </c>
      <c r="I2202" s="100">
        <v>-5.4888601454809949E-2</v>
      </c>
    </row>
    <row r="2203" spans="1:9">
      <c r="A2203" s="90">
        <v>2187</v>
      </c>
      <c r="B2203" s="110">
        <v>1.1041745703952208</v>
      </c>
      <c r="C2203" s="110">
        <v>1.0691169409787529</v>
      </c>
      <c r="G2203" s="90">
        <v>2187</v>
      </c>
      <c r="H2203" s="100">
        <v>-3.2265041781776152E-2</v>
      </c>
      <c r="I2203" s="100">
        <v>-5.488621188701568E-2</v>
      </c>
    </row>
    <row r="2204" spans="1:9">
      <c r="A2204" s="90">
        <v>2188</v>
      </c>
      <c r="B2204" s="110">
        <v>1.0936551795041896</v>
      </c>
      <c r="C2204" s="110">
        <v>1.0681581897649859</v>
      </c>
      <c r="G2204" s="90">
        <v>2188</v>
      </c>
      <c r="H2204" s="100">
        <v>-2.35896145797602E-2</v>
      </c>
      <c r="I2204" s="100">
        <v>-5.4879276825991821E-2</v>
      </c>
    </row>
    <row r="2205" spans="1:9">
      <c r="A2205" s="90">
        <v>2189</v>
      </c>
      <c r="B2205" s="110">
        <v>1.1145938149041785</v>
      </c>
      <c r="C2205" s="110">
        <v>1.0604646198084535</v>
      </c>
      <c r="G2205" s="90">
        <v>2189</v>
      </c>
      <c r="H2205" s="100">
        <v>-4.9782914312443992E-2</v>
      </c>
      <c r="I2205" s="100">
        <v>-5.4878215419611076E-2</v>
      </c>
    </row>
    <row r="2206" spans="1:9">
      <c r="A2206" s="90">
        <v>2190</v>
      </c>
      <c r="B2206" s="110">
        <v>1.1379942795558522</v>
      </c>
      <c r="C2206" s="110">
        <v>1.0729922891293386</v>
      </c>
      <c r="G2206" s="90">
        <v>2190</v>
      </c>
      <c r="H2206" s="100">
        <v>-5.8816031589188841E-2</v>
      </c>
      <c r="I2206" s="100">
        <v>-5.4874701783683907E-2</v>
      </c>
    </row>
    <row r="2207" spans="1:9">
      <c r="A2207" s="90">
        <v>2191</v>
      </c>
      <c r="B2207" s="110">
        <v>1.121117091421322</v>
      </c>
      <c r="C2207" s="110">
        <v>1.0611229110245854</v>
      </c>
      <c r="G2207" s="90">
        <v>2191</v>
      </c>
      <c r="H2207" s="100">
        <v>-5.4997893853929433E-2</v>
      </c>
      <c r="I2207" s="100">
        <v>-5.4870671441894364E-2</v>
      </c>
    </row>
    <row r="2208" spans="1:9">
      <c r="A2208" s="90">
        <v>2192</v>
      </c>
      <c r="B2208" s="110">
        <v>1.1324453998349377</v>
      </c>
      <c r="C2208" s="110">
        <v>1.0466630692108509</v>
      </c>
      <c r="G2208" s="90">
        <v>2192</v>
      </c>
      <c r="H2208" s="100">
        <v>-7.8772290960083841E-2</v>
      </c>
      <c r="I2208" s="100">
        <v>-5.4853800492854828E-2</v>
      </c>
    </row>
    <row r="2209" spans="1:9">
      <c r="A2209" s="90">
        <v>2193</v>
      </c>
      <c r="B2209" s="110">
        <v>1.1056658658522491</v>
      </c>
      <c r="C2209" s="110">
        <v>1.0602890828733269</v>
      </c>
      <c r="G2209" s="90">
        <v>2193</v>
      </c>
      <c r="H2209" s="100">
        <v>-4.1906156380047632E-2</v>
      </c>
      <c r="I2209" s="100">
        <v>-5.4841349977787029E-2</v>
      </c>
    </row>
    <row r="2210" spans="1:9">
      <c r="A2210" s="90">
        <v>2194</v>
      </c>
      <c r="B2210" s="110">
        <v>1.0953038120321241</v>
      </c>
      <c r="C2210" s="110">
        <v>1.0518416465513756</v>
      </c>
      <c r="G2210" s="90">
        <v>2194</v>
      </c>
      <c r="H2210" s="100">
        <v>-4.0489201802380963E-2</v>
      </c>
      <c r="I2210" s="100">
        <v>-5.482688072940925E-2</v>
      </c>
    </row>
    <row r="2211" spans="1:9">
      <c r="A2211" s="90">
        <v>2195</v>
      </c>
      <c r="B2211" s="110">
        <v>1.082222055931753</v>
      </c>
      <c r="C2211" s="110">
        <v>1.0386787232113084</v>
      </c>
      <c r="G2211" s="90">
        <v>2195</v>
      </c>
      <c r="H2211" s="100">
        <v>-4.1066939675628598E-2</v>
      </c>
      <c r="I2211" s="100">
        <v>-5.4822981940873948E-2</v>
      </c>
    </row>
    <row r="2212" spans="1:9">
      <c r="A2212" s="90">
        <v>2196</v>
      </c>
      <c r="B2212" s="110">
        <v>1.0890318690558491</v>
      </c>
      <c r="C2212" s="110">
        <v>1.0603624194145576</v>
      </c>
      <c r="G2212" s="90">
        <v>2196</v>
      </c>
      <c r="H2212" s="100">
        <v>-2.6678353240903736E-2</v>
      </c>
      <c r="I2212" s="100">
        <v>-5.4820143963703362E-2</v>
      </c>
    </row>
    <row r="2213" spans="1:9">
      <c r="A2213" s="90">
        <v>2197</v>
      </c>
      <c r="B2213" s="110">
        <v>1.1175827860228271</v>
      </c>
      <c r="C2213" s="110">
        <v>1.0576829000128558</v>
      </c>
      <c r="G2213" s="90">
        <v>2197</v>
      </c>
      <c r="H2213" s="100">
        <v>-5.50875541356989E-2</v>
      </c>
      <c r="I2213" s="100">
        <v>-5.4818431542780106E-2</v>
      </c>
    </row>
    <row r="2214" spans="1:9">
      <c r="A2214" s="90">
        <v>2198</v>
      </c>
      <c r="B2214" s="110">
        <v>1.0914231156867382</v>
      </c>
      <c r="C2214" s="110">
        <v>1.069158754904239</v>
      </c>
      <c r="G2214" s="90">
        <v>2198</v>
      </c>
      <c r="H2214" s="100">
        <v>-2.0610326515799145E-2</v>
      </c>
      <c r="I2214" s="100">
        <v>-5.4807004279028369E-2</v>
      </c>
    </row>
    <row r="2215" spans="1:9">
      <c r="A2215" s="90">
        <v>2199</v>
      </c>
      <c r="B2215" s="110">
        <v>1.1187854212799349</v>
      </c>
      <c r="C2215" s="110">
        <v>1.0495425274835937</v>
      </c>
      <c r="G2215" s="90">
        <v>2199</v>
      </c>
      <c r="H2215" s="100">
        <v>-6.3889270466058593E-2</v>
      </c>
      <c r="I2215" s="100">
        <v>-5.4806304333566917E-2</v>
      </c>
    </row>
    <row r="2216" spans="1:9">
      <c r="A2216" s="90">
        <v>2200</v>
      </c>
      <c r="B2216" s="110">
        <v>1.1212338892267979</v>
      </c>
      <c r="C2216" s="110">
        <v>1.04409090938152</v>
      </c>
      <c r="G2216" s="90">
        <v>2200</v>
      </c>
      <c r="H2216" s="100">
        <v>-7.1283202084043942E-2</v>
      </c>
      <c r="I2216" s="100">
        <v>-5.477572269609754E-2</v>
      </c>
    </row>
    <row r="2217" spans="1:9">
      <c r="A2217" s="90">
        <v>2201</v>
      </c>
      <c r="B2217" s="110">
        <v>1.1060389815150669</v>
      </c>
      <c r="C2217" s="110">
        <v>1.0560295137423412</v>
      </c>
      <c r="G2217" s="90">
        <v>2201</v>
      </c>
      <c r="H2217" s="100">
        <v>-4.6269014458706778E-2</v>
      </c>
      <c r="I2217" s="100">
        <v>-5.4743649199105793E-2</v>
      </c>
    </row>
    <row r="2218" spans="1:9">
      <c r="A2218" s="90">
        <v>2202</v>
      </c>
      <c r="B2218" s="110">
        <v>1.1034427413739885</v>
      </c>
      <c r="C2218" s="110">
        <v>1.0453601410802495</v>
      </c>
      <c r="G2218" s="90">
        <v>2202</v>
      </c>
      <c r="H2218" s="100">
        <v>-5.4073598513576168E-2</v>
      </c>
      <c r="I2218" s="100">
        <v>-5.4742674421421993E-2</v>
      </c>
    </row>
    <row r="2219" spans="1:9">
      <c r="A2219" s="90">
        <v>2203</v>
      </c>
      <c r="B2219" s="110">
        <v>1.1035539588379542</v>
      </c>
      <c r="C2219" s="110">
        <v>1.0687159133454283</v>
      </c>
      <c r="G2219" s="90">
        <v>2203</v>
      </c>
      <c r="H2219" s="100">
        <v>-3.2077996609585012E-2</v>
      </c>
      <c r="I2219" s="100">
        <v>-5.4741349231441284E-2</v>
      </c>
    </row>
    <row r="2220" spans="1:9">
      <c r="A2220" s="90">
        <v>2204</v>
      </c>
      <c r="B2220" s="110">
        <v>1.1278161143884238</v>
      </c>
      <c r="C2220" s="110">
        <v>1.0601693270917885</v>
      </c>
      <c r="G2220" s="90">
        <v>2204</v>
      </c>
      <c r="H2220" s="100">
        <v>-6.1854482721682931E-2</v>
      </c>
      <c r="I2220" s="100">
        <v>-5.4731751574650524E-2</v>
      </c>
    </row>
    <row r="2221" spans="1:9">
      <c r="A2221" s="90">
        <v>2205</v>
      </c>
      <c r="B2221" s="110">
        <v>1.1038138601297853</v>
      </c>
      <c r="C2221" s="110">
        <v>1.0486838083517416</v>
      </c>
      <c r="G2221" s="90">
        <v>2205</v>
      </c>
      <c r="H2221" s="100">
        <v>-5.1235466678806359E-2</v>
      </c>
      <c r="I2221" s="100">
        <v>-5.46967860565487E-2</v>
      </c>
    </row>
    <row r="2222" spans="1:9">
      <c r="A2222" s="90">
        <v>2206</v>
      </c>
      <c r="B2222" s="110">
        <v>1.0947602470293969</v>
      </c>
      <c r="C2222" s="110">
        <v>1.0543790259424728</v>
      </c>
      <c r="G2222" s="90">
        <v>2206</v>
      </c>
      <c r="H2222" s="100">
        <v>-3.7583394178239922E-2</v>
      </c>
      <c r="I2222" s="100">
        <v>-5.4696764618069361E-2</v>
      </c>
    </row>
    <row r="2223" spans="1:9">
      <c r="A2223" s="90">
        <v>2207</v>
      </c>
      <c r="B2223" s="110">
        <v>1.0526875066976931</v>
      </c>
      <c r="C2223" s="110">
        <v>1.0497366988347554</v>
      </c>
      <c r="G2223" s="90">
        <v>2207</v>
      </c>
      <c r="H2223" s="100">
        <v>-2.8070546303265807E-3</v>
      </c>
      <c r="I2223" s="100">
        <v>-5.4696470412843777E-2</v>
      </c>
    </row>
    <row r="2224" spans="1:9">
      <c r="A2224" s="90">
        <v>2208</v>
      </c>
      <c r="B2224" s="110">
        <v>1.0978426594856623</v>
      </c>
      <c r="C2224" s="110">
        <v>1.0592544993897812</v>
      </c>
      <c r="G2224" s="90">
        <v>2208</v>
      </c>
      <c r="H2224" s="100">
        <v>-3.5781677219089335E-2</v>
      </c>
      <c r="I2224" s="100">
        <v>-5.468879427435494E-2</v>
      </c>
    </row>
    <row r="2225" spans="1:9">
      <c r="A2225" s="90">
        <v>2209</v>
      </c>
      <c r="B2225" s="110">
        <v>1.126005394015996</v>
      </c>
      <c r="C2225" s="110">
        <v>1.0360125488492788</v>
      </c>
      <c r="G2225" s="90">
        <v>2209</v>
      </c>
      <c r="H2225" s="100">
        <v>-8.3297063575945102E-2</v>
      </c>
      <c r="I2225" s="100">
        <v>-5.4686760522730575E-2</v>
      </c>
    </row>
    <row r="2226" spans="1:9">
      <c r="A2226" s="90">
        <v>2210</v>
      </c>
      <c r="B2226" s="110">
        <v>1.1072770001075498</v>
      </c>
      <c r="C2226" s="110">
        <v>1.0677803412702678</v>
      </c>
      <c r="G2226" s="90">
        <v>2210</v>
      </c>
      <c r="H2226" s="100">
        <v>-3.6321801941455005E-2</v>
      </c>
      <c r="I2226" s="100">
        <v>-5.4683382805621947E-2</v>
      </c>
    </row>
    <row r="2227" spans="1:9">
      <c r="A2227" s="90">
        <v>2211</v>
      </c>
      <c r="B2227" s="110">
        <v>1.1194026449435255</v>
      </c>
      <c r="C2227" s="110">
        <v>1.049142647899503</v>
      </c>
      <c r="G2227" s="90">
        <v>2211</v>
      </c>
      <c r="H2227" s="100">
        <v>-6.482188547418645E-2</v>
      </c>
      <c r="I2227" s="100">
        <v>-5.4683331088522573E-2</v>
      </c>
    </row>
    <row r="2228" spans="1:9">
      <c r="A2228" s="90">
        <v>2212</v>
      </c>
      <c r="B2228" s="110">
        <v>1.1066681314776627</v>
      </c>
      <c r="C2228" s="110">
        <v>1.0429941752861491</v>
      </c>
      <c r="G2228" s="90">
        <v>2212</v>
      </c>
      <c r="H2228" s="100">
        <v>-5.9258226457802175E-2</v>
      </c>
      <c r="I2228" s="100">
        <v>-5.4676171060476453E-2</v>
      </c>
    </row>
    <row r="2229" spans="1:9">
      <c r="A2229" s="90">
        <v>2213</v>
      </c>
      <c r="B2229" s="110">
        <v>1.1112867401517807</v>
      </c>
      <c r="C2229" s="110">
        <v>1.0469718243605628</v>
      </c>
      <c r="G2229" s="90">
        <v>2213</v>
      </c>
      <c r="H2229" s="100">
        <v>-5.9616548607404542E-2</v>
      </c>
      <c r="I2229" s="100">
        <v>-5.464668113450237E-2</v>
      </c>
    </row>
    <row r="2230" spans="1:9">
      <c r="A2230" s="90">
        <v>2214</v>
      </c>
      <c r="B2230" s="110">
        <v>1.1086067433447298</v>
      </c>
      <c r="C2230" s="110">
        <v>1.0451018164221122</v>
      </c>
      <c r="G2230" s="90">
        <v>2214</v>
      </c>
      <c r="H2230" s="100">
        <v>-5.8989728088886112E-2</v>
      </c>
      <c r="I2230" s="100">
        <v>-5.4635579372040062E-2</v>
      </c>
    </row>
    <row r="2231" spans="1:9">
      <c r="A2231" s="90">
        <v>2215</v>
      </c>
      <c r="B2231" s="110">
        <v>1.1005897837854604</v>
      </c>
      <c r="C2231" s="110">
        <v>1.0464849635563154</v>
      </c>
      <c r="G2231" s="90">
        <v>2215</v>
      </c>
      <c r="H2231" s="100">
        <v>-5.0409308712060528E-2</v>
      </c>
      <c r="I2231" s="100">
        <v>-5.4625693026797636E-2</v>
      </c>
    </row>
    <row r="2232" spans="1:9">
      <c r="A2232" s="90">
        <v>2216</v>
      </c>
      <c r="B2232" s="110">
        <v>1.1198651936503656</v>
      </c>
      <c r="C2232" s="110">
        <v>1.0520486703933289</v>
      </c>
      <c r="G2232" s="90">
        <v>2216</v>
      </c>
      <c r="H2232" s="100">
        <v>-6.2468937372860057E-2</v>
      </c>
      <c r="I2232" s="100">
        <v>-5.4597907040229612E-2</v>
      </c>
    </row>
    <row r="2233" spans="1:9">
      <c r="A2233" s="90">
        <v>2217</v>
      </c>
      <c r="B2233" s="110">
        <v>1.1063590139046728</v>
      </c>
      <c r="C2233" s="110">
        <v>1.049085089196117</v>
      </c>
      <c r="G2233" s="90">
        <v>2217</v>
      </c>
      <c r="H2233" s="100">
        <v>-5.3156015421370495E-2</v>
      </c>
      <c r="I2233" s="100">
        <v>-5.458724127597462E-2</v>
      </c>
    </row>
    <row r="2234" spans="1:9">
      <c r="A2234" s="90">
        <v>2218</v>
      </c>
      <c r="B2234" s="110">
        <v>1.0979721291216142</v>
      </c>
      <c r="C2234" s="110">
        <v>1.0462119420205291</v>
      </c>
      <c r="G2234" s="90">
        <v>2218</v>
      </c>
      <c r="H2234" s="100">
        <v>-4.8288992899207794E-2</v>
      </c>
      <c r="I2234" s="100">
        <v>-5.453930773116842E-2</v>
      </c>
    </row>
    <row r="2235" spans="1:9">
      <c r="A2235" s="90">
        <v>2219</v>
      </c>
      <c r="B2235" s="110">
        <v>1.1465413148906187</v>
      </c>
      <c r="C2235" s="110">
        <v>1.0367448217950741</v>
      </c>
      <c r="G2235" s="90">
        <v>2219</v>
      </c>
      <c r="H2235" s="100">
        <v>-0.1006640328517639</v>
      </c>
      <c r="I2235" s="100">
        <v>-5.4535798533033045E-2</v>
      </c>
    </row>
    <row r="2236" spans="1:9">
      <c r="A2236" s="90">
        <v>2220</v>
      </c>
      <c r="B2236" s="110">
        <v>1.116931545769922</v>
      </c>
      <c r="C2236" s="110">
        <v>1.0481103414038317</v>
      </c>
      <c r="G2236" s="90">
        <v>2220</v>
      </c>
      <c r="H2236" s="100">
        <v>-6.3596366251685965E-2</v>
      </c>
      <c r="I2236" s="100">
        <v>-5.453169998276388E-2</v>
      </c>
    </row>
    <row r="2237" spans="1:9">
      <c r="A2237" s="90">
        <v>2221</v>
      </c>
      <c r="B2237" s="110">
        <v>1.116843324368862</v>
      </c>
      <c r="C2237" s="110">
        <v>1.0392870302432868</v>
      </c>
      <c r="G2237" s="90">
        <v>2221</v>
      </c>
      <c r="H2237" s="100">
        <v>-7.1971315368844269E-2</v>
      </c>
      <c r="I2237" s="100">
        <v>-5.4527138361478024E-2</v>
      </c>
    </row>
    <row r="2238" spans="1:9">
      <c r="A2238" s="90">
        <v>2222</v>
      </c>
      <c r="B2238" s="110">
        <v>1.1161282838090876</v>
      </c>
      <c r="C2238" s="110">
        <v>1.0350347225456118</v>
      </c>
      <c r="G2238" s="90">
        <v>2222</v>
      </c>
      <c r="H2238" s="100">
        <v>-7.5430832494787395E-2</v>
      </c>
      <c r="I2238" s="100">
        <v>-5.452652295069739E-2</v>
      </c>
    </row>
    <row r="2239" spans="1:9">
      <c r="A2239" s="90">
        <v>2223</v>
      </c>
      <c r="B2239" s="110">
        <v>1.1280833430304844</v>
      </c>
      <c r="C2239" s="110">
        <v>1.0601960935307959</v>
      </c>
      <c r="G2239" s="90">
        <v>2223</v>
      </c>
      <c r="H2239" s="100">
        <v>-6.2066151100086765E-2</v>
      </c>
      <c r="I2239" s="100">
        <v>-5.4525773093593508E-2</v>
      </c>
    </row>
    <row r="2240" spans="1:9">
      <c r="A2240" s="90">
        <v>2224</v>
      </c>
      <c r="B2240" s="110">
        <v>1.1181039890816529</v>
      </c>
      <c r="C2240" s="110">
        <v>1.0330650820893716</v>
      </c>
      <c r="G2240" s="90">
        <v>2224</v>
      </c>
      <c r="H2240" s="100">
        <v>-7.9104192753695818E-2</v>
      </c>
      <c r="I2240" s="100">
        <v>-5.4514915140005366E-2</v>
      </c>
    </row>
    <row r="2241" spans="1:9">
      <c r="A2241" s="90">
        <v>2225</v>
      </c>
      <c r="B2241" s="110">
        <v>1.0865032234171188</v>
      </c>
      <c r="C2241" s="110">
        <v>1.0607837435343037</v>
      </c>
      <c r="G2241" s="90">
        <v>2225</v>
      </c>
      <c r="H2241" s="100">
        <v>-2.3956471890275548E-2</v>
      </c>
      <c r="I2241" s="100">
        <v>-5.4513548271256373E-2</v>
      </c>
    </row>
    <row r="2242" spans="1:9">
      <c r="A2242" s="90">
        <v>2226</v>
      </c>
      <c r="B2242" s="110">
        <v>1.1105863329289907</v>
      </c>
      <c r="C2242" s="110">
        <v>1.0465019349926026</v>
      </c>
      <c r="G2242" s="90">
        <v>2226</v>
      </c>
      <c r="H2242" s="100">
        <v>-5.9434991809286422E-2</v>
      </c>
      <c r="I2242" s="100">
        <v>-5.4502707649285081E-2</v>
      </c>
    </row>
    <row r="2243" spans="1:9">
      <c r="A2243" s="90">
        <v>2227</v>
      </c>
      <c r="B2243" s="110">
        <v>1.1439943453360404</v>
      </c>
      <c r="C2243" s="110">
        <v>1.0537905229010698</v>
      </c>
      <c r="G2243" s="90">
        <v>2227</v>
      </c>
      <c r="H2243" s="100">
        <v>-8.2132264566168164E-2</v>
      </c>
      <c r="I2243" s="100">
        <v>-5.4478715009416832E-2</v>
      </c>
    </row>
    <row r="2244" spans="1:9">
      <c r="A2244" s="90">
        <v>2228</v>
      </c>
      <c r="B2244" s="110">
        <v>1.1035651378645537</v>
      </c>
      <c r="C2244" s="110">
        <v>1.0394516979940922</v>
      </c>
      <c r="G2244" s="90">
        <v>2228</v>
      </c>
      <c r="H2244" s="100">
        <v>-5.9852612735163797E-2</v>
      </c>
      <c r="I2244" s="100">
        <v>-5.446316985306953E-2</v>
      </c>
    </row>
    <row r="2245" spans="1:9">
      <c r="A2245" s="90">
        <v>2229</v>
      </c>
      <c r="B2245" s="110">
        <v>1.1308653603600261</v>
      </c>
      <c r="C2245" s="110">
        <v>1.0701231125991906</v>
      </c>
      <c r="G2245" s="90">
        <v>2229</v>
      </c>
      <c r="H2245" s="100">
        <v>-5.5209444914069844E-2</v>
      </c>
      <c r="I2245" s="100">
        <v>-5.4457840393473234E-2</v>
      </c>
    </row>
    <row r="2246" spans="1:9">
      <c r="A2246" s="90">
        <v>2230</v>
      </c>
      <c r="B2246" s="110">
        <v>1.1114634330277982</v>
      </c>
      <c r="C2246" s="110">
        <v>1.0413155644500036</v>
      </c>
      <c r="G2246" s="90">
        <v>2230</v>
      </c>
      <c r="H2246" s="100">
        <v>-6.5192675545122231E-2</v>
      </c>
      <c r="I2246" s="100">
        <v>-5.4446550782326519E-2</v>
      </c>
    </row>
    <row r="2247" spans="1:9">
      <c r="A2247" s="90">
        <v>2231</v>
      </c>
      <c r="B2247" s="110">
        <v>1.0837549471543086</v>
      </c>
      <c r="C2247" s="110">
        <v>1.0587652112309733</v>
      </c>
      <c r="G2247" s="90">
        <v>2231</v>
      </c>
      <c r="H2247" s="100">
        <v>-2.332847990923614E-2</v>
      </c>
      <c r="I2247" s="100">
        <v>-5.4445019499831541E-2</v>
      </c>
    </row>
    <row r="2248" spans="1:9">
      <c r="A2248" s="90">
        <v>2232</v>
      </c>
      <c r="B2248" s="110">
        <v>1.1095874930389562</v>
      </c>
      <c r="C2248" s="110">
        <v>1.0597508350112956</v>
      </c>
      <c r="G2248" s="90">
        <v>2232</v>
      </c>
      <c r="H2248" s="100">
        <v>-4.5954499178014765E-2</v>
      </c>
      <c r="I2248" s="100">
        <v>-5.4429940479219056E-2</v>
      </c>
    </row>
    <row r="2249" spans="1:9">
      <c r="A2249" s="90">
        <v>2233</v>
      </c>
      <c r="B2249" s="110">
        <v>1.0826826643800005</v>
      </c>
      <c r="C2249" s="110">
        <v>1.0535483636366374</v>
      </c>
      <c r="G2249" s="90">
        <v>2233</v>
      </c>
      <c r="H2249" s="100">
        <v>-2.7278048945772272E-2</v>
      </c>
      <c r="I2249" s="100">
        <v>-5.4411975844952852E-2</v>
      </c>
    </row>
    <row r="2250" spans="1:9">
      <c r="A2250" s="90">
        <v>2234</v>
      </c>
      <c r="B2250" s="110">
        <v>1.1550974727701446</v>
      </c>
      <c r="C2250" s="110">
        <v>1.0538908558487827</v>
      </c>
      <c r="G2250" s="90">
        <v>2234</v>
      </c>
      <c r="H2250" s="100">
        <v>-9.169583999010962E-2</v>
      </c>
      <c r="I2250" s="100">
        <v>-5.4409221952562502E-2</v>
      </c>
    </row>
    <row r="2251" spans="1:9">
      <c r="A2251" s="90">
        <v>2235</v>
      </c>
      <c r="B2251" s="110">
        <v>1.1252778504490379</v>
      </c>
      <c r="C2251" s="110">
        <v>1.0401039411137061</v>
      </c>
      <c r="G2251" s="90">
        <v>2235</v>
      </c>
      <c r="H2251" s="100">
        <v>-7.870933180137886E-2</v>
      </c>
      <c r="I2251" s="100">
        <v>-5.4399619212918679E-2</v>
      </c>
    </row>
    <row r="2252" spans="1:9">
      <c r="A2252" s="90">
        <v>2236</v>
      </c>
      <c r="B2252" s="110">
        <v>1.1038925230221546</v>
      </c>
      <c r="C2252" s="110">
        <v>1.0577505366366009</v>
      </c>
      <c r="G2252" s="90">
        <v>2236</v>
      </c>
      <c r="H2252" s="100">
        <v>-4.2698072825100741E-2</v>
      </c>
      <c r="I2252" s="100">
        <v>-5.4387779951369834E-2</v>
      </c>
    </row>
    <row r="2253" spans="1:9">
      <c r="A2253" s="90">
        <v>2237</v>
      </c>
      <c r="B2253" s="110">
        <v>1.0869968489525093</v>
      </c>
      <c r="C2253" s="110">
        <v>1.0624670116697785</v>
      </c>
      <c r="G2253" s="90">
        <v>2237</v>
      </c>
      <c r="H2253" s="100">
        <v>-2.2825135792900967E-2</v>
      </c>
      <c r="I2253" s="100">
        <v>-5.4378398208030664E-2</v>
      </c>
    </row>
    <row r="2254" spans="1:9">
      <c r="A2254" s="90">
        <v>2238</v>
      </c>
      <c r="B2254" s="110">
        <v>1.109804712423992</v>
      </c>
      <c r="C2254" s="110">
        <v>1.0609044766459736</v>
      </c>
      <c r="G2254" s="90">
        <v>2238</v>
      </c>
      <c r="H2254" s="100">
        <v>-4.5062240950380895E-2</v>
      </c>
      <c r="I2254" s="100">
        <v>-5.4378157863804302E-2</v>
      </c>
    </row>
    <row r="2255" spans="1:9">
      <c r="A2255" s="90">
        <v>2239</v>
      </c>
      <c r="B2255" s="110">
        <v>1.1357679118817088</v>
      </c>
      <c r="C2255" s="110">
        <v>1.0473927484426604</v>
      </c>
      <c r="G2255" s="90">
        <v>2239</v>
      </c>
      <c r="H2255" s="100">
        <v>-8.1005017054674958E-2</v>
      </c>
      <c r="I2255" s="100">
        <v>-5.437312188387243E-2</v>
      </c>
    </row>
    <row r="2256" spans="1:9">
      <c r="A2256" s="90">
        <v>2240</v>
      </c>
      <c r="B2256" s="110">
        <v>1.0760710458460745</v>
      </c>
      <c r="C2256" s="110">
        <v>1.0616729171170491</v>
      </c>
      <c r="G2256" s="90">
        <v>2240</v>
      </c>
      <c r="H2256" s="100">
        <v>-1.3470599564763893E-2</v>
      </c>
      <c r="I2256" s="100">
        <v>-5.4365429203054538E-2</v>
      </c>
    </row>
    <row r="2257" spans="1:9">
      <c r="A2257" s="90">
        <v>2241</v>
      </c>
      <c r="B2257" s="110">
        <v>1.0954371349995906</v>
      </c>
      <c r="C2257" s="110">
        <v>1.0403611968057922</v>
      </c>
      <c r="G2257" s="90">
        <v>2241</v>
      </c>
      <c r="H2257" s="100">
        <v>-5.1585536172677221E-2</v>
      </c>
      <c r="I2257" s="100">
        <v>-5.4359360170402972E-2</v>
      </c>
    </row>
    <row r="2258" spans="1:9">
      <c r="A2258" s="90">
        <v>2242</v>
      </c>
      <c r="B2258" s="110">
        <v>1.1484897221563801</v>
      </c>
      <c r="C2258" s="110">
        <v>1.0393844766405318</v>
      </c>
      <c r="G2258" s="90">
        <v>2242</v>
      </c>
      <c r="H2258" s="100">
        <v>-9.9819105621943474E-2</v>
      </c>
      <c r="I2258" s="100">
        <v>-5.4327747590141563E-2</v>
      </c>
    </row>
    <row r="2259" spans="1:9">
      <c r="A2259" s="90">
        <v>2243</v>
      </c>
      <c r="B2259" s="110">
        <v>1.1228680243217113</v>
      </c>
      <c r="C2259" s="110">
        <v>1.0623404723897454</v>
      </c>
      <c r="G2259" s="90">
        <v>2243</v>
      </c>
      <c r="H2259" s="100">
        <v>-5.541168130002834E-2</v>
      </c>
      <c r="I2259" s="100">
        <v>-5.4321450411085825E-2</v>
      </c>
    </row>
    <row r="2260" spans="1:9">
      <c r="A2260" s="90">
        <v>2244</v>
      </c>
      <c r="B2260" s="110">
        <v>1.0968010165551854</v>
      </c>
      <c r="C2260" s="110">
        <v>1.0512591185490772</v>
      </c>
      <c r="G2260" s="90">
        <v>2244</v>
      </c>
      <c r="H2260" s="100">
        <v>-4.240916982921137E-2</v>
      </c>
      <c r="I2260" s="100">
        <v>-5.4304318837934677E-2</v>
      </c>
    </row>
    <row r="2261" spans="1:9">
      <c r="A2261" s="90">
        <v>2245</v>
      </c>
      <c r="B2261" s="110">
        <v>1.1355731882627946</v>
      </c>
      <c r="C2261" s="110">
        <v>1.0727220315737271</v>
      </c>
      <c r="G2261" s="90">
        <v>2245</v>
      </c>
      <c r="H2261" s="100">
        <v>-5.6938162302951366E-2</v>
      </c>
      <c r="I2261" s="100">
        <v>-5.4294805877766285E-2</v>
      </c>
    </row>
    <row r="2262" spans="1:9">
      <c r="A2262" s="90">
        <v>2246</v>
      </c>
      <c r="B2262" s="110">
        <v>1.1275411434658464</v>
      </c>
      <c r="C2262" s="110">
        <v>1.0472794355232682</v>
      </c>
      <c r="G2262" s="90">
        <v>2246</v>
      </c>
      <c r="H2262" s="100">
        <v>-7.3843494711294963E-2</v>
      </c>
      <c r="I2262" s="100">
        <v>-5.4291505818430029E-2</v>
      </c>
    </row>
    <row r="2263" spans="1:9">
      <c r="A2263" s="90">
        <v>2247</v>
      </c>
      <c r="B2263" s="110">
        <v>1.0954707782551578</v>
      </c>
      <c r="C2263" s="110">
        <v>1.0773360696461882</v>
      </c>
      <c r="G2263" s="90">
        <v>2247</v>
      </c>
      <c r="H2263" s="100">
        <v>-1.6692813470842019E-2</v>
      </c>
      <c r="I2263" s="100">
        <v>-5.4285640229753351E-2</v>
      </c>
    </row>
    <row r="2264" spans="1:9">
      <c r="A2264" s="90">
        <v>2248</v>
      </c>
      <c r="B2264" s="110">
        <v>1.0834511311723634</v>
      </c>
      <c r="C2264" s="110">
        <v>1.0454465660509289</v>
      </c>
      <c r="G2264" s="90">
        <v>2248</v>
      </c>
      <c r="H2264" s="100">
        <v>-3.5707308160270415E-2</v>
      </c>
      <c r="I2264" s="100">
        <v>-5.4282141962720194E-2</v>
      </c>
    </row>
    <row r="2265" spans="1:9">
      <c r="A2265" s="90">
        <v>2249</v>
      </c>
      <c r="B2265" s="110">
        <v>1.1153448937694157</v>
      </c>
      <c r="C2265" s="110">
        <v>1.0338241089185318</v>
      </c>
      <c r="G2265" s="90">
        <v>2249</v>
      </c>
      <c r="H2265" s="100">
        <v>-7.5899024660818007E-2</v>
      </c>
      <c r="I2265" s="100">
        <v>-5.4279815526686766E-2</v>
      </c>
    </row>
    <row r="2266" spans="1:9">
      <c r="A2266" s="90">
        <v>2250</v>
      </c>
      <c r="B2266" s="110">
        <v>1.1103092133313042</v>
      </c>
      <c r="C2266" s="110">
        <v>1.0693402221227746</v>
      </c>
      <c r="G2266" s="90">
        <v>2250</v>
      </c>
      <c r="H2266" s="100">
        <v>-3.7596703649236556E-2</v>
      </c>
      <c r="I2266" s="100">
        <v>-5.4258982363537191E-2</v>
      </c>
    </row>
    <row r="2267" spans="1:9">
      <c r="A2267" s="90">
        <v>2251</v>
      </c>
      <c r="B2267" s="110">
        <v>1.0965355689688039</v>
      </c>
      <c r="C2267" s="110">
        <v>1.0459086627470957</v>
      </c>
      <c r="G2267" s="90">
        <v>2251</v>
      </c>
      <c r="H2267" s="100">
        <v>-4.7269685669119786E-2</v>
      </c>
      <c r="I2267" s="100">
        <v>-5.4255068901451299E-2</v>
      </c>
    </row>
    <row r="2268" spans="1:9">
      <c r="A2268" s="90">
        <v>2252</v>
      </c>
      <c r="B2268" s="110">
        <v>1.0925332277082862</v>
      </c>
      <c r="C2268" s="110">
        <v>1.0684505385285685</v>
      </c>
      <c r="G2268" s="90">
        <v>2252</v>
      </c>
      <c r="H2268" s="100">
        <v>-2.2289557765324538E-2</v>
      </c>
      <c r="I2268" s="100">
        <v>-5.4240710892679379E-2</v>
      </c>
    </row>
    <row r="2269" spans="1:9">
      <c r="A2269" s="90">
        <v>2253</v>
      </c>
      <c r="B2269" s="110">
        <v>1.132956290902251</v>
      </c>
      <c r="C2269" s="110">
        <v>1.0512323247916076</v>
      </c>
      <c r="G2269" s="90">
        <v>2253</v>
      </c>
      <c r="H2269" s="100">
        <v>-7.4867284456267988E-2</v>
      </c>
      <c r="I2269" s="100">
        <v>-5.4240113970163373E-2</v>
      </c>
    </row>
    <row r="2270" spans="1:9">
      <c r="A2270" s="90">
        <v>2254</v>
      </c>
      <c r="B2270" s="110">
        <v>1.1017814767732375</v>
      </c>
      <c r="C2270" s="110">
        <v>1.057114997847157</v>
      </c>
      <c r="G2270" s="90">
        <v>2254</v>
      </c>
      <c r="H2270" s="100">
        <v>-4.1384896708569568E-2</v>
      </c>
      <c r="I2270" s="100">
        <v>-5.4224546117504928E-2</v>
      </c>
    </row>
    <row r="2271" spans="1:9">
      <c r="A2271" s="90">
        <v>2255</v>
      </c>
      <c r="B2271" s="110">
        <v>1.09338068043156</v>
      </c>
      <c r="C2271" s="110">
        <v>1.0763195745677407</v>
      </c>
      <c r="G2271" s="90">
        <v>2255</v>
      </c>
      <c r="H2271" s="100">
        <v>-1.572701803357367E-2</v>
      </c>
      <c r="I2271" s="100">
        <v>-5.4204881227785752E-2</v>
      </c>
    </row>
    <row r="2272" spans="1:9">
      <c r="A2272" s="90">
        <v>2256</v>
      </c>
      <c r="B2272" s="110">
        <v>1.131532568907933</v>
      </c>
      <c r="C2272" s="110">
        <v>1.0498078649113058</v>
      </c>
      <c r="G2272" s="90">
        <v>2256</v>
      </c>
      <c r="H2272" s="100">
        <v>-7.4965807884266239E-2</v>
      </c>
      <c r="I2272" s="100">
        <v>-5.4187425507672735E-2</v>
      </c>
    </row>
    <row r="2273" spans="1:9">
      <c r="A2273" s="90">
        <v>2257</v>
      </c>
      <c r="B2273" s="110">
        <v>1.0980760830005269</v>
      </c>
      <c r="C2273" s="110">
        <v>1.0406615014120624</v>
      </c>
      <c r="G2273" s="90">
        <v>2257</v>
      </c>
      <c r="H2273" s="100">
        <v>-5.3703063033421754E-2</v>
      </c>
      <c r="I2273" s="100">
        <v>-5.4172670737745385E-2</v>
      </c>
    </row>
    <row r="2274" spans="1:9">
      <c r="A2274" s="90">
        <v>2258</v>
      </c>
      <c r="B2274" s="110">
        <v>1.1085678979976739</v>
      </c>
      <c r="C2274" s="110">
        <v>1.0640907420715178</v>
      </c>
      <c r="G2274" s="90">
        <v>2258</v>
      </c>
      <c r="H2274" s="100">
        <v>-4.0948329154039946E-2</v>
      </c>
      <c r="I2274" s="100">
        <v>-5.4165495624648348E-2</v>
      </c>
    </row>
    <row r="2275" spans="1:9">
      <c r="A2275" s="90">
        <v>2259</v>
      </c>
      <c r="B2275" s="110">
        <v>1.1237968655331974</v>
      </c>
      <c r="C2275" s="110">
        <v>1.0573990109413831</v>
      </c>
      <c r="G2275" s="90">
        <v>2259</v>
      </c>
      <c r="H2275" s="100">
        <v>-6.0900881073936784E-2</v>
      </c>
      <c r="I2275" s="100">
        <v>-5.415087267526511E-2</v>
      </c>
    </row>
    <row r="2276" spans="1:9">
      <c r="A2276" s="90">
        <v>2260</v>
      </c>
      <c r="B2276" s="110">
        <v>1.137928111714412</v>
      </c>
      <c r="C2276" s="110">
        <v>1.0702228465522508</v>
      </c>
      <c r="G2276" s="90">
        <v>2260</v>
      </c>
      <c r="H2276" s="100">
        <v>-6.1342268388384191E-2</v>
      </c>
      <c r="I2276" s="100">
        <v>-5.4146520581618236E-2</v>
      </c>
    </row>
    <row r="2277" spans="1:9">
      <c r="A2277" s="90">
        <v>2261</v>
      </c>
      <c r="B2277" s="110">
        <v>1.0797663851980277</v>
      </c>
      <c r="C2277" s="110">
        <v>1.0376071616964564</v>
      </c>
      <c r="G2277" s="90">
        <v>2261</v>
      </c>
      <c r="H2277" s="100">
        <v>-3.9827451564954104E-2</v>
      </c>
      <c r="I2277" s="100">
        <v>-5.4093944926123134E-2</v>
      </c>
    </row>
    <row r="2278" spans="1:9">
      <c r="A2278" s="90">
        <v>2262</v>
      </c>
      <c r="B2278" s="110">
        <v>1.1111577550864751</v>
      </c>
      <c r="C2278" s="110">
        <v>1.040308753988155</v>
      </c>
      <c r="G2278" s="90">
        <v>2262</v>
      </c>
      <c r="H2278" s="100">
        <v>-6.5884946426291488E-2</v>
      </c>
      <c r="I2278" s="100">
        <v>-5.4093441816535581E-2</v>
      </c>
    </row>
    <row r="2279" spans="1:9">
      <c r="A2279" s="90">
        <v>2263</v>
      </c>
      <c r="B2279" s="110">
        <v>1.1258652716704767</v>
      </c>
      <c r="C2279" s="110">
        <v>1.0690157316325941</v>
      </c>
      <c r="G2279" s="90">
        <v>2263</v>
      </c>
      <c r="H2279" s="100">
        <v>-5.1813522252484867E-2</v>
      </c>
      <c r="I2279" s="100">
        <v>-5.4089038738665891E-2</v>
      </c>
    </row>
    <row r="2280" spans="1:9">
      <c r="A2280" s="90">
        <v>2264</v>
      </c>
      <c r="B2280" s="110">
        <v>1.0875408634417203</v>
      </c>
      <c r="C2280" s="110">
        <v>1.0307304773310493</v>
      </c>
      <c r="G2280" s="90">
        <v>2264</v>
      </c>
      <c r="H2280" s="100">
        <v>-5.3651306683924121E-2</v>
      </c>
      <c r="I2280" s="100">
        <v>-5.4086850448863487E-2</v>
      </c>
    </row>
    <row r="2281" spans="1:9">
      <c r="A2281" s="90">
        <v>2265</v>
      </c>
      <c r="B2281" s="110">
        <v>1.1294779454715049</v>
      </c>
      <c r="C2281" s="110">
        <v>1.0901585450543179</v>
      </c>
      <c r="G2281" s="90">
        <v>2265</v>
      </c>
      <c r="H2281" s="100">
        <v>-3.543239097175295E-2</v>
      </c>
      <c r="I2281" s="100">
        <v>-5.4073598513576168E-2</v>
      </c>
    </row>
    <row r="2282" spans="1:9">
      <c r="A2282" s="90">
        <v>2266</v>
      </c>
      <c r="B2282" s="110">
        <v>1.0878879450438246</v>
      </c>
      <c r="C2282" s="110">
        <v>1.0530778617510581</v>
      </c>
      <c r="G2282" s="90">
        <v>2266</v>
      </c>
      <c r="H2282" s="100">
        <v>-3.2520978240345E-2</v>
      </c>
      <c r="I2282" s="100">
        <v>-5.4071826464297319E-2</v>
      </c>
    </row>
    <row r="2283" spans="1:9">
      <c r="A2283" s="90">
        <v>2267</v>
      </c>
      <c r="B2283" s="110">
        <v>1.1163955199445588</v>
      </c>
      <c r="C2283" s="110">
        <v>1.0598292438680044</v>
      </c>
      <c r="G2283" s="90">
        <v>2267</v>
      </c>
      <c r="H2283" s="100">
        <v>-5.1997405266799884E-2</v>
      </c>
      <c r="I2283" s="100">
        <v>-5.4070657610495745E-2</v>
      </c>
    </row>
    <row r="2284" spans="1:9">
      <c r="A2284" s="90">
        <v>2268</v>
      </c>
      <c r="B2284" s="110">
        <v>1.1365477950260618</v>
      </c>
      <c r="C2284" s="110">
        <v>1.0546601401821507</v>
      </c>
      <c r="G2284" s="90">
        <v>2268</v>
      </c>
      <c r="H2284" s="100">
        <v>-7.477684498087013E-2</v>
      </c>
      <c r="I2284" s="100">
        <v>-5.4070577692694209E-2</v>
      </c>
    </row>
    <row r="2285" spans="1:9">
      <c r="A2285" s="90">
        <v>2269</v>
      </c>
      <c r="B2285" s="110">
        <v>1.0754180906056685</v>
      </c>
      <c r="C2285" s="110">
        <v>1.0590767687827729</v>
      </c>
      <c r="G2285" s="90">
        <v>2269</v>
      </c>
      <c r="H2285" s="100">
        <v>-1.5311951702607466E-2</v>
      </c>
      <c r="I2285" s="100">
        <v>-5.4062841690903932E-2</v>
      </c>
    </row>
    <row r="2286" spans="1:9">
      <c r="A2286" s="90">
        <v>2270</v>
      </c>
      <c r="B2286" s="110">
        <v>1.1178149225223113</v>
      </c>
      <c r="C2286" s="110">
        <v>1.0468896089076554</v>
      </c>
      <c r="G2286" s="90">
        <v>2270</v>
      </c>
      <c r="H2286" s="100">
        <v>-6.5552326956622692E-2</v>
      </c>
      <c r="I2286" s="100">
        <v>-5.4045579918176934E-2</v>
      </c>
    </row>
    <row r="2287" spans="1:9">
      <c r="A2287" s="90">
        <v>2271</v>
      </c>
      <c r="B2287" s="110">
        <v>1.1221508718921562</v>
      </c>
      <c r="C2287" s="110">
        <v>1.0324585412468015</v>
      </c>
      <c r="G2287" s="90">
        <v>2271</v>
      </c>
      <c r="H2287" s="100">
        <v>-8.3304373696950484E-2</v>
      </c>
      <c r="I2287" s="100">
        <v>-5.3998504193153746E-2</v>
      </c>
    </row>
    <row r="2288" spans="1:9">
      <c r="A2288" s="90">
        <v>2272</v>
      </c>
      <c r="B2288" s="110">
        <v>1.1094743868912016</v>
      </c>
      <c r="C2288" s="110">
        <v>1.0506485738334452</v>
      </c>
      <c r="G2288" s="90">
        <v>2272</v>
      </c>
      <c r="H2288" s="100">
        <v>-5.4478715009416832E-2</v>
      </c>
      <c r="I2288" s="100">
        <v>-5.3969634346352352E-2</v>
      </c>
    </row>
    <row r="2289" spans="1:9">
      <c r="A2289" s="90">
        <v>2273</v>
      </c>
      <c r="B2289" s="110">
        <v>1.1271333433593624</v>
      </c>
      <c r="C2289" s="110">
        <v>1.0489035124691732</v>
      </c>
      <c r="G2289" s="90">
        <v>2273</v>
      </c>
      <c r="H2289" s="100">
        <v>-7.1932200451047049E-2</v>
      </c>
      <c r="I2289" s="100">
        <v>-5.3946019802796862E-2</v>
      </c>
    </row>
    <row r="2290" spans="1:9">
      <c r="A2290" s="90">
        <v>2274</v>
      </c>
      <c r="B2290" s="110">
        <v>1.1061563609440139</v>
      </c>
      <c r="C2290" s="110">
        <v>1.0619133719670155</v>
      </c>
      <c r="G2290" s="90">
        <v>2274</v>
      </c>
      <c r="H2290" s="100">
        <v>-4.0818919442881421E-2</v>
      </c>
      <c r="I2290" s="100">
        <v>-5.3942091625935308E-2</v>
      </c>
    </row>
    <row r="2291" spans="1:9">
      <c r="A2291" s="90">
        <v>2275</v>
      </c>
      <c r="B2291" s="110">
        <v>1.1078921862305227</v>
      </c>
      <c r="C2291" s="110">
        <v>1.0654318738828652</v>
      </c>
      <c r="G2291" s="90">
        <v>2275</v>
      </c>
      <c r="H2291" s="100">
        <v>-3.9079046399350885E-2</v>
      </c>
      <c r="I2291" s="100">
        <v>-5.3934983481011167E-2</v>
      </c>
    </row>
    <row r="2292" spans="1:9">
      <c r="A2292" s="90">
        <v>2276</v>
      </c>
      <c r="B2292" s="110">
        <v>1.1323343890072215</v>
      </c>
      <c r="C2292" s="110">
        <v>1.0578489514600604</v>
      </c>
      <c r="G2292" s="90">
        <v>2276</v>
      </c>
      <c r="H2292" s="100">
        <v>-6.8043777561855062E-2</v>
      </c>
      <c r="I2292" s="100">
        <v>-5.3922133561609242E-2</v>
      </c>
    </row>
    <row r="2293" spans="1:9">
      <c r="A2293" s="90">
        <v>2277</v>
      </c>
      <c r="B2293" s="110">
        <v>1.1381526505191737</v>
      </c>
      <c r="C2293" s="110">
        <v>1.0604467285244565</v>
      </c>
      <c r="G2293" s="90">
        <v>2277</v>
      </c>
      <c r="H2293" s="100">
        <v>-7.0716204658112472E-2</v>
      </c>
      <c r="I2293" s="100">
        <v>-5.391285475124806E-2</v>
      </c>
    </row>
    <row r="2294" spans="1:9">
      <c r="A2294" s="90">
        <v>2278</v>
      </c>
      <c r="B2294" s="110">
        <v>1.086943333285062</v>
      </c>
      <c r="C2294" s="110">
        <v>1.0572617056344262</v>
      </c>
      <c r="G2294" s="90">
        <v>2278</v>
      </c>
      <c r="H2294" s="100">
        <v>-2.7687206403237928E-2</v>
      </c>
      <c r="I2294" s="100">
        <v>-5.3909958210633352E-2</v>
      </c>
    </row>
    <row r="2295" spans="1:9">
      <c r="A2295" s="90">
        <v>2279</v>
      </c>
      <c r="B2295" s="110">
        <v>1.1214564056546923</v>
      </c>
      <c r="C2295" s="110">
        <v>1.0484545488354458</v>
      </c>
      <c r="G2295" s="90">
        <v>2279</v>
      </c>
      <c r="H2295" s="100">
        <v>-6.7310981089927002E-2</v>
      </c>
      <c r="I2295" s="100">
        <v>-5.3901231038811205E-2</v>
      </c>
    </row>
    <row r="2296" spans="1:9">
      <c r="A2296" s="90">
        <v>2280</v>
      </c>
      <c r="B2296" s="110">
        <v>1.1273576753910997</v>
      </c>
      <c r="C2296" s="110">
        <v>1.0466232848411872</v>
      </c>
      <c r="G2296" s="90">
        <v>2280</v>
      </c>
      <c r="H2296" s="100">
        <v>-7.4307491386075994E-2</v>
      </c>
      <c r="I2296" s="100">
        <v>-5.3898132671518703E-2</v>
      </c>
    </row>
    <row r="2297" spans="1:9">
      <c r="A2297" s="90">
        <v>2281</v>
      </c>
      <c r="B2297" s="110">
        <v>1.1257994358164507</v>
      </c>
      <c r="C2297" s="110">
        <v>1.0434678908173445</v>
      </c>
      <c r="G2297" s="90">
        <v>2281</v>
      </c>
      <c r="H2297" s="100">
        <v>-7.5943716504839193E-2</v>
      </c>
      <c r="I2297" s="100">
        <v>-5.3896545177623253E-2</v>
      </c>
    </row>
    <row r="2298" spans="1:9">
      <c r="A2298" s="90">
        <v>2282</v>
      </c>
      <c r="B2298" s="110">
        <v>1.1216586150436656</v>
      </c>
      <c r="C2298" s="110">
        <v>1.0456272752473232</v>
      </c>
      <c r="G2298" s="90">
        <v>2282</v>
      </c>
      <c r="H2298" s="100">
        <v>-7.0191527410321683E-2</v>
      </c>
      <c r="I2298" s="100">
        <v>-5.3877154040146202E-2</v>
      </c>
    </row>
    <row r="2299" spans="1:9">
      <c r="A2299" s="90">
        <v>2283</v>
      </c>
      <c r="B2299" s="110">
        <v>1.0994889630052607</v>
      </c>
      <c r="C2299" s="110">
        <v>1.0415187632334852</v>
      </c>
      <c r="G2299" s="90">
        <v>2283</v>
      </c>
      <c r="H2299" s="100">
        <v>-5.4165495624648348E-2</v>
      </c>
      <c r="I2299" s="100">
        <v>-5.3870353577261762E-2</v>
      </c>
    </row>
    <row r="2300" spans="1:9">
      <c r="A2300" s="90">
        <v>2284</v>
      </c>
      <c r="B2300" s="110">
        <v>1.1006645204318617</v>
      </c>
      <c r="C2300" s="110">
        <v>1.0707097064878695</v>
      </c>
      <c r="G2300" s="90">
        <v>2284</v>
      </c>
      <c r="H2300" s="100">
        <v>-2.7592401192907998E-2</v>
      </c>
      <c r="I2300" s="100">
        <v>-5.3866028126752757E-2</v>
      </c>
    </row>
    <row r="2301" spans="1:9">
      <c r="A2301" s="90">
        <v>2285</v>
      </c>
      <c r="B2301" s="110">
        <v>1.1124229034726285</v>
      </c>
      <c r="C2301" s="110">
        <v>1.053692138177698</v>
      </c>
      <c r="G2301" s="90">
        <v>2285</v>
      </c>
      <c r="H2301" s="100">
        <v>-5.4240113970163373E-2</v>
      </c>
      <c r="I2301" s="100">
        <v>-5.3863520480693934E-2</v>
      </c>
    </row>
    <row r="2302" spans="1:9">
      <c r="A2302" s="90">
        <v>2286</v>
      </c>
      <c r="B2302" s="110">
        <v>1.1181138099315362</v>
      </c>
      <c r="C2302" s="110">
        <v>1.0565830050587537</v>
      </c>
      <c r="G2302" s="90">
        <v>2286</v>
      </c>
      <c r="H2302" s="100">
        <v>-5.6603046280625124E-2</v>
      </c>
      <c r="I2302" s="100">
        <v>-5.3851612671459603E-2</v>
      </c>
    </row>
    <row r="2303" spans="1:9">
      <c r="A2303" s="90">
        <v>2287</v>
      </c>
      <c r="B2303" s="110">
        <v>1.1174611442710018</v>
      </c>
      <c r="C2303" s="110">
        <v>1.0546146973431312</v>
      </c>
      <c r="G2303" s="90">
        <v>2287</v>
      </c>
      <c r="H2303" s="100">
        <v>-5.7883792241796884E-2</v>
      </c>
      <c r="I2303" s="100">
        <v>-5.383924411070512E-2</v>
      </c>
    </row>
    <row r="2304" spans="1:9">
      <c r="A2304" s="90">
        <v>2288</v>
      </c>
      <c r="B2304" s="110">
        <v>1.1279435809470739</v>
      </c>
      <c r="C2304" s="110">
        <v>1.0589472071171471</v>
      </c>
      <c r="G2304" s="90">
        <v>2288</v>
      </c>
      <c r="H2304" s="100">
        <v>-6.3120921193764098E-2</v>
      </c>
      <c r="I2304" s="100">
        <v>-5.3820336014665342E-2</v>
      </c>
    </row>
    <row r="2305" spans="1:9">
      <c r="A2305" s="90">
        <v>2289</v>
      </c>
      <c r="B2305" s="110">
        <v>1.1143379070526398</v>
      </c>
      <c r="C2305" s="110">
        <v>1.034899196353444</v>
      </c>
      <c r="G2305" s="90">
        <v>2289</v>
      </c>
      <c r="H2305" s="100">
        <v>-7.3956396059357651E-2</v>
      </c>
      <c r="I2305" s="100">
        <v>-5.3818903996680857E-2</v>
      </c>
    </row>
    <row r="2306" spans="1:9">
      <c r="A2306" s="90">
        <v>2290</v>
      </c>
      <c r="B2306" s="110">
        <v>1.0976475555429666</v>
      </c>
      <c r="C2306" s="110">
        <v>1.0540580285135475</v>
      </c>
      <c r="G2306" s="90">
        <v>2290</v>
      </c>
      <c r="H2306" s="100">
        <v>-4.0521799774613967E-2</v>
      </c>
      <c r="I2306" s="100">
        <v>-5.3816772906063848E-2</v>
      </c>
    </row>
    <row r="2307" spans="1:9">
      <c r="A2307" s="90">
        <v>2291</v>
      </c>
      <c r="B2307" s="110">
        <v>1.1087087531195488</v>
      </c>
      <c r="C2307" s="110">
        <v>1.0409810244059019</v>
      </c>
      <c r="G2307" s="90">
        <v>2291</v>
      </c>
      <c r="H2307" s="100">
        <v>-6.3032491474326852E-2</v>
      </c>
      <c r="I2307" s="100">
        <v>-5.3783758851345669E-2</v>
      </c>
    </row>
    <row r="2308" spans="1:9">
      <c r="A2308" s="90">
        <v>2292</v>
      </c>
      <c r="B2308" s="110">
        <v>1.1074035419163379</v>
      </c>
      <c r="C2308" s="110">
        <v>1.0497907105862123</v>
      </c>
      <c r="G2308" s="90">
        <v>2292</v>
      </c>
      <c r="H2308" s="100">
        <v>-5.3427302758313346E-2</v>
      </c>
      <c r="I2308" s="100">
        <v>-5.3765966565386313E-2</v>
      </c>
    </row>
    <row r="2309" spans="1:9">
      <c r="A2309" s="90">
        <v>2293</v>
      </c>
      <c r="B2309" s="110">
        <v>1.1019461627453442</v>
      </c>
      <c r="C2309" s="110">
        <v>1.0447155247912829</v>
      </c>
      <c r="G2309" s="90">
        <v>2293</v>
      </c>
      <c r="H2309" s="100">
        <v>-5.3333232127549958E-2</v>
      </c>
      <c r="I2309" s="100">
        <v>-5.3759643944685125E-2</v>
      </c>
    </row>
    <row r="2310" spans="1:9">
      <c r="A2310" s="90">
        <v>2294</v>
      </c>
      <c r="B2310" s="110">
        <v>1.1335170899327778</v>
      </c>
      <c r="C2310" s="110">
        <v>1.0354766521450964</v>
      </c>
      <c r="G2310" s="90">
        <v>2294</v>
      </c>
      <c r="H2310" s="100">
        <v>-9.0463413809150503E-2</v>
      </c>
      <c r="I2310" s="100">
        <v>-5.3753625253673387E-2</v>
      </c>
    </row>
    <row r="2311" spans="1:9">
      <c r="A2311" s="90">
        <v>2295</v>
      </c>
      <c r="B2311" s="110">
        <v>1.1068442195618846</v>
      </c>
      <c r="C2311" s="110">
        <v>1.0490531716225588</v>
      </c>
      <c r="G2311" s="90">
        <v>2295</v>
      </c>
      <c r="H2311" s="100">
        <v>-5.3624904710110104E-2</v>
      </c>
      <c r="I2311" s="100">
        <v>-5.3751010828775418E-2</v>
      </c>
    </row>
    <row r="2312" spans="1:9">
      <c r="A2312" s="90">
        <v>2296</v>
      </c>
      <c r="B2312" s="110">
        <v>1.092825809892461</v>
      </c>
      <c r="C2312" s="110">
        <v>1.0332975225475318</v>
      </c>
      <c r="G2312" s="90">
        <v>2296</v>
      </c>
      <c r="H2312" s="100">
        <v>-5.6011661062173208E-2</v>
      </c>
      <c r="I2312" s="100">
        <v>-5.3734655349375958E-2</v>
      </c>
    </row>
    <row r="2313" spans="1:9">
      <c r="A2313" s="90">
        <v>2297</v>
      </c>
      <c r="B2313" s="110">
        <v>1.1077795293014023</v>
      </c>
      <c r="C2313" s="110">
        <v>1.057824857615514</v>
      </c>
      <c r="G2313" s="90">
        <v>2297</v>
      </c>
      <c r="H2313" s="100">
        <v>-4.6142809024331023E-2</v>
      </c>
      <c r="I2313" s="100">
        <v>-5.3734434307391811E-2</v>
      </c>
    </row>
    <row r="2314" spans="1:9">
      <c r="A2314" s="90">
        <v>2298</v>
      </c>
      <c r="B2314" s="110">
        <v>1.1005854426897996</v>
      </c>
      <c r="C2314" s="110">
        <v>1.0356569089728209</v>
      </c>
      <c r="G2314" s="90">
        <v>2298</v>
      </c>
      <c r="H2314" s="100">
        <v>-6.0806338808656553E-2</v>
      </c>
      <c r="I2314" s="100">
        <v>-5.3727215913173573E-2</v>
      </c>
    </row>
    <row r="2315" spans="1:9">
      <c r="A2315" s="90">
        <v>2299</v>
      </c>
      <c r="B2315" s="110">
        <v>1.0923101574210272</v>
      </c>
      <c r="C2315" s="110">
        <v>1.0352942543634966</v>
      </c>
      <c r="G2315" s="90">
        <v>2299</v>
      </c>
      <c r="H2315" s="100">
        <v>-5.3609173893498493E-2</v>
      </c>
      <c r="I2315" s="100">
        <v>-5.3705209295602602E-2</v>
      </c>
    </row>
    <row r="2316" spans="1:9">
      <c r="A2316" s="90">
        <v>2300</v>
      </c>
      <c r="B2316" s="110">
        <v>1.0997864870008507</v>
      </c>
      <c r="C2316" s="110">
        <v>1.0471809049731746</v>
      </c>
      <c r="G2316" s="90">
        <v>2300</v>
      </c>
      <c r="H2316" s="100">
        <v>-4.9014357154954738E-2</v>
      </c>
      <c r="I2316" s="100">
        <v>-5.3703351974215205E-2</v>
      </c>
    </row>
    <row r="2317" spans="1:9">
      <c r="A2317" s="90">
        <v>2301</v>
      </c>
      <c r="B2317" s="110">
        <v>1.0845996437148306</v>
      </c>
      <c r="C2317" s="110">
        <v>1.0671596181634349</v>
      </c>
      <c r="G2317" s="90">
        <v>2301</v>
      </c>
      <c r="H2317" s="100">
        <v>-1.6210370519183847E-2</v>
      </c>
      <c r="I2317" s="100">
        <v>-5.3703063033421754E-2</v>
      </c>
    </row>
    <row r="2318" spans="1:9">
      <c r="A2318" s="90">
        <v>2302</v>
      </c>
      <c r="B2318" s="110">
        <v>1.1186843657591281</v>
      </c>
      <c r="C2318" s="110">
        <v>1.030450042795519</v>
      </c>
      <c r="G2318" s="90">
        <v>2302</v>
      </c>
      <c r="H2318" s="100">
        <v>-8.2157679841767459E-2</v>
      </c>
      <c r="I2318" s="100">
        <v>-5.369845105060593E-2</v>
      </c>
    </row>
    <row r="2319" spans="1:9">
      <c r="A2319" s="90">
        <v>2303</v>
      </c>
      <c r="B2319" s="110">
        <v>1.1078306532220303</v>
      </c>
      <c r="C2319" s="110">
        <v>1.0740793829396571</v>
      </c>
      <c r="G2319" s="90">
        <v>2303</v>
      </c>
      <c r="H2319" s="100">
        <v>-3.0939829884690028E-2</v>
      </c>
      <c r="I2319" s="100">
        <v>-5.369777911067148E-2</v>
      </c>
    </row>
    <row r="2320" spans="1:9">
      <c r="A2320" s="90">
        <v>2304</v>
      </c>
      <c r="B2320" s="110">
        <v>1.0789844123798207</v>
      </c>
      <c r="C2320" s="110">
        <v>1.0604593202477133</v>
      </c>
      <c r="G2320" s="90">
        <v>2304</v>
      </c>
      <c r="H2320" s="100">
        <v>-1.731810455778578E-2</v>
      </c>
      <c r="I2320" s="100">
        <v>-5.3684413109985313E-2</v>
      </c>
    </row>
    <row r="2321" spans="1:9">
      <c r="A2321" s="90">
        <v>2305</v>
      </c>
      <c r="B2321" s="110">
        <v>1.0957252234833106</v>
      </c>
      <c r="C2321" s="110">
        <v>1.0503664532044787</v>
      </c>
      <c r="G2321" s="90">
        <v>2305</v>
      </c>
      <c r="H2321" s="100">
        <v>-4.2277342258647266E-2</v>
      </c>
      <c r="I2321" s="100">
        <v>-5.3684278957505063E-2</v>
      </c>
    </row>
    <row r="2322" spans="1:9">
      <c r="A2322" s="90">
        <v>2306</v>
      </c>
      <c r="B2322" s="110">
        <v>1.0867033950474752</v>
      </c>
      <c r="C2322" s="110">
        <v>1.0428726566722171</v>
      </c>
      <c r="G2322" s="90">
        <v>2306</v>
      </c>
      <c r="H2322" s="100">
        <v>-4.116963001336077E-2</v>
      </c>
      <c r="I2322" s="100">
        <v>-5.3681405487836065E-2</v>
      </c>
    </row>
    <row r="2323" spans="1:9">
      <c r="A2323" s="90">
        <v>2307</v>
      </c>
      <c r="B2323" s="110">
        <v>1.0793901957777283</v>
      </c>
      <c r="C2323" s="110">
        <v>1.027860139863475</v>
      </c>
      <c r="G2323" s="90">
        <v>2307</v>
      </c>
      <c r="H2323" s="100">
        <v>-4.8917141070670793E-2</v>
      </c>
      <c r="I2323" s="100">
        <v>-5.3679453959704283E-2</v>
      </c>
    </row>
    <row r="2324" spans="1:9">
      <c r="A2324" s="90">
        <v>2308</v>
      </c>
      <c r="B2324" s="110">
        <v>1.1143855702260765</v>
      </c>
      <c r="C2324" s="110">
        <v>1.0608945940025443</v>
      </c>
      <c r="G2324" s="90">
        <v>2308</v>
      </c>
      <c r="H2324" s="100">
        <v>-4.9190686131544786E-2</v>
      </c>
      <c r="I2324" s="100">
        <v>-5.3674181668091396E-2</v>
      </c>
    </row>
    <row r="2325" spans="1:9">
      <c r="A2325" s="90">
        <v>2309</v>
      </c>
      <c r="B2325" s="110">
        <v>1.1075075308648952</v>
      </c>
      <c r="C2325" s="110">
        <v>1.0665753950739272</v>
      </c>
      <c r="G2325" s="90">
        <v>2309</v>
      </c>
      <c r="H2325" s="100">
        <v>-3.7659072433740552E-2</v>
      </c>
      <c r="I2325" s="100">
        <v>-5.3667469461363443E-2</v>
      </c>
    </row>
    <row r="2326" spans="1:9">
      <c r="A2326" s="90">
        <v>2310</v>
      </c>
      <c r="B2326" s="110">
        <v>1.0999765311861458</v>
      </c>
      <c r="C2326" s="110">
        <v>1.0522668857050967</v>
      </c>
      <c r="G2326" s="90">
        <v>2310</v>
      </c>
      <c r="H2326" s="100">
        <v>-4.4342068514649675E-2</v>
      </c>
      <c r="I2326" s="100">
        <v>-5.3660341813173029E-2</v>
      </c>
    </row>
    <row r="2327" spans="1:9">
      <c r="A2327" s="90">
        <v>2311</v>
      </c>
      <c r="B2327" s="110">
        <v>1.0975779472716689</v>
      </c>
      <c r="C2327" s="110">
        <v>1.0349394343703149</v>
      </c>
      <c r="G2327" s="90">
        <v>2311</v>
      </c>
      <c r="H2327" s="100">
        <v>-5.8762978527690975E-2</v>
      </c>
      <c r="I2327" s="100">
        <v>-5.3654310704995455E-2</v>
      </c>
    </row>
    <row r="2328" spans="1:9">
      <c r="A2328" s="90">
        <v>2312</v>
      </c>
      <c r="B2328" s="110">
        <v>1.1319313612494253</v>
      </c>
      <c r="C2328" s="110">
        <v>1.0550623880242962</v>
      </c>
      <c r="G2328" s="90">
        <v>2312</v>
      </c>
      <c r="H2328" s="100">
        <v>-7.0325442256304382E-2</v>
      </c>
      <c r="I2328" s="100">
        <v>-5.3651306683924121E-2</v>
      </c>
    </row>
    <row r="2329" spans="1:9">
      <c r="A2329" s="90">
        <v>2313</v>
      </c>
      <c r="B2329" s="110">
        <v>1.0863960020703145</v>
      </c>
      <c r="C2329" s="110">
        <v>1.0518859488238779</v>
      </c>
      <c r="G2329" s="90">
        <v>2313</v>
      </c>
      <c r="H2329" s="100">
        <v>-3.228110306324674E-2</v>
      </c>
      <c r="I2329" s="100">
        <v>-5.3648021624033371E-2</v>
      </c>
    </row>
    <row r="2330" spans="1:9">
      <c r="A2330" s="90">
        <v>2314</v>
      </c>
      <c r="B2330" s="110">
        <v>1.0985404624266712</v>
      </c>
      <c r="C2330" s="110">
        <v>1.0498006310337797</v>
      </c>
      <c r="G2330" s="90">
        <v>2314</v>
      </c>
      <c r="H2330" s="100">
        <v>-4.5382175482007681E-2</v>
      </c>
      <c r="I2330" s="100">
        <v>-5.3646254507410056E-2</v>
      </c>
    </row>
    <row r="2331" spans="1:9">
      <c r="A2331" s="90">
        <v>2315</v>
      </c>
      <c r="B2331" s="110">
        <v>1.1171353716534149</v>
      </c>
      <c r="C2331" s="110">
        <v>1.0605593224567664</v>
      </c>
      <c r="G2331" s="90">
        <v>2315</v>
      </c>
      <c r="H2331" s="100">
        <v>-5.1971273259429469E-2</v>
      </c>
      <c r="I2331" s="100">
        <v>-5.364306630400948E-2</v>
      </c>
    </row>
    <row r="2332" spans="1:9">
      <c r="A2332" s="90">
        <v>2316</v>
      </c>
      <c r="B2332" s="110">
        <v>1.1125677146090323</v>
      </c>
      <c r="C2332" s="110">
        <v>1.0865876789960658</v>
      </c>
      <c r="G2332" s="90">
        <v>2316</v>
      </c>
      <c r="H2332" s="100">
        <v>-2.3628384242059569E-2</v>
      </c>
      <c r="I2332" s="100">
        <v>-5.3639368514874983E-2</v>
      </c>
    </row>
    <row r="2333" spans="1:9">
      <c r="A2333" s="90">
        <v>2317</v>
      </c>
      <c r="B2333" s="110">
        <v>1.0868678282060229</v>
      </c>
      <c r="C2333" s="110">
        <v>1.0426555714600845</v>
      </c>
      <c r="G2333" s="90">
        <v>2317</v>
      </c>
      <c r="H2333" s="100">
        <v>-4.1529114783736353E-2</v>
      </c>
      <c r="I2333" s="100">
        <v>-5.3636102012653564E-2</v>
      </c>
    </row>
    <row r="2334" spans="1:9">
      <c r="A2334" s="90">
        <v>2318</v>
      </c>
      <c r="B2334" s="110">
        <v>1.1043539806633715</v>
      </c>
      <c r="C2334" s="110">
        <v>1.0513598772161739</v>
      </c>
      <c r="G2334" s="90">
        <v>2318</v>
      </c>
      <c r="H2334" s="100">
        <v>-4.9176083739745614E-2</v>
      </c>
      <c r="I2334" s="100">
        <v>-5.3633715377920659E-2</v>
      </c>
    </row>
    <row r="2335" spans="1:9">
      <c r="A2335" s="90">
        <v>2319</v>
      </c>
      <c r="B2335" s="110">
        <v>1.0889100303441897</v>
      </c>
      <c r="C2335" s="110">
        <v>1.0543949172431941</v>
      </c>
      <c r="G2335" s="90">
        <v>2319</v>
      </c>
      <c r="H2335" s="100">
        <v>-3.221015954004524E-2</v>
      </c>
      <c r="I2335" s="100">
        <v>-5.3624904710110104E-2</v>
      </c>
    </row>
    <row r="2336" spans="1:9">
      <c r="A2336" s="90">
        <v>2320</v>
      </c>
      <c r="B2336" s="110">
        <v>1.0753139529159066</v>
      </c>
      <c r="C2336" s="110">
        <v>1.0559647765098388</v>
      </c>
      <c r="G2336" s="90">
        <v>2320</v>
      </c>
      <c r="H2336" s="100">
        <v>-1.8157839015696165E-2</v>
      </c>
      <c r="I2336" s="100">
        <v>-5.3609173893498493E-2</v>
      </c>
    </row>
    <row r="2337" spans="1:9">
      <c r="A2337" s="90">
        <v>2321</v>
      </c>
      <c r="B2337" s="110">
        <v>1.088610009422686</v>
      </c>
      <c r="C2337" s="110">
        <v>1.053344182360221</v>
      </c>
      <c r="G2337" s="90">
        <v>2321</v>
      </c>
      <c r="H2337" s="100">
        <v>-3.2931623155335404E-2</v>
      </c>
      <c r="I2337" s="100">
        <v>-5.3608487302591969E-2</v>
      </c>
    </row>
    <row r="2338" spans="1:9">
      <c r="A2338" s="90">
        <v>2322</v>
      </c>
      <c r="B2338" s="110">
        <v>1.0811283067259345</v>
      </c>
      <c r="C2338" s="110">
        <v>1.0498399771656444</v>
      </c>
      <c r="G2338" s="90">
        <v>2322</v>
      </c>
      <c r="H2338" s="100">
        <v>-2.9367474381521035E-2</v>
      </c>
      <c r="I2338" s="100">
        <v>-5.3596547118810428E-2</v>
      </c>
    </row>
    <row r="2339" spans="1:9">
      <c r="A2339" s="90">
        <v>2323</v>
      </c>
      <c r="B2339" s="110">
        <v>1.0948554536281707</v>
      </c>
      <c r="C2339" s="110">
        <v>1.0496039316265733</v>
      </c>
      <c r="G2339" s="90">
        <v>2323</v>
      </c>
      <c r="H2339" s="100">
        <v>-4.2209463701990774E-2</v>
      </c>
      <c r="I2339" s="100">
        <v>-5.3592354944943091E-2</v>
      </c>
    </row>
    <row r="2340" spans="1:9">
      <c r="A2340" s="90">
        <v>2324</v>
      </c>
      <c r="B2340" s="110">
        <v>1.0984612732129522</v>
      </c>
      <c r="C2340" s="110">
        <v>1.0742468967509664</v>
      </c>
      <c r="G2340" s="90">
        <v>2324</v>
      </c>
      <c r="H2340" s="100">
        <v>-2.2290503066974977E-2</v>
      </c>
      <c r="I2340" s="100">
        <v>-5.3580152522051248E-2</v>
      </c>
    </row>
    <row r="2341" spans="1:9">
      <c r="A2341" s="90">
        <v>2325</v>
      </c>
      <c r="B2341" s="110">
        <v>1.0992609951829859</v>
      </c>
      <c r="C2341" s="110">
        <v>1.0544770071710186</v>
      </c>
      <c r="G2341" s="90">
        <v>2325</v>
      </c>
      <c r="H2341" s="100">
        <v>-4.1593215255101894E-2</v>
      </c>
      <c r="I2341" s="100">
        <v>-5.357641314286498E-2</v>
      </c>
    </row>
    <row r="2342" spans="1:9">
      <c r="A2342" s="90">
        <v>2326</v>
      </c>
      <c r="B2342" s="110">
        <v>1.08787356179221</v>
      </c>
      <c r="C2342" s="110">
        <v>1.0707684946626908</v>
      </c>
      <c r="G2342" s="90">
        <v>2326</v>
      </c>
      <c r="H2342" s="100">
        <v>-1.5848320103938669E-2</v>
      </c>
      <c r="I2342" s="100">
        <v>-5.3574835410487062E-2</v>
      </c>
    </row>
    <row r="2343" spans="1:9">
      <c r="A2343" s="90">
        <v>2327</v>
      </c>
      <c r="B2343" s="110">
        <v>1.1188180189733563</v>
      </c>
      <c r="C2343" s="110">
        <v>1.0430058822187067</v>
      </c>
      <c r="G2343" s="90">
        <v>2327</v>
      </c>
      <c r="H2343" s="100">
        <v>-7.0165972127207904E-2</v>
      </c>
      <c r="I2343" s="100">
        <v>-5.3562220111129884E-2</v>
      </c>
    </row>
    <row r="2344" spans="1:9">
      <c r="A2344" s="90">
        <v>2328</v>
      </c>
      <c r="B2344" s="110">
        <v>1.1295783633758256</v>
      </c>
      <c r="C2344" s="110">
        <v>1.0503047824252778</v>
      </c>
      <c r="G2344" s="90">
        <v>2328</v>
      </c>
      <c r="H2344" s="100">
        <v>-7.2764042312115779E-2</v>
      </c>
      <c r="I2344" s="100">
        <v>-5.3550882854172498E-2</v>
      </c>
    </row>
    <row r="2345" spans="1:9">
      <c r="A2345" s="90">
        <v>2329</v>
      </c>
      <c r="B2345" s="110">
        <v>1.1110698708710851</v>
      </c>
      <c r="C2345" s="110">
        <v>1.0511590873432108</v>
      </c>
      <c r="G2345" s="90">
        <v>2329</v>
      </c>
      <c r="H2345" s="100">
        <v>-5.5429950717259847E-2</v>
      </c>
      <c r="I2345" s="100">
        <v>-5.3546115832010042E-2</v>
      </c>
    </row>
    <row r="2346" spans="1:9">
      <c r="A2346" s="90">
        <v>2330</v>
      </c>
      <c r="B2346" s="110">
        <v>1.1090145840354686</v>
      </c>
      <c r="C2346" s="110">
        <v>1.049847565766993</v>
      </c>
      <c r="G2346" s="90">
        <v>2330</v>
      </c>
      <c r="H2346" s="100">
        <v>-5.482688072940925E-2</v>
      </c>
      <c r="I2346" s="100">
        <v>-5.3538428444766757E-2</v>
      </c>
    </row>
    <row r="2347" spans="1:9">
      <c r="A2347" s="90">
        <v>2331</v>
      </c>
      <c r="B2347" s="110">
        <v>1.0879542862831051</v>
      </c>
      <c r="C2347" s="110">
        <v>1.0519992642855407</v>
      </c>
      <c r="G2347" s="90">
        <v>2331</v>
      </c>
      <c r="H2347" s="100">
        <v>-3.3606716300203163E-2</v>
      </c>
      <c r="I2347" s="100">
        <v>-5.3522028620673193E-2</v>
      </c>
    </row>
    <row r="2348" spans="1:9">
      <c r="A2348" s="90">
        <v>2332</v>
      </c>
      <c r="B2348" s="110">
        <v>1.1343804209766917</v>
      </c>
      <c r="C2348" s="110">
        <v>1.0551590954304835</v>
      </c>
      <c r="G2348" s="90">
        <v>2332</v>
      </c>
      <c r="H2348" s="100">
        <v>-7.2395060367531044E-2</v>
      </c>
      <c r="I2348" s="100">
        <v>-5.3501190901108976E-2</v>
      </c>
    </row>
    <row r="2349" spans="1:9">
      <c r="A2349" s="90">
        <v>2333</v>
      </c>
      <c r="B2349" s="110">
        <v>1.1002851300020657</v>
      </c>
      <c r="C2349" s="110">
        <v>1.0403584959743823</v>
      </c>
      <c r="G2349" s="90">
        <v>2333</v>
      </c>
      <c r="H2349" s="100">
        <v>-5.6003993885321089E-2</v>
      </c>
      <c r="I2349" s="100">
        <v>-5.3500505279960468E-2</v>
      </c>
    </row>
    <row r="2350" spans="1:9">
      <c r="A2350" s="90">
        <v>2334</v>
      </c>
      <c r="B2350" s="110">
        <v>1.1028627272889135</v>
      </c>
      <c r="C2350" s="110">
        <v>1.0424037710629508</v>
      </c>
      <c r="G2350" s="90">
        <v>2334</v>
      </c>
      <c r="H2350" s="100">
        <v>-5.6379914076943517E-2</v>
      </c>
      <c r="I2350" s="100">
        <v>-5.3489112801049364E-2</v>
      </c>
    </row>
    <row r="2351" spans="1:9">
      <c r="A2351" s="90">
        <v>2335</v>
      </c>
      <c r="B2351" s="110">
        <v>1.0878039856776742</v>
      </c>
      <c r="C2351" s="110">
        <v>1.0508533644056051</v>
      </c>
      <c r="G2351" s="90">
        <v>2335</v>
      </c>
      <c r="H2351" s="100">
        <v>-3.4558409890023893E-2</v>
      </c>
      <c r="I2351" s="100">
        <v>-5.3479371685274349E-2</v>
      </c>
    </row>
    <row r="2352" spans="1:9">
      <c r="A2352" s="90">
        <v>2336</v>
      </c>
      <c r="B2352" s="110">
        <v>1.1173295425697605</v>
      </c>
      <c r="C2352" s="110">
        <v>1.0730354712278918</v>
      </c>
      <c r="G2352" s="90">
        <v>2336</v>
      </c>
      <c r="H2352" s="100">
        <v>-4.0449980161344525E-2</v>
      </c>
      <c r="I2352" s="100">
        <v>-5.3475864868695891E-2</v>
      </c>
    </row>
    <row r="2353" spans="1:9">
      <c r="A2353" s="90">
        <v>2337</v>
      </c>
      <c r="B2353" s="110">
        <v>1.0995957510936936</v>
      </c>
      <c r="C2353" s="110">
        <v>1.051940460493304</v>
      </c>
      <c r="G2353" s="90">
        <v>2337</v>
      </c>
      <c r="H2353" s="100">
        <v>-4.4306097029661665E-2</v>
      </c>
      <c r="I2353" s="100">
        <v>-5.3460667646933378E-2</v>
      </c>
    </row>
    <row r="2354" spans="1:9">
      <c r="A2354" s="90">
        <v>2338</v>
      </c>
      <c r="B2354" s="110">
        <v>1.1253479737371521</v>
      </c>
      <c r="C2354" s="110">
        <v>1.0399301015991509</v>
      </c>
      <c r="G2354" s="90">
        <v>2338</v>
      </c>
      <c r="H2354" s="100">
        <v>-7.8938796924718946E-2</v>
      </c>
      <c r="I2354" s="100">
        <v>-5.3448729612047628E-2</v>
      </c>
    </row>
    <row r="2355" spans="1:9">
      <c r="A2355" s="90">
        <v>2339</v>
      </c>
      <c r="B2355" s="110">
        <v>1.0907141138706038</v>
      </c>
      <c r="C2355" s="110">
        <v>1.0718105449405209</v>
      </c>
      <c r="G2355" s="90">
        <v>2339</v>
      </c>
      <c r="H2355" s="100">
        <v>-1.7483315499751583E-2</v>
      </c>
      <c r="I2355" s="100">
        <v>-5.3446250780458317E-2</v>
      </c>
    </row>
    <row r="2356" spans="1:9">
      <c r="A2356" s="90">
        <v>2340</v>
      </c>
      <c r="B2356" s="110">
        <v>1.1458852632044829</v>
      </c>
      <c r="C2356" s="110">
        <v>1.047957050990252</v>
      </c>
      <c r="G2356" s="90">
        <v>2340</v>
      </c>
      <c r="H2356" s="100">
        <v>-8.9334890732913605E-2</v>
      </c>
      <c r="I2356" s="100">
        <v>-5.3430053868997317E-2</v>
      </c>
    </row>
    <row r="2357" spans="1:9">
      <c r="A2357" s="90">
        <v>2341</v>
      </c>
      <c r="B2357" s="110">
        <v>1.0965263393782081</v>
      </c>
      <c r="C2357" s="110">
        <v>1.0610729120964075</v>
      </c>
      <c r="G2357" s="90">
        <v>2341</v>
      </c>
      <c r="H2357" s="100">
        <v>-3.286673247106478E-2</v>
      </c>
      <c r="I2357" s="100">
        <v>-5.3427302758313346E-2</v>
      </c>
    </row>
    <row r="2358" spans="1:9">
      <c r="A2358" s="90">
        <v>2342</v>
      </c>
      <c r="B2358" s="110">
        <v>1.0870798277870131</v>
      </c>
      <c r="C2358" s="110">
        <v>1.0807599533398475</v>
      </c>
      <c r="G2358" s="90">
        <v>2342</v>
      </c>
      <c r="H2358" s="100">
        <v>-5.8305898860826679E-3</v>
      </c>
      <c r="I2358" s="100">
        <v>-5.3420405605553022E-2</v>
      </c>
    </row>
    <row r="2359" spans="1:9">
      <c r="A2359" s="90">
        <v>2343</v>
      </c>
      <c r="B2359" s="110">
        <v>1.1104065260927556</v>
      </c>
      <c r="C2359" s="110">
        <v>1.0704142980844917</v>
      </c>
      <c r="G2359" s="90">
        <v>2343</v>
      </c>
      <c r="H2359" s="100">
        <v>-3.6680419993182056E-2</v>
      </c>
      <c r="I2359" s="100">
        <v>-5.3411880785014562E-2</v>
      </c>
    </row>
    <row r="2360" spans="1:9">
      <c r="A2360" s="90">
        <v>2344</v>
      </c>
      <c r="B2360" s="110">
        <v>1.0979445515667035</v>
      </c>
      <c r="C2360" s="110">
        <v>1.0690888682835791</v>
      </c>
      <c r="G2360" s="90">
        <v>2344</v>
      </c>
      <c r="H2360" s="100">
        <v>-2.6633081576452982E-2</v>
      </c>
      <c r="I2360" s="100">
        <v>-5.3405263331157929E-2</v>
      </c>
    </row>
    <row r="2361" spans="1:9">
      <c r="A2361" s="90">
        <v>2345</v>
      </c>
      <c r="B2361" s="110">
        <v>1.1131810237416679</v>
      </c>
      <c r="C2361" s="110">
        <v>1.0375041860526433</v>
      </c>
      <c r="G2361" s="90">
        <v>2345</v>
      </c>
      <c r="H2361" s="100">
        <v>-7.040369607527236E-2</v>
      </c>
      <c r="I2361" s="100">
        <v>-5.3405064697453361E-2</v>
      </c>
    </row>
    <row r="2362" spans="1:9">
      <c r="A2362" s="90">
        <v>2346</v>
      </c>
      <c r="B2362" s="110">
        <v>1.1125279870539908</v>
      </c>
      <c r="C2362" s="110">
        <v>1.049128359198721</v>
      </c>
      <c r="G2362" s="90">
        <v>2346</v>
      </c>
      <c r="H2362" s="100">
        <v>-5.8675206323432365E-2</v>
      </c>
      <c r="I2362" s="100">
        <v>-5.3396859782706335E-2</v>
      </c>
    </row>
    <row r="2363" spans="1:9">
      <c r="A2363" s="90">
        <v>2347</v>
      </c>
      <c r="B2363" s="110">
        <v>1.0948252954404483</v>
      </c>
      <c r="C2363" s="110">
        <v>1.0483184081234056</v>
      </c>
      <c r="G2363" s="90">
        <v>2347</v>
      </c>
      <c r="H2363" s="100">
        <v>-4.3407438697677214E-2</v>
      </c>
      <c r="I2363" s="100">
        <v>-5.3391223350145428E-2</v>
      </c>
    </row>
    <row r="2364" spans="1:9">
      <c r="A2364" s="90">
        <v>2348</v>
      </c>
      <c r="B2364" s="110">
        <v>1.0832320621835136</v>
      </c>
      <c r="C2364" s="110">
        <v>1.0422587440688236</v>
      </c>
      <c r="G2364" s="90">
        <v>2348</v>
      </c>
      <c r="H2364" s="100">
        <v>-3.8558994891070821E-2</v>
      </c>
      <c r="I2364" s="100">
        <v>-5.3390334950701154E-2</v>
      </c>
    </row>
    <row r="2365" spans="1:9">
      <c r="A2365" s="90">
        <v>2349</v>
      </c>
      <c r="B2365" s="110">
        <v>1.1447295289429069</v>
      </c>
      <c r="C2365" s="110">
        <v>1.0546886897710919</v>
      </c>
      <c r="G2365" s="90">
        <v>2349</v>
      </c>
      <c r="H2365" s="100">
        <v>-8.1922747240768021E-2</v>
      </c>
      <c r="I2365" s="100">
        <v>-5.337955331028163E-2</v>
      </c>
    </row>
    <row r="2366" spans="1:9">
      <c r="A2366" s="90">
        <v>2350</v>
      </c>
      <c r="B2366" s="110">
        <v>1.1335918862359662</v>
      </c>
      <c r="C2366" s="110">
        <v>1.0720509808726342</v>
      </c>
      <c r="G2366" s="90">
        <v>2350</v>
      </c>
      <c r="H2366" s="100">
        <v>-5.5817633547285507E-2</v>
      </c>
      <c r="I2366" s="100">
        <v>-5.3365634596907838E-2</v>
      </c>
    </row>
    <row r="2367" spans="1:9">
      <c r="A2367" s="90">
        <v>2351</v>
      </c>
      <c r="B2367" s="110">
        <v>1.11715926704907</v>
      </c>
      <c r="C2367" s="110">
        <v>1.0654307681192725</v>
      </c>
      <c r="G2367" s="90">
        <v>2351</v>
      </c>
      <c r="H2367" s="100">
        <v>-4.7409900078508385E-2</v>
      </c>
      <c r="I2367" s="100">
        <v>-5.3354569949955744E-2</v>
      </c>
    </row>
    <row r="2368" spans="1:9">
      <c r="A2368" s="90">
        <v>2352</v>
      </c>
      <c r="B2368" s="110">
        <v>1.1042874948764849</v>
      </c>
      <c r="C2368" s="110">
        <v>1.040269414523957</v>
      </c>
      <c r="G2368" s="90">
        <v>2352</v>
      </c>
      <c r="H2368" s="100">
        <v>-5.9720593947502086E-2</v>
      </c>
      <c r="I2368" s="100">
        <v>-5.3345176990913602E-2</v>
      </c>
    </row>
    <row r="2369" spans="1:9">
      <c r="A2369" s="90">
        <v>2353</v>
      </c>
      <c r="B2369" s="110">
        <v>1.0973404715702597</v>
      </c>
      <c r="C2369" s="110">
        <v>1.0574033276658124</v>
      </c>
      <c r="G2369" s="90">
        <v>2353</v>
      </c>
      <c r="H2369" s="100">
        <v>-3.707328736098147E-2</v>
      </c>
      <c r="I2369" s="100">
        <v>-5.3334333903714226E-2</v>
      </c>
    </row>
    <row r="2370" spans="1:9">
      <c r="A2370" s="90">
        <v>2354</v>
      </c>
      <c r="B2370" s="110">
        <v>1.1129050859636092</v>
      </c>
      <c r="C2370" s="110">
        <v>1.044759298417808</v>
      </c>
      <c r="G2370" s="90">
        <v>2354</v>
      </c>
      <c r="H2370" s="100">
        <v>-6.3187268553359932E-2</v>
      </c>
      <c r="I2370" s="100">
        <v>-5.3333232127549958E-2</v>
      </c>
    </row>
    <row r="2371" spans="1:9">
      <c r="A2371" s="90">
        <v>2355</v>
      </c>
      <c r="B2371" s="110">
        <v>1.1138978723349311</v>
      </c>
      <c r="C2371" s="110">
        <v>1.0576890644173611</v>
      </c>
      <c r="G2371" s="90">
        <v>2355</v>
      </c>
      <c r="H2371" s="100">
        <v>-5.1779060485680505E-2</v>
      </c>
      <c r="I2371" s="100">
        <v>-5.3332603388869533E-2</v>
      </c>
    </row>
    <row r="2372" spans="1:9">
      <c r="A2372" s="90">
        <v>2356</v>
      </c>
      <c r="B2372" s="110">
        <v>1.0964404861578465</v>
      </c>
      <c r="C2372" s="110">
        <v>1.0625496502913119</v>
      </c>
      <c r="G2372" s="90">
        <v>2356</v>
      </c>
      <c r="H2372" s="100">
        <v>-3.1397660802388018E-2</v>
      </c>
      <c r="I2372" s="100">
        <v>-5.3315668728429771E-2</v>
      </c>
    </row>
    <row r="2373" spans="1:9">
      <c r="A2373" s="90">
        <v>2357</v>
      </c>
      <c r="B2373" s="110">
        <v>1.1177255599534535</v>
      </c>
      <c r="C2373" s="110">
        <v>1.0529280596043646</v>
      </c>
      <c r="G2373" s="90">
        <v>2357</v>
      </c>
      <c r="H2373" s="100">
        <v>-5.9720959142835379E-2</v>
      </c>
      <c r="I2373" s="100">
        <v>-5.331091066745576E-2</v>
      </c>
    </row>
    <row r="2374" spans="1:9">
      <c r="A2374" s="90">
        <v>2358</v>
      </c>
      <c r="B2374" s="110">
        <v>1.0647993170355554</v>
      </c>
      <c r="C2374" s="110">
        <v>1.0413080173985916</v>
      </c>
      <c r="G2374" s="90">
        <v>2358</v>
      </c>
      <c r="H2374" s="100">
        <v>-2.2308714760025321E-2</v>
      </c>
      <c r="I2374" s="100">
        <v>-5.3307624501546469E-2</v>
      </c>
    </row>
    <row r="2375" spans="1:9">
      <c r="A2375" s="90">
        <v>2359</v>
      </c>
      <c r="B2375" s="110">
        <v>1.1154460366466146</v>
      </c>
      <c r="C2375" s="110">
        <v>1.0529585982074481</v>
      </c>
      <c r="G2375" s="90">
        <v>2359</v>
      </c>
      <c r="H2375" s="100">
        <v>-5.7650443349962666E-2</v>
      </c>
      <c r="I2375" s="100">
        <v>-5.3305482216873444E-2</v>
      </c>
    </row>
    <row r="2376" spans="1:9">
      <c r="A2376" s="90">
        <v>2360</v>
      </c>
      <c r="B2376" s="110">
        <v>1.1007400262333384</v>
      </c>
      <c r="C2376" s="110">
        <v>1.0538481370651938</v>
      </c>
      <c r="G2376" s="90">
        <v>2360</v>
      </c>
      <c r="H2376" s="100">
        <v>-4.3534347472497362E-2</v>
      </c>
      <c r="I2376" s="100">
        <v>-5.3268474752066655E-2</v>
      </c>
    </row>
    <row r="2377" spans="1:9">
      <c r="A2377" s="90">
        <v>2361</v>
      </c>
      <c r="B2377" s="110">
        <v>1.1017380664842171</v>
      </c>
      <c r="C2377" s="110">
        <v>1.046583976272025</v>
      </c>
      <c r="G2377" s="90">
        <v>2361</v>
      </c>
      <c r="H2377" s="100">
        <v>-5.1357488693043199E-2</v>
      </c>
      <c r="I2377" s="100">
        <v>-5.3259313583441326E-2</v>
      </c>
    </row>
    <row r="2378" spans="1:9">
      <c r="A2378" s="90">
        <v>2362</v>
      </c>
      <c r="B2378" s="110">
        <v>1.1463143380649172</v>
      </c>
      <c r="C2378" s="110">
        <v>1.0467937936894189</v>
      </c>
      <c r="G2378" s="90">
        <v>2362</v>
      </c>
      <c r="H2378" s="100">
        <v>-9.0819909371225888E-2</v>
      </c>
      <c r="I2378" s="100">
        <v>-5.325807197886688E-2</v>
      </c>
    </row>
    <row r="2379" spans="1:9">
      <c r="A2379" s="90">
        <v>2363</v>
      </c>
      <c r="B2379" s="110">
        <v>1.1322695989139702</v>
      </c>
      <c r="C2379" s="110">
        <v>1.057879288750827</v>
      </c>
      <c r="G2379" s="90">
        <v>2363</v>
      </c>
      <c r="H2379" s="100">
        <v>-6.7957879891180364E-2</v>
      </c>
      <c r="I2379" s="100">
        <v>-5.3204995060340647E-2</v>
      </c>
    </row>
    <row r="2380" spans="1:9">
      <c r="A2380" s="90">
        <v>2364</v>
      </c>
      <c r="B2380" s="110">
        <v>1.0998231160112164</v>
      </c>
      <c r="C2380" s="110">
        <v>1.0454290128186956</v>
      </c>
      <c r="G2380" s="90">
        <v>2364</v>
      </c>
      <c r="H2380" s="100">
        <v>-5.0722023496517131E-2</v>
      </c>
      <c r="I2380" s="100">
        <v>-5.319010610299562E-2</v>
      </c>
    </row>
    <row r="2381" spans="1:9">
      <c r="A2381" s="90">
        <v>2365</v>
      </c>
      <c r="B2381" s="110">
        <v>1.1124319809900536</v>
      </c>
      <c r="C2381" s="110">
        <v>1.0599722917446255</v>
      </c>
      <c r="G2381" s="90">
        <v>2365</v>
      </c>
      <c r="H2381" s="100">
        <v>-4.8305824587229838E-2</v>
      </c>
      <c r="I2381" s="100">
        <v>-5.3179448980157085E-2</v>
      </c>
    </row>
    <row r="2382" spans="1:9">
      <c r="A2382" s="90">
        <v>2366</v>
      </c>
      <c r="B2382" s="110">
        <v>1.0929183735960422</v>
      </c>
      <c r="C2382" s="110">
        <v>1.0316372250602988</v>
      </c>
      <c r="G2382" s="90">
        <v>2366</v>
      </c>
      <c r="H2382" s="100">
        <v>-5.7704446185486674E-2</v>
      </c>
      <c r="I2382" s="100">
        <v>-5.3175518207378772E-2</v>
      </c>
    </row>
    <row r="2383" spans="1:9">
      <c r="A2383" s="90">
        <v>2367</v>
      </c>
      <c r="B2383" s="110">
        <v>1.1288576940142789</v>
      </c>
      <c r="C2383" s="110">
        <v>1.0842590098812781</v>
      </c>
      <c r="G2383" s="90">
        <v>2367</v>
      </c>
      <c r="H2383" s="100">
        <v>-4.0309417696297235E-2</v>
      </c>
      <c r="I2383" s="100">
        <v>-5.3160956986601685E-2</v>
      </c>
    </row>
    <row r="2384" spans="1:9">
      <c r="A2384" s="90">
        <v>2368</v>
      </c>
      <c r="B2384" s="110">
        <v>1.1169407064837598</v>
      </c>
      <c r="C2384" s="110">
        <v>1.0706472455537879</v>
      </c>
      <c r="G2384" s="90">
        <v>2368</v>
      </c>
      <c r="H2384" s="100">
        <v>-4.2330067871650764E-2</v>
      </c>
      <c r="I2384" s="100">
        <v>-5.3156015421370495E-2</v>
      </c>
    </row>
    <row r="2385" spans="1:9">
      <c r="A2385" s="90">
        <v>2369</v>
      </c>
      <c r="B2385" s="110">
        <v>1.1436891795280109</v>
      </c>
      <c r="C2385" s="110">
        <v>1.048959213190968</v>
      </c>
      <c r="G2385" s="90">
        <v>2369</v>
      </c>
      <c r="H2385" s="100">
        <v>-8.6460712776613269E-2</v>
      </c>
      <c r="I2385" s="100">
        <v>-5.3138836049391229E-2</v>
      </c>
    </row>
    <row r="2386" spans="1:9">
      <c r="A2386" s="90">
        <v>2370</v>
      </c>
      <c r="B2386" s="110">
        <v>1.1222954414307649</v>
      </c>
      <c r="C2386" s="110">
        <v>1.054968717426761</v>
      </c>
      <c r="G2386" s="90">
        <v>2370</v>
      </c>
      <c r="H2386" s="100">
        <v>-6.1864974461717799E-2</v>
      </c>
      <c r="I2386" s="100">
        <v>-5.3128645455191664E-2</v>
      </c>
    </row>
    <row r="2387" spans="1:9">
      <c r="A2387" s="90">
        <v>2371</v>
      </c>
      <c r="B2387" s="110">
        <v>1.0966306346903356</v>
      </c>
      <c r="C2387" s="110">
        <v>1.0494286454591086</v>
      </c>
      <c r="G2387" s="90">
        <v>2371</v>
      </c>
      <c r="H2387" s="100">
        <v>-4.3996550778110266E-2</v>
      </c>
      <c r="I2387" s="100">
        <v>-5.3119410230764462E-2</v>
      </c>
    </row>
    <row r="2388" spans="1:9">
      <c r="A2388" s="90">
        <v>2372</v>
      </c>
      <c r="B2388" s="110">
        <v>1.1128787824771131</v>
      </c>
      <c r="C2388" s="110">
        <v>1.039667493846453</v>
      </c>
      <c r="G2388" s="90">
        <v>2372</v>
      </c>
      <c r="H2388" s="100">
        <v>-6.8049211162249768E-2</v>
      </c>
      <c r="I2388" s="100">
        <v>-5.3116658971807722E-2</v>
      </c>
    </row>
    <row r="2389" spans="1:9">
      <c r="A2389" s="90">
        <v>2373</v>
      </c>
      <c r="B2389" s="110">
        <v>1.0983596943772238</v>
      </c>
      <c r="C2389" s="110">
        <v>1.0636906608545693</v>
      </c>
      <c r="G2389" s="90">
        <v>2373</v>
      </c>
      <c r="H2389" s="100">
        <v>-3.2073263579683882E-2</v>
      </c>
      <c r="I2389" s="100">
        <v>-5.3097798691993603E-2</v>
      </c>
    </row>
    <row r="2390" spans="1:9">
      <c r="A2390" s="90">
        <v>2374</v>
      </c>
      <c r="B2390" s="110">
        <v>1.1011380200208294</v>
      </c>
      <c r="C2390" s="110">
        <v>1.0466171102008639</v>
      </c>
      <c r="G2390" s="90">
        <v>2374</v>
      </c>
      <c r="H2390" s="100">
        <v>-5.0781045478164401E-2</v>
      </c>
      <c r="I2390" s="100">
        <v>-5.3064569572284843E-2</v>
      </c>
    </row>
    <row r="2391" spans="1:9">
      <c r="A2391" s="90">
        <v>2375</v>
      </c>
      <c r="B2391" s="110">
        <v>1.0814227242354573</v>
      </c>
      <c r="C2391" s="110">
        <v>1.0521931039601262</v>
      </c>
      <c r="G2391" s="90">
        <v>2375</v>
      </c>
      <c r="H2391" s="100">
        <v>-2.7400855095629919E-2</v>
      </c>
      <c r="I2391" s="100">
        <v>-5.3058909245242376E-2</v>
      </c>
    </row>
    <row r="2392" spans="1:9">
      <c r="A2392" s="90">
        <v>2376</v>
      </c>
      <c r="B2392" s="110">
        <v>1.1029360650163373</v>
      </c>
      <c r="C2392" s="110">
        <v>1.0560037206725319</v>
      </c>
      <c r="G2392" s="90">
        <v>2376</v>
      </c>
      <c r="H2392" s="100">
        <v>-4.3484065322274688E-2</v>
      </c>
      <c r="I2392" s="100">
        <v>-5.3055301763440255E-2</v>
      </c>
    </row>
    <row r="2393" spans="1:9">
      <c r="A2393" s="90">
        <v>2377</v>
      </c>
      <c r="B2393" s="110">
        <v>1.0986067221445943</v>
      </c>
      <c r="C2393" s="110">
        <v>1.0462057290603366</v>
      </c>
      <c r="G2393" s="90">
        <v>2377</v>
      </c>
      <c r="H2393" s="100">
        <v>-4.8872732730339145E-2</v>
      </c>
      <c r="I2393" s="100">
        <v>-5.304951103221299E-2</v>
      </c>
    </row>
    <row r="2394" spans="1:9">
      <c r="A2394" s="90">
        <v>2378</v>
      </c>
      <c r="B2394" s="110">
        <v>1.1218536113851321</v>
      </c>
      <c r="C2394" s="110">
        <v>1.0526585376597297</v>
      </c>
      <c r="G2394" s="90">
        <v>2378</v>
      </c>
      <c r="H2394" s="100">
        <v>-6.3663422615816145E-2</v>
      </c>
      <c r="I2394" s="100">
        <v>-5.3031440204604763E-2</v>
      </c>
    </row>
    <row r="2395" spans="1:9">
      <c r="A2395" s="90">
        <v>2379</v>
      </c>
      <c r="B2395" s="110">
        <v>1.1206279297393478</v>
      </c>
      <c r="C2395" s="110">
        <v>1.0367977137613811</v>
      </c>
      <c r="G2395" s="90">
        <v>2379</v>
      </c>
      <c r="H2395" s="100">
        <v>-7.7752338231447393E-2</v>
      </c>
      <c r="I2395" s="100">
        <v>-5.3013742072103971E-2</v>
      </c>
    </row>
    <row r="2396" spans="1:9">
      <c r="A2396" s="90">
        <v>2380</v>
      </c>
      <c r="B2396" s="110">
        <v>1.1329079328926959</v>
      </c>
      <c r="C2396" s="110">
        <v>1.0634536917179123</v>
      </c>
      <c r="G2396" s="90">
        <v>2380</v>
      </c>
      <c r="H2396" s="100">
        <v>-6.326590773479962E-2</v>
      </c>
      <c r="I2396" s="100">
        <v>-5.3012655459224386E-2</v>
      </c>
    </row>
    <row r="2397" spans="1:9">
      <c r="A2397" s="90">
        <v>2381</v>
      </c>
      <c r="B2397" s="110">
        <v>1.1145060990919311</v>
      </c>
      <c r="C2397" s="110">
        <v>1.0803806730513259</v>
      </c>
      <c r="G2397" s="90">
        <v>2381</v>
      </c>
      <c r="H2397" s="100">
        <v>-3.1097892241535037E-2</v>
      </c>
      <c r="I2397" s="100">
        <v>-5.3011077940042083E-2</v>
      </c>
    </row>
    <row r="2398" spans="1:9">
      <c r="A2398" s="90">
        <v>2382</v>
      </c>
      <c r="B2398" s="110">
        <v>1.0887219709599369</v>
      </c>
      <c r="C2398" s="110">
        <v>1.0497533363947782</v>
      </c>
      <c r="G2398" s="90">
        <v>2382</v>
      </c>
      <c r="H2398" s="100">
        <v>-3.6449285761639444E-2</v>
      </c>
      <c r="I2398" s="100">
        <v>-5.3008527453492972E-2</v>
      </c>
    </row>
    <row r="2399" spans="1:9">
      <c r="A2399" s="90">
        <v>2383</v>
      </c>
      <c r="B2399" s="110">
        <v>1.080420031939759</v>
      </c>
      <c r="C2399" s="110">
        <v>1.0515349209923244</v>
      </c>
      <c r="G2399" s="90">
        <v>2383</v>
      </c>
      <c r="H2399" s="100">
        <v>-2.7098957736379194E-2</v>
      </c>
      <c r="I2399" s="100">
        <v>-5.3001041561824891E-2</v>
      </c>
    </row>
    <row r="2400" spans="1:9">
      <c r="A2400" s="90">
        <v>2384</v>
      </c>
      <c r="B2400" s="110">
        <v>1.1088977494763048</v>
      </c>
      <c r="C2400" s="110">
        <v>1.0654852391298546</v>
      </c>
      <c r="G2400" s="90">
        <v>2384</v>
      </c>
      <c r="H2400" s="100">
        <v>-3.9936184472340326E-2</v>
      </c>
      <c r="I2400" s="100">
        <v>-5.2999527939934163E-2</v>
      </c>
    </row>
    <row r="2401" spans="1:9">
      <c r="A2401" s="90">
        <v>2385</v>
      </c>
      <c r="B2401" s="110">
        <v>1.1141363519724723</v>
      </c>
      <c r="C2401" s="110">
        <v>1.0735484882848785</v>
      </c>
      <c r="G2401" s="90">
        <v>2385</v>
      </c>
      <c r="H2401" s="100">
        <v>-3.7110026830422492E-2</v>
      </c>
      <c r="I2401" s="100">
        <v>-5.2999123170806808E-2</v>
      </c>
    </row>
    <row r="2402" spans="1:9">
      <c r="A2402" s="90">
        <v>2386</v>
      </c>
      <c r="B2402" s="110">
        <v>1.0910333013070568</v>
      </c>
      <c r="C2402" s="110">
        <v>1.0390993541379308</v>
      </c>
      <c r="G2402" s="90">
        <v>2386</v>
      </c>
      <c r="H2402" s="100">
        <v>-4.8770897722431365E-2</v>
      </c>
      <c r="I2402" s="100">
        <v>-5.298298543923792E-2</v>
      </c>
    </row>
    <row r="2403" spans="1:9">
      <c r="A2403" s="90">
        <v>2387</v>
      </c>
      <c r="B2403" s="110">
        <v>1.1287370414229172</v>
      </c>
      <c r="C2403" s="110">
        <v>1.0455234273950582</v>
      </c>
      <c r="G2403" s="90">
        <v>2387</v>
      </c>
      <c r="H2403" s="100">
        <v>-7.6581697742285612E-2</v>
      </c>
      <c r="I2403" s="100">
        <v>-5.2956808502380014E-2</v>
      </c>
    </row>
    <row r="2404" spans="1:9">
      <c r="A2404" s="90">
        <v>2388</v>
      </c>
      <c r="B2404" s="110">
        <v>1.1160850479427857</v>
      </c>
      <c r="C2404" s="110">
        <v>1.0458822543445756</v>
      </c>
      <c r="G2404" s="90">
        <v>2388</v>
      </c>
      <c r="H2404" s="100">
        <v>-6.4966277131164846E-2</v>
      </c>
      <c r="I2404" s="100">
        <v>-5.2956448273713895E-2</v>
      </c>
    </row>
    <row r="2405" spans="1:9">
      <c r="A2405" s="90">
        <v>2389</v>
      </c>
      <c r="B2405" s="110">
        <v>1.0952698508906669</v>
      </c>
      <c r="C2405" s="110">
        <v>1.0557526572879579</v>
      </c>
      <c r="G2405" s="90">
        <v>2389</v>
      </c>
      <c r="H2405" s="100">
        <v>-3.6746840281085352E-2</v>
      </c>
      <c r="I2405" s="100">
        <v>-5.2948096118070824E-2</v>
      </c>
    </row>
    <row r="2406" spans="1:9">
      <c r="A2406" s="90">
        <v>2390</v>
      </c>
      <c r="B2406" s="110">
        <v>1.1167811189123655</v>
      </c>
      <c r="C2406" s="110">
        <v>1.0441376302845171</v>
      </c>
      <c r="G2406" s="90">
        <v>2390</v>
      </c>
      <c r="H2406" s="100">
        <v>-6.7259235918937552E-2</v>
      </c>
      <c r="I2406" s="100">
        <v>-5.2947123257741577E-2</v>
      </c>
    </row>
    <row r="2407" spans="1:9">
      <c r="A2407" s="90">
        <v>2391</v>
      </c>
      <c r="B2407" s="110">
        <v>1.122740244376861</v>
      </c>
      <c r="C2407" s="110">
        <v>1.0652726536647747</v>
      </c>
      <c r="G2407" s="90">
        <v>2391</v>
      </c>
      <c r="H2407" s="100">
        <v>-5.2541564678391578E-2</v>
      </c>
      <c r="I2407" s="100">
        <v>-5.2940332249295591E-2</v>
      </c>
    </row>
    <row r="2408" spans="1:9">
      <c r="A2408" s="90">
        <v>2392</v>
      </c>
      <c r="B2408" s="110">
        <v>1.1073085269802561</v>
      </c>
      <c r="C2408" s="110">
        <v>1.0252214469749377</v>
      </c>
      <c r="G2408" s="90">
        <v>2392</v>
      </c>
      <c r="H2408" s="100">
        <v>-7.7023685302852057E-2</v>
      </c>
      <c r="I2408" s="100">
        <v>-5.2934767259498396E-2</v>
      </c>
    </row>
    <row r="2409" spans="1:9">
      <c r="A2409" s="90">
        <v>2393</v>
      </c>
      <c r="B2409" s="110">
        <v>1.0834162600125379</v>
      </c>
      <c r="C2409" s="110">
        <v>1.0539524933619777</v>
      </c>
      <c r="G2409" s="90">
        <v>2393</v>
      </c>
      <c r="H2409" s="100">
        <v>-2.7571876056022317E-2</v>
      </c>
      <c r="I2409" s="100">
        <v>-5.2901124366864442E-2</v>
      </c>
    </row>
    <row r="2410" spans="1:9">
      <c r="A2410" s="90">
        <v>2394</v>
      </c>
      <c r="B2410" s="110">
        <v>1.1337463601677373</v>
      </c>
      <c r="C2410" s="110">
        <v>1.0424029981343335</v>
      </c>
      <c r="G2410" s="90">
        <v>2394</v>
      </c>
      <c r="H2410" s="100">
        <v>-8.399888899717238E-2</v>
      </c>
      <c r="I2410" s="100">
        <v>-5.2887164652445945E-2</v>
      </c>
    </row>
    <row r="2411" spans="1:9">
      <c r="A2411" s="90">
        <v>2395</v>
      </c>
      <c r="B2411" s="110">
        <v>1.0992310062982256</v>
      </c>
      <c r="C2411" s="110">
        <v>1.0275093499443442</v>
      </c>
      <c r="G2411" s="90">
        <v>2395</v>
      </c>
      <c r="H2411" s="100">
        <v>-6.747308309752599E-2</v>
      </c>
      <c r="I2411" s="100">
        <v>-5.2882846592029562E-2</v>
      </c>
    </row>
    <row r="2412" spans="1:9">
      <c r="A2412" s="90">
        <v>2396</v>
      </c>
      <c r="B2412" s="110">
        <v>1.0998710049235774</v>
      </c>
      <c r="C2412" s="110">
        <v>1.0406201390369036</v>
      </c>
      <c r="G2412" s="90">
        <v>2396</v>
      </c>
      <c r="H2412" s="100">
        <v>-5.5376081696579302E-2</v>
      </c>
      <c r="I2412" s="100">
        <v>-5.2869861880767782E-2</v>
      </c>
    </row>
    <row r="2413" spans="1:9">
      <c r="A2413" s="90">
        <v>2397</v>
      </c>
      <c r="B2413" s="110">
        <v>1.1222765970955011</v>
      </c>
      <c r="C2413" s="110">
        <v>1.054844440498744</v>
      </c>
      <c r="G2413" s="90">
        <v>2397</v>
      </c>
      <c r="H2413" s="100">
        <v>-6.1965991902548825E-2</v>
      </c>
      <c r="I2413" s="100">
        <v>-5.2863989239237789E-2</v>
      </c>
    </row>
    <row r="2414" spans="1:9">
      <c r="A2414" s="90">
        <v>2398</v>
      </c>
      <c r="B2414" s="110">
        <v>1.1048714631943466</v>
      </c>
      <c r="C2414" s="110">
        <v>1.04731369482073</v>
      </c>
      <c r="G2414" s="90">
        <v>2398</v>
      </c>
      <c r="H2414" s="100">
        <v>-5.3500505279960468E-2</v>
      </c>
      <c r="I2414" s="100">
        <v>-5.2845923521732223E-2</v>
      </c>
    </row>
    <row r="2415" spans="1:9">
      <c r="A2415" s="90">
        <v>2399</v>
      </c>
      <c r="B2415" s="110">
        <v>1.1303127435683491</v>
      </c>
      <c r="C2415" s="110">
        <v>1.0397153576714742</v>
      </c>
      <c r="G2415" s="90">
        <v>2399</v>
      </c>
      <c r="H2415" s="100">
        <v>-8.3547377506441589E-2</v>
      </c>
      <c r="I2415" s="100">
        <v>-5.2844157318920622E-2</v>
      </c>
    </row>
    <row r="2416" spans="1:9">
      <c r="A2416" s="90">
        <v>2400</v>
      </c>
      <c r="B2416" s="110">
        <v>1.1127744820668637</v>
      </c>
      <c r="C2416" s="110">
        <v>1.0439852160927869</v>
      </c>
      <c r="G2416" s="90">
        <v>2400</v>
      </c>
      <c r="H2416" s="100">
        <v>-6.3811101550381999E-2</v>
      </c>
      <c r="I2416" s="100">
        <v>-5.2840165919684184E-2</v>
      </c>
    </row>
    <row r="2417" spans="1:9">
      <c r="A2417" s="90">
        <v>2401</v>
      </c>
      <c r="B2417" s="110">
        <v>1.1278652177499453</v>
      </c>
      <c r="C2417" s="110">
        <v>1.0585718748732367</v>
      </c>
      <c r="G2417" s="90">
        <v>2401</v>
      </c>
      <c r="H2417" s="100">
        <v>-6.3405946266058485E-2</v>
      </c>
      <c r="I2417" s="100">
        <v>-5.2839350330996709E-2</v>
      </c>
    </row>
    <row r="2418" spans="1:9">
      <c r="A2418" s="90">
        <v>2402</v>
      </c>
      <c r="B2418" s="110">
        <v>1.1120787661439233</v>
      </c>
      <c r="C2418" s="110">
        <v>1.0595168402249298</v>
      </c>
      <c r="G2418" s="90">
        <v>2402</v>
      </c>
      <c r="H2418" s="100">
        <v>-4.8418033081144417E-2</v>
      </c>
      <c r="I2418" s="100">
        <v>-5.2812474103649185E-2</v>
      </c>
    </row>
    <row r="2419" spans="1:9">
      <c r="A2419" s="90">
        <v>2403</v>
      </c>
      <c r="B2419" s="110">
        <v>1.1161008493242468</v>
      </c>
      <c r="C2419" s="110">
        <v>1.0595313813985427</v>
      </c>
      <c r="G2419" s="90">
        <v>2403</v>
      </c>
      <c r="H2419" s="100">
        <v>-5.2014509302484385E-2</v>
      </c>
      <c r="I2419" s="100">
        <v>-5.2805118598222886E-2</v>
      </c>
    </row>
    <row r="2420" spans="1:9">
      <c r="A2420" s="90">
        <v>2404</v>
      </c>
      <c r="B2420" s="110">
        <v>1.132570550483901</v>
      </c>
      <c r="C2420" s="110">
        <v>1.0348341868102189</v>
      </c>
      <c r="G2420" s="90">
        <v>2404</v>
      </c>
      <c r="H2420" s="100">
        <v>-9.0248664765228748E-2</v>
      </c>
      <c r="I2420" s="100">
        <v>-5.2800433761900814E-2</v>
      </c>
    </row>
    <row r="2421" spans="1:9">
      <c r="A2421" s="90">
        <v>2405</v>
      </c>
      <c r="B2421" s="110">
        <v>1.1073451638230283</v>
      </c>
      <c r="C2421" s="110">
        <v>1.0353163844542304</v>
      </c>
      <c r="G2421" s="90">
        <v>2405</v>
      </c>
      <c r="H2421" s="100">
        <v>-6.725834076337564E-2</v>
      </c>
      <c r="I2421" s="100">
        <v>-5.2797567159967439E-2</v>
      </c>
    </row>
    <row r="2422" spans="1:9">
      <c r="A2422" s="90">
        <v>2406</v>
      </c>
      <c r="B2422" s="110">
        <v>1.0809774772776548</v>
      </c>
      <c r="C2422" s="110">
        <v>1.0755337206375046</v>
      </c>
      <c r="G2422" s="90">
        <v>2406</v>
      </c>
      <c r="H2422" s="100">
        <v>-5.0486806731918693E-3</v>
      </c>
      <c r="I2422" s="100">
        <v>-5.2765042464854077E-2</v>
      </c>
    </row>
    <row r="2423" spans="1:9">
      <c r="A2423" s="90">
        <v>2407</v>
      </c>
      <c r="B2423" s="110">
        <v>1.0848656588552179</v>
      </c>
      <c r="C2423" s="110">
        <v>1.0477860972350579</v>
      </c>
      <c r="G2423" s="90">
        <v>2407</v>
      </c>
      <c r="H2423" s="100">
        <v>-3.4776703228487797E-2</v>
      </c>
      <c r="I2423" s="100">
        <v>-5.2764001729632096E-2</v>
      </c>
    </row>
    <row r="2424" spans="1:9">
      <c r="A2424" s="90">
        <v>2408</v>
      </c>
      <c r="B2424" s="110">
        <v>1.1126067974654004</v>
      </c>
      <c r="C2424" s="110">
        <v>1.0497652911889397</v>
      </c>
      <c r="G2424" s="90">
        <v>2408</v>
      </c>
      <c r="H2424" s="100">
        <v>-5.8139121191103996E-2</v>
      </c>
      <c r="I2424" s="100">
        <v>-5.2752182128480422E-2</v>
      </c>
    </row>
    <row r="2425" spans="1:9">
      <c r="A2425" s="90">
        <v>2409</v>
      </c>
      <c r="B2425" s="110">
        <v>1.0938732017939303</v>
      </c>
      <c r="C2425" s="110">
        <v>1.0554111416034415</v>
      </c>
      <c r="G2425" s="90">
        <v>2409</v>
      </c>
      <c r="H2425" s="100">
        <v>-3.5794395293557241E-2</v>
      </c>
      <c r="I2425" s="100">
        <v>-5.275001027953706E-2</v>
      </c>
    </row>
    <row r="2426" spans="1:9">
      <c r="A2426" s="90">
        <v>2410</v>
      </c>
      <c r="B2426" s="110">
        <v>1.136504418405063</v>
      </c>
      <c r="C2426" s="110">
        <v>1.0574146912754017</v>
      </c>
      <c r="G2426" s="90">
        <v>2410</v>
      </c>
      <c r="H2426" s="100">
        <v>-7.2130293537295623E-2</v>
      </c>
      <c r="I2426" s="100">
        <v>-5.2747818848695241E-2</v>
      </c>
    </row>
    <row r="2427" spans="1:9">
      <c r="A2427" s="90">
        <v>2411</v>
      </c>
      <c r="B2427" s="110">
        <v>1.1007313854256566</v>
      </c>
      <c r="C2427" s="110">
        <v>1.0481991429286583</v>
      </c>
      <c r="G2427" s="90">
        <v>2411</v>
      </c>
      <c r="H2427" s="100">
        <v>-4.8901264975051616E-2</v>
      </c>
      <c r="I2427" s="100">
        <v>-5.2744252268396047E-2</v>
      </c>
    </row>
    <row r="2428" spans="1:9">
      <c r="A2428" s="90">
        <v>2412</v>
      </c>
      <c r="B2428" s="110">
        <v>1.150973820634283</v>
      </c>
      <c r="C2428" s="110">
        <v>1.0623335279672177</v>
      </c>
      <c r="G2428" s="90">
        <v>2412</v>
      </c>
      <c r="H2428" s="100">
        <v>-8.0140454612754389E-2</v>
      </c>
      <c r="I2428" s="100">
        <v>-5.2736706485465613E-2</v>
      </c>
    </row>
    <row r="2429" spans="1:9">
      <c r="A2429" s="90">
        <v>2413</v>
      </c>
      <c r="B2429" s="110">
        <v>1.123948677479347</v>
      </c>
      <c r="C2429" s="110">
        <v>1.0448081670771809</v>
      </c>
      <c r="G2429" s="90">
        <v>2413</v>
      </c>
      <c r="H2429" s="100">
        <v>-7.3014793433065203E-2</v>
      </c>
      <c r="I2429" s="100">
        <v>-5.2736293272729863E-2</v>
      </c>
    </row>
    <row r="2430" spans="1:9">
      <c r="A2430" s="90">
        <v>2414</v>
      </c>
      <c r="B2430" s="110">
        <v>1.1026283822264027</v>
      </c>
      <c r="C2430" s="110">
        <v>1.0628876504378508</v>
      </c>
      <c r="G2430" s="90">
        <v>2414</v>
      </c>
      <c r="H2430" s="100">
        <v>-3.6707365276659042E-2</v>
      </c>
      <c r="I2430" s="100">
        <v>-5.2727287417038686E-2</v>
      </c>
    </row>
    <row r="2431" spans="1:9">
      <c r="A2431" s="90">
        <v>2415</v>
      </c>
      <c r="B2431" s="110">
        <v>1.1292564552836479</v>
      </c>
      <c r="C2431" s="110">
        <v>1.0653247497242253</v>
      </c>
      <c r="G2431" s="90">
        <v>2415</v>
      </c>
      <c r="H2431" s="100">
        <v>-5.8279729972313787E-2</v>
      </c>
      <c r="I2431" s="100">
        <v>-5.2725867189910437E-2</v>
      </c>
    </row>
    <row r="2432" spans="1:9">
      <c r="A2432" s="90">
        <v>2416</v>
      </c>
      <c r="B2432" s="110">
        <v>1.1272921044440551</v>
      </c>
      <c r="C2432" s="110">
        <v>1.0448595151153295</v>
      </c>
      <c r="G2432" s="90">
        <v>2416</v>
      </c>
      <c r="H2432" s="100">
        <v>-7.5935948007857579E-2</v>
      </c>
      <c r="I2432" s="100">
        <v>-5.2722690360381227E-2</v>
      </c>
    </row>
    <row r="2433" spans="1:9">
      <c r="A2433" s="90">
        <v>2417</v>
      </c>
      <c r="B2433" s="110">
        <v>1.1592237266142633</v>
      </c>
      <c r="C2433" s="110">
        <v>1.047704057985499</v>
      </c>
      <c r="G2433" s="90">
        <v>2417</v>
      </c>
      <c r="H2433" s="100">
        <v>-0.10114942130700821</v>
      </c>
      <c r="I2433" s="100">
        <v>-5.2709532160192751E-2</v>
      </c>
    </row>
    <row r="2434" spans="1:9">
      <c r="A2434" s="90">
        <v>2418</v>
      </c>
      <c r="B2434" s="110">
        <v>1.1069483569363157</v>
      </c>
      <c r="C2434" s="110">
        <v>1.041634894345999</v>
      </c>
      <c r="G2434" s="90">
        <v>2418</v>
      </c>
      <c r="H2434" s="100">
        <v>-6.0815508643679635E-2</v>
      </c>
      <c r="I2434" s="100">
        <v>-5.2692719994340692E-2</v>
      </c>
    </row>
    <row r="2435" spans="1:9">
      <c r="A2435" s="90">
        <v>2419</v>
      </c>
      <c r="B2435" s="110">
        <v>1.0986965094407795</v>
      </c>
      <c r="C2435" s="110">
        <v>1.0359832831676008</v>
      </c>
      <c r="G2435" s="90">
        <v>2419</v>
      </c>
      <c r="H2435" s="100">
        <v>-5.8773477960875245E-2</v>
      </c>
      <c r="I2435" s="100">
        <v>-5.2659719788544695E-2</v>
      </c>
    </row>
    <row r="2436" spans="1:9">
      <c r="A2436" s="90">
        <v>2420</v>
      </c>
      <c r="B2436" s="110">
        <v>1.1278372922905995</v>
      </c>
      <c r="C2436" s="110">
        <v>1.0659866016266706</v>
      </c>
      <c r="G2436" s="90">
        <v>2420</v>
      </c>
      <c r="H2436" s="100">
        <v>-5.6401141414263424E-2</v>
      </c>
      <c r="I2436" s="100">
        <v>-5.2651438551911504E-2</v>
      </c>
    </row>
    <row r="2437" spans="1:9">
      <c r="A2437" s="90">
        <v>2421</v>
      </c>
      <c r="B2437" s="110">
        <v>1.0960327773518481</v>
      </c>
      <c r="C2437" s="110">
        <v>1.0654394500792097</v>
      </c>
      <c r="G2437" s="90">
        <v>2421</v>
      </c>
      <c r="H2437" s="100">
        <v>-2.830975118583004E-2</v>
      </c>
      <c r="I2437" s="100">
        <v>-5.264214499674566E-2</v>
      </c>
    </row>
    <row r="2438" spans="1:9">
      <c r="A2438" s="90">
        <v>2422</v>
      </c>
      <c r="B2438" s="110">
        <v>1.1220113883993441</v>
      </c>
      <c r="C2438" s="110">
        <v>1.0518660832891811</v>
      </c>
      <c r="G2438" s="90">
        <v>2422</v>
      </c>
      <c r="H2438" s="100">
        <v>-6.4557148178629842E-2</v>
      </c>
      <c r="I2438" s="100">
        <v>-5.2636908020816754E-2</v>
      </c>
    </row>
    <row r="2439" spans="1:9">
      <c r="A2439" s="90">
        <v>2423</v>
      </c>
      <c r="B2439" s="110">
        <v>1.1039435397407373</v>
      </c>
      <c r="C2439" s="110">
        <v>1.0597109031388408</v>
      </c>
      <c r="G2439" s="90">
        <v>2423</v>
      </c>
      <c r="H2439" s="100">
        <v>-4.0892666970231244E-2</v>
      </c>
      <c r="I2439" s="100">
        <v>-5.2625025712187516E-2</v>
      </c>
    </row>
    <row r="2440" spans="1:9">
      <c r="A2440" s="90">
        <v>2424</v>
      </c>
      <c r="B2440" s="110">
        <v>1.0893416737527419</v>
      </c>
      <c r="C2440" s="110">
        <v>1.0545214158477059</v>
      </c>
      <c r="G2440" s="90">
        <v>2424</v>
      </c>
      <c r="H2440" s="100">
        <v>-3.2486515006801303E-2</v>
      </c>
      <c r="I2440" s="100">
        <v>-5.2587373352769869E-2</v>
      </c>
    </row>
    <row r="2441" spans="1:9">
      <c r="A2441" s="90">
        <v>2425</v>
      </c>
      <c r="B2441" s="110">
        <v>1.1206860716718692</v>
      </c>
      <c r="C2441" s="110">
        <v>1.0604934111746103</v>
      </c>
      <c r="G2441" s="90">
        <v>2425</v>
      </c>
      <c r="H2441" s="100">
        <v>-5.520677969808041E-2</v>
      </c>
      <c r="I2441" s="100">
        <v>-5.2572334283112608E-2</v>
      </c>
    </row>
    <row r="2442" spans="1:9">
      <c r="A2442" s="90">
        <v>2426</v>
      </c>
      <c r="B2442" s="110">
        <v>1.1039242967109342</v>
      </c>
      <c r="C2442" s="110">
        <v>1.0598972771511468</v>
      </c>
      <c r="G2442" s="90">
        <v>2426</v>
      </c>
      <c r="H2442" s="100">
        <v>-4.0699378603859096E-2</v>
      </c>
      <c r="I2442" s="100">
        <v>-5.257220783274489E-2</v>
      </c>
    </row>
    <row r="2443" spans="1:9">
      <c r="A2443" s="90">
        <v>2427</v>
      </c>
      <c r="B2443" s="110">
        <v>1.1223871281075168</v>
      </c>
      <c r="C2443" s="110">
        <v>1.0496167260435818</v>
      </c>
      <c r="G2443" s="90">
        <v>2427</v>
      </c>
      <c r="H2443" s="100">
        <v>-6.703270683714245E-2</v>
      </c>
      <c r="I2443" s="100">
        <v>-5.2564907695924611E-2</v>
      </c>
    </row>
    <row r="2444" spans="1:9">
      <c r="A2444" s="90">
        <v>2428</v>
      </c>
      <c r="B2444" s="110">
        <v>1.1066757474447284</v>
      </c>
      <c r="C2444" s="110">
        <v>1.0528599463783972</v>
      </c>
      <c r="G2444" s="90">
        <v>2428</v>
      </c>
      <c r="H2444" s="100">
        <v>-4.9850479831983464E-2</v>
      </c>
      <c r="I2444" s="100">
        <v>-5.2561732288951973E-2</v>
      </c>
    </row>
    <row r="2445" spans="1:9">
      <c r="A2445" s="90">
        <v>2429</v>
      </c>
      <c r="B2445" s="110">
        <v>1.0968473526403226</v>
      </c>
      <c r="C2445" s="110">
        <v>1.0569097146995785</v>
      </c>
      <c r="G2445" s="90">
        <v>2429</v>
      </c>
      <c r="H2445" s="100">
        <v>-3.709073510114301E-2</v>
      </c>
      <c r="I2445" s="100">
        <v>-5.2552181006168E-2</v>
      </c>
    </row>
    <row r="2446" spans="1:9">
      <c r="A2446" s="90">
        <v>2430</v>
      </c>
      <c r="B2446" s="110">
        <v>1.1571125823450499</v>
      </c>
      <c r="C2446" s="110">
        <v>1.0333380515284416</v>
      </c>
      <c r="G2446" s="90">
        <v>2430</v>
      </c>
      <c r="H2446" s="100">
        <v>-0.1131333600674666</v>
      </c>
      <c r="I2446" s="100">
        <v>-5.2541564678391578E-2</v>
      </c>
    </row>
    <row r="2447" spans="1:9">
      <c r="A2447" s="90">
        <v>2431</v>
      </c>
      <c r="B2447" s="110">
        <v>1.1065590488670289</v>
      </c>
      <c r="C2447" s="110">
        <v>1.0550496721515192</v>
      </c>
      <c r="G2447" s="90">
        <v>2431</v>
      </c>
      <c r="H2447" s="100">
        <v>-4.7667396104259623E-2</v>
      </c>
      <c r="I2447" s="100">
        <v>-5.2539115536218907E-2</v>
      </c>
    </row>
    <row r="2448" spans="1:9">
      <c r="A2448" s="90">
        <v>2432</v>
      </c>
      <c r="B2448" s="110">
        <v>1.1213963263030813</v>
      </c>
      <c r="C2448" s="110">
        <v>1.037791694874864</v>
      </c>
      <c r="G2448" s="90">
        <v>2432</v>
      </c>
      <c r="H2448" s="100">
        <v>-7.747954341692069E-2</v>
      </c>
      <c r="I2448" s="100">
        <v>-5.2524834684450405E-2</v>
      </c>
    </row>
    <row r="2449" spans="1:9">
      <c r="A2449" s="90">
        <v>2433</v>
      </c>
      <c r="B2449" s="110">
        <v>1.1252670430709975</v>
      </c>
      <c r="C2449" s="110">
        <v>1.0782589840335031</v>
      </c>
      <c r="G2449" s="90">
        <v>2433</v>
      </c>
      <c r="H2449" s="100">
        <v>-4.2672690545210792E-2</v>
      </c>
      <c r="I2449" s="100">
        <v>-5.2516176381914761E-2</v>
      </c>
    </row>
    <row r="2450" spans="1:9">
      <c r="A2450" s="90">
        <v>2434</v>
      </c>
      <c r="B2450" s="110">
        <v>1.092538795268027</v>
      </c>
      <c r="C2450" s="110">
        <v>1.0559856425299345</v>
      </c>
      <c r="G2450" s="90">
        <v>2434</v>
      </c>
      <c r="H2450" s="100">
        <v>-3.4029568797375245E-2</v>
      </c>
      <c r="I2450" s="100">
        <v>-5.247839853068792E-2</v>
      </c>
    </row>
    <row r="2451" spans="1:9">
      <c r="A2451" s="90">
        <v>2435</v>
      </c>
      <c r="B2451" s="110">
        <v>1.0964264732654962</v>
      </c>
      <c r="C2451" s="110">
        <v>1.0565443002168378</v>
      </c>
      <c r="G2451" s="90">
        <v>2435</v>
      </c>
      <c r="H2451" s="100">
        <v>-3.7052742477981876E-2</v>
      </c>
      <c r="I2451" s="100">
        <v>-5.2469277034050396E-2</v>
      </c>
    </row>
    <row r="2452" spans="1:9">
      <c r="A2452" s="90">
        <v>2436</v>
      </c>
      <c r="B2452" s="110">
        <v>1.1220947422772882</v>
      </c>
      <c r="C2452" s="110">
        <v>1.0568091903484806</v>
      </c>
      <c r="G2452" s="90">
        <v>2436</v>
      </c>
      <c r="H2452" s="100">
        <v>-5.9943073486441845E-2</v>
      </c>
      <c r="I2452" s="100">
        <v>-5.2462495053059097E-2</v>
      </c>
    </row>
    <row r="2453" spans="1:9">
      <c r="A2453" s="90">
        <v>2437</v>
      </c>
      <c r="B2453" s="110">
        <v>1.1059390491963355</v>
      </c>
      <c r="C2453" s="110">
        <v>1.0685541732386716</v>
      </c>
      <c r="G2453" s="90">
        <v>2437</v>
      </c>
      <c r="H2453" s="100">
        <v>-3.4388297593822108E-2</v>
      </c>
      <c r="I2453" s="100">
        <v>-5.2457672368732541E-2</v>
      </c>
    </row>
    <row r="2454" spans="1:9">
      <c r="A2454" s="90">
        <v>2438</v>
      </c>
      <c r="B2454" s="110">
        <v>1.112496412823647</v>
      </c>
      <c r="C2454" s="110">
        <v>1.0768792806163758</v>
      </c>
      <c r="G2454" s="90">
        <v>2438</v>
      </c>
      <c r="H2454" s="100">
        <v>-3.2539207297200508E-2</v>
      </c>
      <c r="I2454" s="100">
        <v>-5.2446297280144952E-2</v>
      </c>
    </row>
    <row r="2455" spans="1:9">
      <c r="A2455" s="90">
        <v>2439</v>
      </c>
      <c r="B2455" s="110">
        <v>1.1188785525987128</v>
      </c>
      <c r="C2455" s="110">
        <v>1.0538639204365317</v>
      </c>
      <c r="G2455" s="90">
        <v>2439</v>
      </c>
      <c r="H2455" s="100">
        <v>-5.9863557317566832E-2</v>
      </c>
      <c r="I2455" s="100">
        <v>-5.2443755225993524E-2</v>
      </c>
    </row>
    <row r="2456" spans="1:9">
      <c r="A2456" s="90">
        <v>2440</v>
      </c>
      <c r="B2456" s="110">
        <v>1.1060773084503979</v>
      </c>
      <c r="C2456" s="110">
        <v>1.0903648497045593</v>
      </c>
      <c r="G2456" s="90">
        <v>2440</v>
      </c>
      <c r="H2456" s="100">
        <v>-1.4307435065820081E-2</v>
      </c>
      <c r="I2456" s="100">
        <v>-5.2440734851723382E-2</v>
      </c>
    </row>
    <row r="2457" spans="1:9">
      <c r="A2457" s="90">
        <v>2441</v>
      </c>
      <c r="B2457" s="110">
        <v>1.101370240196933</v>
      </c>
      <c r="C2457" s="110">
        <v>1.0462407743614428</v>
      </c>
      <c r="G2457" s="90">
        <v>2441</v>
      </c>
      <c r="H2457" s="100">
        <v>-5.1351552535795084E-2</v>
      </c>
      <c r="I2457" s="100">
        <v>-5.2436215745807313E-2</v>
      </c>
    </row>
    <row r="2458" spans="1:9">
      <c r="A2458" s="90">
        <v>2442</v>
      </c>
      <c r="B2458" s="110">
        <v>1.1178424350731453</v>
      </c>
      <c r="C2458" s="110">
        <v>1.048267342124183</v>
      </c>
      <c r="G2458" s="90">
        <v>2442</v>
      </c>
      <c r="H2458" s="100">
        <v>-6.4261779347514231E-2</v>
      </c>
      <c r="I2458" s="100">
        <v>-5.2431993433777753E-2</v>
      </c>
    </row>
    <row r="2459" spans="1:9">
      <c r="A2459" s="90">
        <v>2443</v>
      </c>
      <c r="B2459" s="110">
        <v>1.1310818297149845</v>
      </c>
      <c r="C2459" s="110">
        <v>1.060230090341642</v>
      </c>
      <c r="G2459" s="90">
        <v>2443</v>
      </c>
      <c r="H2459" s="100">
        <v>-6.4688595237176849E-2</v>
      </c>
      <c r="I2459" s="100">
        <v>-5.2416764939789383E-2</v>
      </c>
    </row>
    <row r="2460" spans="1:9">
      <c r="A2460" s="90">
        <v>2444</v>
      </c>
      <c r="B2460" s="110">
        <v>1.0945252116551367</v>
      </c>
      <c r="C2460" s="110">
        <v>1.0389137194892077</v>
      </c>
      <c r="G2460" s="90">
        <v>2444</v>
      </c>
      <c r="H2460" s="100">
        <v>-5.214500578491859E-2</v>
      </c>
      <c r="I2460" s="100">
        <v>-5.2412044360724261E-2</v>
      </c>
    </row>
    <row r="2461" spans="1:9">
      <c r="A2461" s="90">
        <v>2445</v>
      </c>
      <c r="B2461" s="110">
        <v>1.1295699403119703</v>
      </c>
      <c r="C2461" s="110">
        <v>1.0642529730816079</v>
      </c>
      <c r="G2461" s="90">
        <v>2445</v>
      </c>
      <c r="H2461" s="100">
        <v>-5.9563857173675211E-2</v>
      </c>
      <c r="I2461" s="100">
        <v>-5.2411405595942831E-2</v>
      </c>
    </row>
    <row r="2462" spans="1:9">
      <c r="A2462" s="90">
        <v>2446</v>
      </c>
      <c r="B2462" s="110">
        <v>1.1228054025164118</v>
      </c>
      <c r="C2462" s="110">
        <v>1.0504009449410776</v>
      </c>
      <c r="G2462" s="90">
        <v>2446</v>
      </c>
      <c r="H2462" s="100">
        <v>-6.6658433533043487E-2</v>
      </c>
      <c r="I2462" s="100">
        <v>-5.2409398679602065E-2</v>
      </c>
    </row>
    <row r="2463" spans="1:9">
      <c r="A2463" s="90">
        <v>2447</v>
      </c>
      <c r="B2463" s="110">
        <v>1.0899121231428921</v>
      </c>
      <c r="C2463" s="110">
        <v>1.0556228985856735</v>
      </c>
      <c r="G2463" s="90">
        <v>2447</v>
      </c>
      <c r="H2463" s="100">
        <v>-3.196605412584394E-2</v>
      </c>
      <c r="I2463" s="100">
        <v>-5.238639603216972E-2</v>
      </c>
    </row>
    <row r="2464" spans="1:9">
      <c r="A2464" s="90">
        <v>2448</v>
      </c>
      <c r="B2464" s="110">
        <v>1.1137046511493482</v>
      </c>
      <c r="C2464" s="110">
        <v>1.0474116401013365</v>
      </c>
      <c r="G2464" s="90">
        <v>2448</v>
      </c>
      <c r="H2464" s="100">
        <v>-6.1369965580807644E-2</v>
      </c>
      <c r="I2464" s="100">
        <v>-5.2369900972736506E-2</v>
      </c>
    </row>
    <row r="2465" spans="1:9">
      <c r="A2465" s="90">
        <v>2449</v>
      </c>
      <c r="B2465" s="110">
        <v>1.0811811909205211</v>
      </c>
      <c r="C2465" s="110">
        <v>1.0448560286889341</v>
      </c>
      <c r="G2465" s="90">
        <v>2449</v>
      </c>
      <c r="H2465" s="100">
        <v>-3.4175034448069921E-2</v>
      </c>
      <c r="I2465" s="100">
        <v>-5.2357601775447911E-2</v>
      </c>
    </row>
    <row r="2466" spans="1:9">
      <c r="A2466" s="90">
        <v>2450</v>
      </c>
      <c r="B2466" s="110">
        <v>1.0928902262511799</v>
      </c>
      <c r="C2466" s="110">
        <v>1.0626731793446289</v>
      </c>
      <c r="G2466" s="90">
        <v>2450</v>
      </c>
      <c r="H2466" s="100">
        <v>-2.8038169852646573E-2</v>
      </c>
      <c r="I2466" s="100">
        <v>-5.2354983532874017E-2</v>
      </c>
    </row>
    <row r="2467" spans="1:9">
      <c r="A2467" s="90">
        <v>2451</v>
      </c>
      <c r="B2467" s="110">
        <v>1.0971332309084263</v>
      </c>
      <c r="C2467" s="110">
        <v>1.0762522266919692</v>
      </c>
      <c r="G2467" s="90">
        <v>2451</v>
      </c>
      <c r="H2467" s="100">
        <v>-1.9215778460895096E-2</v>
      </c>
      <c r="I2467" s="100">
        <v>-5.2326895957828204E-2</v>
      </c>
    </row>
    <row r="2468" spans="1:9">
      <c r="A2468" s="90">
        <v>2452</v>
      </c>
      <c r="B2468" s="110">
        <v>1.0901883661198541</v>
      </c>
      <c r="C2468" s="110">
        <v>1.0591742136799658</v>
      </c>
      <c r="G2468" s="90">
        <v>2452</v>
      </c>
      <c r="H2468" s="100">
        <v>-2.886093345101505E-2</v>
      </c>
      <c r="I2468" s="100">
        <v>-5.227767169541403E-2</v>
      </c>
    </row>
    <row r="2469" spans="1:9">
      <c r="A2469" s="90">
        <v>2453</v>
      </c>
      <c r="B2469" s="110">
        <v>1.0634645560023357</v>
      </c>
      <c r="C2469" s="110">
        <v>1.0577610689843799</v>
      </c>
      <c r="G2469" s="90">
        <v>2453</v>
      </c>
      <c r="H2469" s="100">
        <v>-5.3775521993046664E-3</v>
      </c>
      <c r="I2469" s="100">
        <v>-5.227467252248038E-2</v>
      </c>
    </row>
    <row r="2470" spans="1:9">
      <c r="A2470" s="90">
        <v>2454</v>
      </c>
      <c r="B2470" s="110">
        <v>1.1219618901704527</v>
      </c>
      <c r="C2470" s="110">
        <v>1.0625257959516443</v>
      </c>
      <c r="G2470" s="90">
        <v>2454</v>
      </c>
      <c r="H2470" s="100">
        <v>-5.4429940479219056E-2</v>
      </c>
      <c r="I2470" s="100">
        <v>-5.2259189848808334E-2</v>
      </c>
    </row>
    <row r="2471" spans="1:9">
      <c r="A2471" s="90">
        <v>2455</v>
      </c>
      <c r="B2471" s="110">
        <v>1.0950723623579279</v>
      </c>
      <c r="C2471" s="110">
        <v>1.0677058149027379</v>
      </c>
      <c r="G2471" s="90">
        <v>2455</v>
      </c>
      <c r="H2471" s="100">
        <v>-2.5308197047525436E-2</v>
      </c>
      <c r="I2471" s="100">
        <v>-5.2235161594076207E-2</v>
      </c>
    </row>
    <row r="2472" spans="1:9">
      <c r="A2472" s="90">
        <v>2456</v>
      </c>
      <c r="B2472" s="110">
        <v>1.1525510634990246</v>
      </c>
      <c r="C2472" s="110">
        <v>1.0455542508081044</v>
      </c>
      <c r="G2472" s="90">
        <v>2456</v>
      </c>
      <c r="H2472" s="100">
        <v>-9.7430673269259235E-2</v>
      </c>
      <c r="I2472" s="100">
        <v>-5.2232277626900435E-2</v>
      </c>
    </row>
    <row r="2473" spans="1:9">
      <c r="A2473" s="90">
        <v>2457</v>
      </c>
      <c r="B2473" s="110">
        <v>1.0889449595691478</v>
      </c>
      <c r="C2473" s="110">
        <v>1.0494006446336155</v>
      </c>
      <c r="G2473" s="90">
        <v>2457</v>
      </c>
      <c r="H2473" s="100">
        <v>-3.6990113938349528E-2</v>
      </c>
      <c r="I2473" s="100">
        <v>-5.2229904771846053E-2</v>
      </c>
    </row>
    <row r="2474" spans="1:9">
      <c r="A2474" s="90">
        <v>2458</v>
      </c>
      <c r="B2474" s="110">
        <v>1.1143622540291809</v>
      </c>
      <c r="C2474" s="110">
        <v>1.0658234436378184</v>
      </c>
      <c r="G2474" s="90">
        <v>2458</v>
      </c>
      <c r="H2474" s="100">
        <v>-4.4534584873519197E-2</v>
      </c>
      <c r="I2474" s="100">
        <v>-5.2228943292407126E-2</v>
      </c>
    </row>
    <row r="2475" spans="1:9">
      <c r="A2475" s="90">
        <v>2459</v>
      </c>
      <c r="B2475" s="110">
        <v>1.0859819374438711</v>
      </c>
      <c r="C2475" s="110">
        <v>1.0536927391836022</v>
      </c>
      <c r="G2475" s="90">
        <v>2459</v>
      </c>
      <c r="H2475" s="100">
        <v>-3.0183700367294689E-2</v>
      </c>
      <c r="I2475" s="100">
        <v>-5.2225313672246573E-2</v>
      </c>
    </row>
    <row r="2476" spans="1:9">
      <c r="A2476" s="90">
        <v>2460</v>
      </c>
      <c r="B2476" s="110">
        <v>1.0918283914050553</v>
      </c>
      <c r="C2476" s="110">
        <v>1.0324924701342704</v>
      </c>
      <c r="G2476" s="90">
        <v>2460</v>
      </c>
      <c r="H2476" s="100">
        <v>-5.5877961266978936E-2</v>
      </c>
      <c r="I2476" s="100">
        <v>-5.2218658591478659E-2</v>
      </c>
    </row>
    <row r="2477" spans="1:9">
      <c r="A2477" s="90">
        <v>2461</v>
      </c>
      <c r="B2477" s="110">
        <v>1.109374256058439</v>
      </c>
      <c r="C2477" s="110">
        <v>1.0348742078711572</v>
      </c>
      <c r="G2477" s="90">
        <v>2461</v>
      </c>
      <c r="H2477" s="100">
        <v>-6.9516242043989637E-2</v>
      </c>
      <c r="I2477" s="100">
        <v>-5.2211655979303072E-2</v>
      </c>
    </row>
    <row r="2478" spans="1:9">
      <c r="A2478" s="90">
        <v>2462</v>
      </c>
      <c r="B2478" s="110">
        <v>1.1133919988145131</v>
      </c>
      <c r="C2478" s="110">
        <v>1.0400189679255787</v>
      </c>
      <c r="G2478" s="90">
        <v>2462</v>
      </c>
      <c r="H2478" s="100">
        <v>-6.8172259101269658E-2</v>
      </c>
      <c r="I2478" s="100">
        <v>-5.2200936893230222E-2</v>
      </c>
    </row>
    <row r="2479" spans="1:9">
      <c r="A2479" s="90">
        <v>2463</v>
      </c>
      <c r="B2479" s="110">
        <v>1.0955876467855084</v>
      </c>
      <c r="C2479" s="110">
        <v>1.0675617052199105</v>
      </c>
      <c r="G2479" s="90">
        <v>2463</v>
      </c>
      <c r="H2479" s="100">
        <v>-2.5913615112263092E-2</v>
      </c>
      <c r="I2479" s="100">
        <v>-5.2194648113151471E-2</v>
      </c>
    </row>
    <row r="2480" spans="1:9">
      <c r="A2480" s="90">
        <v>2464</v>
      </c>
      <c r="B2480" s="110">
        <v>1.0922274093148656</v>
      </c>
      <c r="C2480" s="110">
        <v>1.0533311740497207</v>
      </c>
      <c r="G2480" s="90">
        <v>2464</v>
      </c>
      <c r="H2480" s="100">
        <v>-3.6261416954157466E-2</v>
      </c>
      <c r="I2480" s="100">
        <v>-5.2178877871153835E-2</v>
      </c>
    </row>
    <row r="2481" spans="1:9">
      <c r="A2481" s="90">
        <v>2465</v>
      </c>
      <c r="B2481" s="110">
        <v>1.1188732042260501</v>
      </c>
      <c r="C2481" s="110">
        <v>1.0406458119765207</v>
      </c>
      <c r="G2481" s="90">
        <v>2465</v>
      </c>
      <c r="H2481" s="100">
        <v>-7.2480617742291878E-2</v>
      </c>
      <c r="I2481" s="100">
        <v>-5.216838884715852E-2</v>
      </c>
    </row>
    <row r="2482" spans="1:9">
      <c r="A2482" s="90">
        <v>2466</v>
      </c>
      <c r="B2482" s="110">
        <v>1.0943238614605253</v>
      </c>
      <c r="C2482" s="110">
        <v>1.0651821296323587</v>
      </c>
      <c r="G2482" s="90">
        <v>2466</v>
      </c>
      <c r="H2482" s="100">
        <v>-2.6990896152585816E-2</v>
      </c>
      <c r="I2482" s="100">
        <v>-5.2164394579461107E-2</v>
      </c>
    </row>
    <row r="2483" spans="1:9">
      <c r="A2483" s="90">
        <v>2467</v>
      </c>
      <c r="B2483" s="110">
        <v>1.0986377627388542</v>
      </c>
      <c r="C2483" s="110">
        <v>1.0583801340597865</v>
      </c>
      <c r="G2483" s="90">
        <v>2467</v>
      </c>
      <c r="H2483" s="100">
        <v>-3.7331450988654535E-2</v>
      </c>
      <c r="I2483" s="100">
        <v>-5.2164130529770043E-2</v>
      </c>
    </row>
    <row r="2484" spans="1:9">
      <c r="A2484" s="90">
        <v>2468</v>
      </c>
      <c r="B2484" s="110">
        <v>1.1362801809158518</v>
      </c>
      <c r="C2484" s="110">
        <v>1.044279961750217</v>
      </c>
      <c r="G2484" s="90">
        <v>2468</v>
      </c>
      <c r="H2484" s="100">
        <v>-8.4432311911649308E-2</v>
      </c>
      <c r="I2484" s="100">
        <v>-5.2151698369071152E-2</v>
      </c>
    </row>
    <row r="2485" spans="1:9">
      <c r="A2485" s="90">
        <v>2469</v>
      </c>
      <c r="B2485" s="110">
        <v>1.1137928450268291</v>
      </c>
      <c r="C2485" s="110">
        <v>1.0556164548932656</v>
      </c>
      <c r="G2485" s="90">
        <v>2469</v>
      </c>
      <c r="H2485" s="100">
        <v>-5.3646254507410056E-2</v>
      </c>
      <c r="I2485" s="100">
        <v>-5.214894313583178E-2</v>
      </c>
    </row>
    <row r="2486" spans="1:9">
      <c r="A2486" s="90">
        <v>2470</v>
      </c>
      <c r="B2486" s="110">
        <v>1.1005730380316272</v>
      </c>
      <c r="C2486" s="110">
        <v>1.0758797149511237</v>
      </c>
      <c r="G2486" s="90">
        <v>2470</v>
      </c>
      <c r="H2486" s="100">
        <v>-2.2692321413549377E-2</v>
      </c>
      <c r="I2486" s="100">
        <v>-5.214500578491859E-2</v>
      </c>
    </row>
    <row r="2487" spans="1:9">
      <c r="A2487" s="90">
        <v>2471</v>
      </c>
      <c r="B2487" s="110">
        <v>1.1086740418859389</v>
      </c>
      <c r="C2487" s="110">
        <v>1.0483292268285529</v>
      </c>
      <c r="G2487" s="90">
        <v>2471</v>
      </c>
      <c r="H2487" s="100">
        <v>-5.5967060111025313E-2</v>
      </c>
      <c r="I2487" s="100">
        <v>-5.2115492476743415E-2</v>
      </c>
    </row>
    <row r="2488" spans="1:9">
      <c r="A2488" s="90">
        <v>2472</v>
      </c>
      <c r="B2488" s="110">
        <v>1.1046168267391299</v>
      </c>
      <c r="C2488" s="110">
        <v>1.054656006568345</v>
      </c>
      <c r="G2488" s="90">
        <v>2472</v>
      </c>
      <c r="H2488" s="100">
        <v>-4.6283858067391714E-2</v>
      </c>
      <c r="I2488" s="100">
        <v>-5.2078053782751238E-2</v>
      </c>
    </row>
    <row r="2489" spans="1:9">
      <c r="A2489" s="90">
        <v>2473</v>
      </c>
      <c r="B2489" s="110">
        <v>1.0956272417556998</v>
      </c>
      <c r="C2489" s="110">
        <v>1.0516063386355394</v>
      </c>
      <c r="G2489" s="90">
        <v>2473</v>
      </c>
      <c r="H2489" s="100">
        <v>-4.1008181322639795E-2</v>
      </c>
      <c r="I2489" s="100">
        <v>-5.207438400832206E-2</v>
      </c>
    </row>
    <row r="2490" spans="1:9">
      <c r="A2490" s="90">
        <v>2474</v>
      </c>
      <c r="B2490" s="110">
        <v>1.1069085820868596</v>
      </c>
      <c r="C2490" s="110">
        <v>1.0835881072966893</v>
      </c>
      <c r="G2490" s="90">
        <v>2474</v>
      </c>
      <c r="H2490" s="100">
        <v>-2.1293212652246856E-2</v>
      </c>
      <c r="I2490" s="100">
        <v>-5.207391767367095E-2</v>
      </c>
    </row>
    <row r="2491" spans="1:9">
      <c r="A2491" s="90">
        <v>2475</v>
      </c>
      <c r="B2491" s="110">
        <v>1.1048271909283258</v>
      </c>
      <c r="C2491" s="110">
        <v>1.0625163199844447</v>
      </c>
      <c r="G2491" s="90">
        <v>2475</v>
      </c>
      <c r="H2491" s="100">
        <v>-3.9048952755802016E-2</v>
      </c>
      <c r="I2491" s="100">
        <v>-5.2056464317530998E-2</v>
      </c>
    </row>
    <row r="2492" spans="1:9">
      <c r="A2492" s="90">
        <v>2476</v>
      </c>
      <c r="B2492" s="110">
        <v>1.1020551430196273</v>
      </c>
      <c r="C2492" s="110">
        <v>1.0514301501297576</v>
      </c>
      <c r="G2492" s="90">
        <v>2476</v>
      </c>
      <c r="H2492" s="100">
        <v>-4.7025463350135376E-2</v>
      </c>
      <c r="I2492" s="100">
        <v>-5.2054842144762824E-2</v>
      </c>
    </row>
    <row r="2493" spans="1:9">
      <c r="A2493" s="90">
        <v>2477</v>
      </c>
      <c r="B2493" s="110">
        <v>1.1346680335139185</v>
      </c>
      <c r="C2493" s="110">
        <v>1.052775984118121</v>
      </c>
      <c r="G2493" s="90">
        <v>2477</v>
      </c>
      <c r="H2493" s="100">
        <v>-7.4909656776004099E-2</v>
      </c>
      <c r="I2493" s="100">
        <v>-5.2037899289446903E-2</v>
      </c>
    </row>
    <row r="2494" spans="1:9">
      <c r="A2494" s="90">
        <v>2478</v>
      </c>
      <c r="B2494" s="110">
        <v>1.1207495723610674</v>
      </c>
      <c r="C2494" s="110">
        <v>1.0293327718265715</v>
      </c>
      <c r="G2494" s="90">
        <v>2478</v>
      </c>
      <c r="H2494" s="100">
        <v>-8.5086924499378394E-2</v>
      </c>
      <c r="I2494" s="100">
        <v>-5.203777473256805E-2</v>
      </c>
    </row>
    <row r="2495" spans="1:9">
      <c r="A2495" s="90">
        <v>2479</v>
      </c>
      <c r="B2495" s="110">
        <v>1.1043628974708222</v>
      </c>
      <c r="C2495" s="110">
        <v>1.0571509008988256</v>
      </c>
      <c r="G2495" s="90">
        <v>2479</v>
      </c>
      <c r="H2495" s="100">
        <v>-4.3691145234104917E-2</v>
      </c>
      <c r="I2495" s="100">
        <v>-5.202248935299008E-2</v>
      </c>
    </row>
    <row r="2496" spans="1:9">
      <c r="A2496" s="90">
        <v>2480</v>
      </c>
      <c r="B2496" s="110">
        <v>1.1039110619426982</v>
      </c>
      <c r="C2496" s="110">
        <v>1.04842703919435</v>
      </c>
      <c r="G2496" s="90">
        <v>2480</v>
      </c>
      <c r="H2496" s="100">
        <v>-5.1568401726631817E-2</v>
      </c>
      <c r="I2496" s="100">
        <v>-5.201640796413378E-2</v>
      </c>
    </row>
    <row r="2497" spans="1:9">
      <c r="A2497" s="90">
        <v>2481</v>
      </c>
      <c r="B2497" s="110">
        <v>1.1155779896377891</v>
      </c>
      <c r="C2497" s="110">
        <v>1.0535594184748656</v>
      </c>
      <c r="G2497" s="90">
        <v>2481</v>
      </c>
      <c r="H2497" s="100">
        <v>-5.7198293266324113E-2</v>
      </c>
      <c r="I2497" s="100">
        <v>-5.2014509302484385E-2</v>
      </c>
    </row>
    <row r="2498" spans="1:9">
      <c r="A2498" s="90">
        <v>2482</v>
      </c>
      <c r="B2498" s="110">
        <v>1.1141204363627106</v>
      </c>
      <c r="C2498" s="110">
        <v>1.0391968573561785</v>
      </c>
      <c r="G2498" s="90">
        <v>2482</v>
      </c>
      <c r="H2498" s="100">
        <v>-6.9617085027091213E-2</v>
      </c>
      <c r="I2498" s="100">
        <v>-5.2010168896047086E-2</v>
      </c>
    </row>
    <row r="2499" spans="1:9">
      <c r="A2499" s="90">
        <v>2483</v>
      </c>
      <c r="B2499" s="110">
        <v>1.1111939970819467</v>
      </c>
      <c r="C2499" s="110">
        <v>1.0446258306594711</v>
      </c>
      <c r="G2499" s="90">
        <v>2483</v>
      </c>
      <c r="H2499" s="100">
        <v>-6.1776345735389676E-2</v>
      </c>
      <c r="I2499" s="100">
        <v>-5.2008323629019471E-2</v>
      </c>
    </row>
    <row r="2500" spans="1:9">
      <c r="A2500" s="90">
        <v>2484</v>
      </c>
      <c r="B2500" s="110">
        <v>1.1382442724290667</v>
      </c>
      <c r="C2500" s="110">
        <v>1.0604523538844992</v>
      </c>
      <c r="G2500" s="90">
        <v>2484</v>
      </c>
      <c r="H2500" s="100">
        <v>-7.0791397270460799E-2</v>
      </c>
      <c r="I2500" s="100">
        <v>-5.1998571811907549E-2</v>
      </c>
    </row>
    <row r="2501" spans="1:9">
      <c r="A2501" s="90">
        <v>2485</v>
      </c>
      <c r="B2501" s="110">
        <v>1.1079550227099011</v>
      </c>
      <c r="C2501" s="110">
        <v>1.0394502957194081</v>
      </c>
      <c r="G2501" s="90">
        <v>2485</v>
      </c>
      <c r="H2501" s="100">
        <v>-6.3823982672069055E-2</v>
      </c>
      <c r="I2501" s="100">
        <v>-5.1997405266799884E-2</v>
      </c>
    </row>
    <row r="2502" spans="1:9">
      <c r="A2502" s="90">
        <v>2486</v>
      </c>
      <c r="B2502" s="110">
        <v>1.1127849469803484</v>
      </c>
      <c r="C2502" s="110">
        <v>1.0419584858384743</v>
      </c>
      <c r="G2502" s="90">
        <v>2486</v>
      </c>
      <c r="H2502" s="100">
        <v>-6.5763732687680904E-2</v>
      </c>
      <c r="I2502" s="100">
        <v>-5.1993081012696916E-2</v>
      </c>
    </row>
    <row r="2503" spans="1:9">
      <c r="A2503" s="90">
        <v>2487</v>
      </c>
      <c r="B2503" s="110">
        <v>1.1154666936772659</v>
      </c>
      <c r="C2503" s="110">
        <v>1.0653798336050464</v>
      </c>
      <c r="G2503" s="90">
        <v>2487</v>
      </c>
      <c r="H2503" s="100">
        <v>-4.5941489843574192E-2</v>
      </c>
      <c r="I2503" s="100">
        <v>-5.1981289998364232E-2</v>
      </c>
    </row>
    <row r="2504" spans="1:9">
      <c r="A2504" s="90">
        <v>2488</v>
      </c>
      <c r="B2504" s="110">
        <v>1.1110372646423357</v>
      </c>
      <c r="C2504" s="110">
        <v>1.0554939323821955</v>
      </c>
      <c r="G2504" s="90">
        <v>2488</v>
      </c>
      <c r="H2504" s="100">
        <v>-5.1285211909583989E-2</v>
      </c>
      <c r="I2504" s="100">
        <v>-5.1971273259429469E-2</v>
      </c>
    </row>
    <row r="2505" spans="1:9">
      <c r="A2505" s="90">
        <v>2489</v>
      </c>
      <c r="B2505" s="110">
        <v>1.0930299396708307</v>
      </c>
      <c r="C2505" s="110">
        <v>1.0694810222877158</v>
      </c>
      <c r="G2505" s="90">
        <v>2489</v>
      </c>
      <c r="H2505" s="100">
        <v>-2.1780096104419285E-2</v>
      </c>
      <c r="I2505" s="100">
        <v>-5.1963570907464278E-2</v>
      </c>
    </row>
    <row r="2506" spans="1:9">
      <c r="A2506" s="90">
        <v>2490</v>
      </c>
      <c r="B2506" s="110">
        <v>1.096438319215935</v>
      </c>
      <c r="C2506" s="110">
        <v>1.0324794098932946</v>
      </c>
      <c r="G2506" s="90">
        <v>2490</v>
      </c>
      <c r="H2506" s="100">
        <v>-6.0103931206290949E-2</v>
      </c>
      <c r="I2506" s="100">
        <v>-5.1946792882640452E-2</v>
      </c>
    </row>
    <row r="2507" spans="1:9">
      <c r="A2507" s="90">
        <v>2491</v>
      </c>
      <c r="B2507" s="110">
        <v>1.1298411123299199</v>
      </c>
      <c r="C2507" s="110">
        <v>1.0626237031983596</v>
      </c>
      <c r="G2507" s="90">
        <v>2491</v>
      </c>
      <c r="H2507" s="100">
        <v>-6.1335972701322301E-2</v>
      </c>
      <c r="I2507" s="100">
        <v>-5.1927996385792756E-2</v>
      </c>
    </row>
    <row r="2508" spans="1:9">
      <c r="A2508" s="90">
        <v>2492</v>
      </c>
      <c r="B2508" s="110">
        <v>1.1028294814700386</v>
      </c>
      <c r="C2508" s="110">
        <v>1.0653061272069011</v>
      </c>
      <c r="G2508" s="90">
        <v>2492</v>
      </c>
      <c r="H2508" s="100">
        <v>-3.4616931853991222E-2</v>
      </c>
      <c r="I2508" s="100">
        <v>-5.1898166713249115E-2</v>
      </c>
    </row>
    <row r="2509" spans="1:9">
      <c r="A2509" s="90">
        <v>2493</v>
      </c>
      <c r="B2509" s="110">
        <v>1.0641688131412463</v>
      </c>
      <c r="C2509" s="110">
        <v>1.0537488500378847</v>
      </c>
      <c r="G2509" s="90">
        <v>2493</v>
      </c>
      <c r="H2509" s="100">
        <v>-9.8398982729524312E-3</v>
      </c>
      <c r="I2509" s="100">
        <v>-5.1890533845265027E-2</v>
      </c>
    </row>
    <row r="2510" spans="1:9">
      <c r="A2510" s="90">
        <v>2494</v>
      </c>
      <c r="B2510" s="110">
        <v>1.1423194842790949</v>
      </c>
      <c r="C2510" s="110">
        <v>1.0486189293939574</v>
      </c>
      <c r="G2510" s="90">
        <v>2494</v>
      </c>
      <c r="H2510" s="100">
        <v>-8.5586837614796712E-2</v>
      </c>
      <c r="I2510" s="100">
        <v>-5.1888350458421065E-2</v>
      </c>
    </row>
    <row r="2511" spans="1:9">
      <c r="A2511" s="90">
        <v>2495</v>
      </c>
      <c r="B2511" s="110">
        <v>1.110868553319377</v>
      </c>
      <c r="C2511" s="110">
        <v>1.0757618707487762</v>
      </c>
      <c r="G2511" s="90">
        <v>2495</v>
      </c>
      <c r="H2511" s="100">
        <v>-3.2113062279961732E-2</v>
      </c>
      <c r="I2511" s="100">
        <v>-5.1866868767621213E-2</v>
      </c>
    </row>
    <row r="2512" spans="1:9">
      <c r="A2512" s="90">
        <v>2496</v>
      </c>
      <c r="B2512" s="110">
        <v>1.1249539529927701</v>
      </c>
      <c r="C2512" s="110">
        <v>1.0565850943352184</v>
      </c>
      <c r="G2512" s="90">
        <v>2496</v>
      </c>
      <c r="H2512" s="100">
        <v>-6.2700005694444699E-2</v>
      </c>
      <c r="I2512" s="100">
        <v>-5.1860497046034383E-2</v>
      </c>
    </row>
    <row r="2513" spans="1:9">
      <c r="A2513" s="90">
        <v>2497</v>
      </c>
      <c r="B2513" s="110">
        <v>1.1249093746755037</v>
      </c>
      <c r="C2513" s="110">
        <v>1.0638687187556575</v>
      </c>
      <c r="G2513" s="90">
        <v>2497</v>
      </c>
      <c r="H2513" s="100">
        <v>-5.5790477888788714E-2</v>
      </c>
      <c r="I2513" s="100">
        <v>-5.1850693905028722E-2</v>
      </c>
    </row>
    <row r="2514" spans="1:9">
      <c r="A2514" s="90">
        <v>2498</v>
      </c>
      <c r="B2514" s="110">
        <v>1.1100383149338422</v>
      </c>
      <c r="C2514" s="110">
        <v>1.0571657332773354</v>
      </c>
      <c r="G2514" s="90">
        <v>2498</v>
      </c>
      <c r="H2514" s="100">
        <v>-4.8803042179581251E-2</v>
      </c>
      <c r="I2514" s="100">
        <v>-5.1842206785707369E-2</v>
      </c>
    </row>
    <row r="2515" spans="1:9">
      <c r="A2515" s="90">
        <v>2499</v>
      </c>
      <c r="B2515" s="110">
        <v>1.1254051792021758</v>
      </c>
      <c r="C2515" s="110">
        <v>1.0546556464153904</v>
      </c>
      <c r="G2515" s="90">
        <v>2499</v>
      </c>
      <c r="H2515" s="100">
        <v>-6.492881795995159E-2</v>
      </c>
      <c r="I2515" s="100">
        <v>-5.184007619312081E-2</v>
      </c>
    </row>
    <row r="2516" spans="1:9">
      <c r="A2516" s="90">
        <v>2500</v>
      </c>
      <c r="B2516" s="110">
        <v>1.1047206754391923</v>
      </c>
      <c r="C2516" s="110">
        <v>1.0562469703382575</v>
      </c>
      <c r="G2516" s="90">
        <v>2500</v>
      </c>
      <c r="H2516" s="100">
        <v>-4.4870489240563721E-2</v>
      </c>
      <c r="I2516" s="100">
        <v>-5.181998667856115E-2</v>
      </c>
    </row>
    <row r="2517" spans="1:9">
      <c r="A2517" s="90">
        <v>2501</v>
      </c>
      <c r="B2517" s="110">
        <v>1.1119592327361016</v>
      </c>
      <c r="C2517" s="110">
        <v>1.0585965484043656</v>
      </c>
      <c r="G2517" s="90">
        <v>2501</v>
      </c>
      <c r="H2517" s="100">
        <v>-4.9179514040031104E-2</v>
      </c>
      <c r="I2517" s="100">
        <v>-5.1813522252484867E-2</v>
      </c>
    </row>
    <row r="2518" spans="1:9">
      <c r="A2518" s="90">
        <v>2502</v>
      </c>
      <c r="B2518" s="110">
        <v>1.0845931120279757</v>
      </c>
      <c r="C2518" s="110">
        <v>1.0588316369823083</v>
      </c>
      <c r="G2518" s="90">
        <v>2502</v>
      </c>
      <c r="H2518" s="100">
        <v>-2.4038833741481188E-2</v>
      </c>
      <c r="I2518" s="100">
        <v>-5.1803628858598051E-2</v>
      </c>
    </row>
    <row r="2519" spans="1:9">
      <c r="A2519" s="90">
        <v>2503</v>
      </c>
      <c r="B2519" s="110">
        <v>1.0859364943731737</v>
      </c>
      <c r="C2519" s="110">
        <v>1.0607241505932667</v>
      </c>
      <c r="G2519" s="90">
        <v>2503</v>
      </c>
      <c r="H2519" s="100">
        <v>-2.3490907352987075E-2</v>
      </c>
      <c r="I2519" s="100">
        <v>-5.1793003586321197E-2</v>
      </c>
    </row>
    <row r="2520" spans="1:9">
      <c r="A2520" s="90">
        <v>2504</v>
      </c>
      <c r="B2520" s="110">
        <v>1.1038695658712498</v>
      </c>
      <c r="C2520" s="110">
        <v>1.0680971585721273</v>
      </c>
      <c r="G2520" s="90">
        <v>2504</v>
      </c>
      <c r="H2520" s="100">
        <v>-3.2943085173188918E-2</v>
      </c>
      <c r="I2520" s="100">
        <v>-5.1785782311539512E-2</v>
      </c>
    </row>
    <row r="2521" spans="1:9">
      <c r="A2521" s="90">
        <v>2505</v>
      </c>
      <c r="B2521" s="110">
        <v>1.1523856511484427</v>
      </c>
      <c r="C2521" s="110">
        <v>1.0477094853837114</v>
      </c>
      <c r="G2521" s="90">
        <v>2505</v>
      </c>
      <c r="H2521" s="100">
        <v>-9.5227934007653822E-2</v>
      </c>
      <c r="I2521" s="100">
        <v>-5.1784388733957611E-2</v>
      </c>
    </row>
    <row r="2522" spans="1:9">
      <c r="A2522" s="90">
        <v>2506</v>
      </c>
      <c r="B2522" s="110">
        <v>1.1272460404716433</v>
      </c>
      <c r="C2522" s="110">
        <v>1.0753073417399874</v>
      </c>
      <c r="G2522" s="90">
        <v>2506</v>
      </c>
      <c r="H2522" s="100">
        <v>-4.7171005746014551E-2</v>
      </c>
      <c r="I2522" s="100">
        <v>-5.1784298825194759E-2</v>
      </c>
    </row>
    <row r="2523" spans="1:9">
      <c r="A2523" s="90">
        <v>2507</v>
      </c>
      <c r="B2523" s="110">
        <v>1.1282714833358254</v>
      </c>
      <c r="C2523" s="110">
        <v>1.0537538741349874</v>
      </c>
      <c r="G2523" s="90">
        <v>2507</v>
      </c>
      <c r="H2523" s="100">
        <v>-6.8327893984926488E-2</v>
      </c>
      <c r="I2523" s="100">
        <v>-5.1779060485680505E-2</v>
      </c>
    </row>
    <row r="2524" spans="1:9">
      <c r="A2524" s="90">
        <v>2508</v>
      </c>
      <c r="B2524" s="110">
        <v>1.0950306609865117</v>
      </c>
      <c r="C2524" s="110">
        <v>1.0587475134590307</v>
      </c>
      <c r="G2524" s="90">
        <v>2508</v>
      </c>
      <c r="H2524" s="100">
        <v>-3.3695745358899923E-2</v>
      </c>
      <c r="I2524" s="100">
        <v>-5.1772177930744942E-2</v>
      </c>
    </row>
    <row r="2525" spans="1:9">
      <c r="A2525" s="90">
        <v>2509</v>
      </c>
      <c r="B2525" s="110">
        <v>1.1164451481814526</v>
      </c>
      <c r="C2525" s="110">
        <v>1.0348752041768843</v>
      </c>
      <c r="G2525" s="90">
        <v>2509</v>
      </c>
      <c r="H2525" s="100">
        <v>-7.5868818954117748E-2</v>
      </c>
      <c r="I2525" s="100">
        <v>-5.1769568637693476E-2</v>
      </c>
    </row>
    <row r="2526" spans="1:9">
      <c r="A2526" s="90">
        <v>2510</v>
      </c>
      <c r="B2526" s="110">
        <v>1.12917116195719</v>
      </c>
      <c r="C2526" s="110">
        <v>1.0660760819663075</v>
      </c>
      <c r="G2526" s="90">
        <v>2510</v>
      </c>
      <c r="H2526" s="100">
        <v>-5.7499183951481361E-2</v>
      </c>
      <c r="I2526" s="100">
        <v>-5.1760618724506054E-2</v>
      </c>
    </row>
    <row r="2527" spans="1:9">
      <c r="A2527" s="90">
        <v>2511</v>
      </c>
      <c r="B2527" s="110">
        <v>1.0937452677378721</v>
      </c>
      <c r="C2527" s="110">
        <v>1.0653002145550399</v>
      </c>
      <c r="G2527" s="90">
        <v>2511</v>
      </c>
      <c r="H2527" s="100">
        <v>-2.6351181002274807E-2</v>
      </c>
      <c r="I2527" s="100">
        <v>-5.1732423545395513E-2</v>
      </c>
    </row>
    <row r="2528" spans="1:9">
      <c r="A2528" s="90">
        <v>2512</v>
      </c>
      <c r="B2528" s="110">
        <v>1.1210732132146315</v>
      </c>
      <c r="C2528" s="110">
        <v>1.0464693850231006</v>
      </c>
      <c r="G2528" s="90">
        <v>2512</v>
      </c>
      <c r="H2528" s="100">
        <v>-6.8864444746269474E-2</v>
      </c>
      <c r="I2528" s="100">
        <v>-5.1724388363597523E-2</v>
      </c>
    </row>
    <row r="2529" spans="1:9">
      <c r="A2529" s="90">
        <v>2513</v>
      </c>
      <c r="B2529" s="110">
        <v>1.1262081494779306</v>
      </c>
      <c r="C2529" s="110">
        <v>1.05084655517626</v>
      </c>
      <c r="G2529" s="90">
        <v>2513</v>
      </c>
      <c r="H2529" s="100">
        <v>-6.9260287718781302E-2</v>
      </c>
      <c r="I2529" s="100">
        <v>-5.169184597459886E-2</v>
      </c>
    </row>
    <row r="2530" spans="1:9">
      <c r="A2530" s="90">
        <v>2514</v>
      </c>
      <c r="B2530" s="110">
        <v>1.1047875310781436</v>
      </c>
      <c r="C2530" s="110">
        <v>1.0323817802784405</v>
      </c>
      <c r="G2530" s="90">
        <v>2514</v>
      </c>
      <c r="H2530" s="100">
        <v>-6.7784496136414726E-2</v>
      </c>
      <c r="I2530" s="100">
        <v>-5.1690606539321303E-2</v>
      </c>
    </row>
    <row r="2531" spans="1:9">
      <c r="A2531" s="90">
        <v>2515</v>
      </c>
      <c r="B2531" s="110">
        <v>1.0972490807344797</v>
      </c>
      <c r="C2531" s="110">
        <v>1.0581176802049186</v>
      </c>
      <c r="G2531" s="90">
        <v>2515</v>
      </c>
      <c r="H2531" s="100">
        <v>-3.6314655617678465E-2</v>
      </c>
      <c r="I2531" s="100">
        <v>-5.1686971602818939E-2</v>
      </c>
    </row>
    <row r="2532" spans="1:9">
      <c r="A2532" s="90">
        <v>2516</v>
      </c>
      <c r="B2532" s="110">
        <v>1.1456730951613858</v>
      </c>
      <c r="C2532" s="110">
        <v>1.0544265770733143</v>
      </c>
      <c r="G2532" s="90">
        <v>2516</v>
      </c>
      <c r="H2532" s="100">
        <v>-8.299523000045067E-2</v>
      </c>
      <c r="I2532" s="100">
        <v>-5.1673734113082716E-2</v>
      </c>
    </row>
    <row r="2533" spans="1:9">
      <c r="A2533" s="90">
        <v>2517</v>
      </c>
      <c r="B2533" s="110">
        <v>1.1389645475541894</v>
      </c>
      <c r="C2533" s="110">
        <v>1.0684736189569914</v>
      </c>
      <c r="G2533" s="90">
        <v>2517</v>
      </c>
      <c r="H2533" s="100">
        <v>-6.3888452360463518E-2</v>
      </c>
      <c r="I2533" s="100">
        <v>-5.1647695085325226E-2</v>
      </c>
    </row>
    <row r="2534" spans="1:9">
      <c r="A2534" s="90">
        <v>2518</v>
      </c>
      <c r="B2534" s="110">
        <v>1.0955724757879108</v>
      </c>
      <c r="C2534" s="110">
        <v>1.0430883390470704</v>
      </c>
      <c r="G2534" s="90">
        <v>2518</v>
      </c>
      <c r="H2534" s="100">
        <v>-4.9091166085241465E-2</v>
      </c>
      <c r="I2534" s="100">
        <v>-5.1644351055836639E-2</v>
      </c>
    </row>
    <row r="2535" spans="1:9">
      <c r="A2535" s="90">
        <v>2519</v>
      </c>
      <c r="B2535" s="110">
        <v>1.0677161818812597</v>
      </c>
      <c r="C2535" s="110">
        <v>1.0556921001187514</v>
      </c>
      <c r="G2535" s="90">
        <v>2519</v>
      </c>
      <c r="H2535" s="100">
        <v>-1.1325387007252056E-2</v>
      </c>
      <c r="I2535" s="100">
        <v>-5.1641212178333916E-2</v>
      </c>
    </row>
    <row r="2536" spans="1:9">
      <c r="A2536" s="90">
        <v>2520</v>
      </c>
      <c r="B2536" s="110">
        <v>1.1292122465179042</v>
      </c>
      <c r="C2536" s="110">
        <v>1.0677290606619378</v>
      </c>
      <c r="G2536" s="90">
        <v>2520</v>
      </c>
      <c r="H2536" s="100">
        <v>-5.598624280810021E-2</v>
      </c>
      <c r="I2536" s="100">
        <v>-5.1636878022007421E-2</v>
      </c>
    </row>
    <row r="2537" spans="1:9">
      <c r="A2537" s="90">
        <v>2521</v>
      </c>
      <c r="B2537" s="110">
        <v>1.0964948521799527</v>
      </c>
      <c r="C2537" s="110">
        <v>1.052957997427187</v>
      </c>
      <c r="G2537" s="90">
        <v>2521</v>
      </c>
      <c r="H2537" s="100">
        <v>-4.0515250217391857E-2</v>
      </c>
      <c r="I2537" s="100">
        <v>-5.1600194641144542E-2</v>
      </c>
    </row>
    <row r="2538" spans="1:9">
      <c r="A2538" s="90">
        <v>2522</v>
      </c>
      <c r="B2538" s="110">
        <v>1.073074079661678</v>
      </c>
      <c r="C2538" s="110">
        <v>1.0664689515723975</v>
      </c>
      <c r="G2538" s="90">
        <v>2522</v>
      </c>
      <c r="H2538" s="100">
        <v>-6.1743549688844171E-3</v>
      </c>
      <c r="I2538" s="100">
        <v>-5.1587097011020142E-2</v>
      </c>
    </row>
    <row r="2539" spans="1:9">
      <c r="A2539" s="90">
        <v>2523</v>
      </c>
      <c r="B2539" s="110">
        <v>1.1225803751501648</v>
      </c>
      <c r="C2539" s="110">
        <v>1.0590821546998093</v>
      </c>
      <c r="G2539" s="90">
        <v>2523</v>
      </c>
      <c r="H2539" s="100">
        <v>-5.8227300537603589E-2</v>
      </c>
      <c r="I2539" s="100">
        <v>-5.1585536172677221E-2</v>
      </c>
    </row>
    <row r="2540" spans="1:9">
      <c r="A2540" s="90">
        <v>2524</v>
      </c>
      <c r="B2540" s="110">
        <v>1.1122854211930335</v>
      </c>
      <c r="C2540" s="110">
        <v>1.0627626065742279</v>
      </c>
      <c r="G2540" s="90">
        <v>2524</v>
      </c>
      <c r="H2540" s="100">
        <v>-4.5545086221731146E-2</v>
      </c>
      <c r="I2540" s="100">
        <v>-5.1584394118243657E-2</v>
      </c>
    </row>
    <row r="2541" spans="1:9">
      <c r="A2541" s="90">
        <v>2525</v>
      </c>
      <c r="B2541" s="110">
        <v>1.1434197907344614</v>
      </c>
      <c r="C2541" s="110">
        <v>1.0605986597127144</v>
      </c>
      <c r="G2541" s="90">
        <v>2525</v>
      </c>
      <c r="H2541" s="100">
        <v>-7.5190066355543345E-2</v>
      </c>
      <c r="I2541" s="100">
        <v>-5.1568401726631817E-2</v>
      </c>
    </row>
    <row r="2542" spans="1:9">
      <c r="A2542" s="90">
        <v>2526</v>
      </c>
      <c r="B2542" s="110">
        <v>1.1057838110776981</v>
      </c>
      <c r="C2542" s="110">
        <v>1.0485150927054072</v>
      </c>
      <c r="G2542" s="90">
        <v>2526</v>
      </c>
      <c r="H2542" s="100">
        <v>-5.3179448980157085E-2</v>
      </c>
      <c r="I2542" s="100">
        <v>-5.1564009996707974E-2</v>
      </c>
    </row>
    <row r="2543" spans="1:9">
      <c r="A2543" s="90">
        <v>2527</v>
      </c>
      <c r="B2543" s="110">
        <v>1.1195836226330673</v>
      </c>
      <c r="C2543" s="110">
        <v>1.0548178254355629</v>
      </c>
      <c r="G2543" s="90">
        <v>2527</v>
      </c>
      <c r="H2543" s="100">
        <v>-5.9588775973561985E-2</v>
      </c>
      <c r="I2543" s="100">
        <v>-5.1560531633279907E-2</v>
      </c>
    </row>
    <row r="2544" spans="1:9">
      <c r="A2544" s="90">
        <v>2528</v>
      </c>
      <c r="B2544" s="110">
        <v>1.1153226905802651</v>
      </c>
      <c r="C2544" s="110">
        <v>1.0520524276918364</v>
      </c>
      <c r="G2544" s="90">
        <v>2528</v>
      </c>
      <c r="H2544" s="100">
        <v>-5.8400822350954305E-2</v>
      </c>
      <c r="I2544" s="100">
        <v>-5.154953351657425E-2</v>
      </c>
    </row>
    <row r="2545" spans="1:9">
      <c r="A2545" s="90">
        <v>2529</v>
      </c>
      <c r="B2545" s="110">
        <v>1.0951946879243579</v>
      </c>
      <c r="C2545" s="110">
        <v>1.0444993711768955</v>
      </c>
      <c r="G2545" s="90">
        <v>2529</v>
      </c>
      <c r="H2545" s="100">
        <v>-4.7394444673960597E-2</v>
      </c>
      <c r="I2545" s="100">
        <v>-5.1540960179011421E-2</v>
      </c>
    </row>
    <row r="2546" spans="1:9">
      <c r="A2546" s="90">
        <v>2530</v>
      </c>
      <c r="B2546" s="110">
        <v>1.0963595193008309</v>
      </c>
      <c r="C2546" s="110">
        <v>1.0390343906421722</v>
      </c>
      <c r="G2546" s="90">
        <v>2530</v>
      </c>
      <c r="H2546" s="100">
        <v>-5.3703351974215205E-2</v>
      </c>
      <c r="I2546" s="100">
        <v>-5.1489381446971856E-2</v>
      </c>
    </row>
    <row r="2547" spans="1:9">
      <c r="A2547" s="90">
        <v>2531</v>
      </c>
      <c r="B2547" s="110">
        <v>1.1105959893898756</v>
      </c>
      <c r="C2547" s="110">
        <v>1.0379101336073302</v>
      </c>
      <c r="G2547" s="90">
        <v>2531</v>
      </c>
      <c r="H2547" s="100">
        <v>-6.7687594099038434E-2</v>
      </c>
      <c r="I2547" s="100">
        <v>-5.14853897099493E-2</v>
      </c>
    </row>
    <row r="2548" spans="1:9">
      <c r="A2548" s="90">
        <v>2532</v>
      </c>
      <c r="B2548" s="110">
        <v>1.0700590671537145</v>
      </c>
      <c r="C2548" s="110">
        <v>1.0545078715433194</v>
      </c>
      <c r="G2548" s="90">
        <v>2532</v>
      </c>
      <c r="H2548" s="100">
        <v>-1.4639664272471532E-2</v>
      </c>
      <c r="I2548" s="100">
        <v>-5.1483284522769991E-2</v>
      </c>
    </row>
    <row r="2549" spans="1:9">
      <c r="A2549" s="90">
        <v>2533</v>
      </c>
      <c r="B2549" s="110">
        <v>1.0908072811366833</v>
      </c>
      <c r="C2549" s="110">
        <v>1.0450998702954324</v>
      </c>
      <c r="G2549" s="90">
        <v>2533</v>
      </c>
      <c r="H2549" s="100">
        <v>-4.2805596498829694E-2</v>
      </c>
      <c r="I2549" s="100">
        <v>-5.1473535785672264E-2</v>
      </c>
    </row>
    <row r="2550" spans="1:9">
      <c r="A2550" s="90">
        <v>2534</v>
      </c>
      <c r="B2550" s="110">
        <v>1.0766354199199886</v>
      </c>
      <c r="C2550" s="110">
        <v>1.05258636112935</v>
      </c>
      <c r="G2550" s="90">
        <v>2534</v>
      </c>
      <c r="H2550" s="100">
        <v>-2.2590489861417949E-2</v>
      </c>
      <c r="I2550" s="100">
        <v>-5.1464629481991035E-2</v>
      </c>
    </row>
    <row r="2551" spans="1:9">
      <c r="A2551" s="90">
        <v>2535</v>
      </c>
      <c r="B2551" s="110">
        <v>1.0917185961608931</v>
      </c>
      <c r="C2551" s="110">
        <v>1.0573954333789317</v>
      </c>
      <c r="G2551" s="90">
        <v>2535</v>
      </c>
      <c r="H2551" s="100">
        <v>-3.1944402206379438E-2</v>
      </c>
      <c r="I2551" s="100">
        <v>-5.1456290995357042E-2</v>
      </c>
    </row>
    <row r="2552" spans="1:9">
      <c r="A2552" s="90">
        <v>2536</v>
      </c>
      <c r="B2552" s="110">
        <v>1.1004567339956408</v>
      </c>
      <c r="C2552" s="110">
        <v>1.0550277050764116</v>
      </c>
      <c r="G2552" s="90">
        <v>2536</v>
      </c>
      <c r="H2552" s="100">
        <v>-4.2158279031527676E-2</v>
      </c>
      <c r="I2552" s="100">
        <v>-5.1449487260850496E-2</v>
      </c>
    </row>
    <row r="2553" spans="1:9">
      <c r="A2553" s="90">
        <v>2537</v>
      </c>
      <c r="B2553" s="110">
        <v>1.1291434132993978</v>
      </c>
      <c r="C2553" s="110">
        <v>1.0469328122413499</v>
      </c>
      <c r="G2553" s="90">
        <v>2537</v>
      </c>
      <c r="H2553" s="100">
        <v>-7.5594545797621884E-2</v>
      </c>
      <c r="I2553" s="100">
        <v>-5.144312124991824E-2</v>
      </c>
    </row>
    <row r="2554" spans="1:9">
      <c r="A2554" s="90">
        <v>2538</v>
      </c>
      <c r="B2554" s="110">
        <v>1.106345391429171</v>
      </c>
      <c r="C2554" s="110">
        <v>1.0425150985208012</v>
      </c>
      <c r="G2554" s="90">
        <v>2538</v>
      </c>
      <c r="H2554" s="100">
        <v>-5.9425985583426523E-2</v>
      </c>
      <c r="I2554" s="100">
        <v>-5.1438821701491319E-2</v>
      </c>
    </row>
    <row r="2555" spans="1:9">
      <c r="A2555" s="90">
        <v>2539</v>
      </c>
      <c r="B2555" s="110">
        <v>1.1107683597347286</v>
      </c>
      <c r="C2555" s="110">
        <v>1.0683138069940321</v>
      </c>
      <c r="G2555" s="90">
        <v>2539</v>
      </c>
      <c r="H2555" s="100">
        <v>-3.8970467677691412E-2</v>
      </c>
      <c r="I2555" s="100">
        <v>-5.1414663250204128E-2</v>
      </c>
    </row>
    <row r="2556" spans="1:9">
      <c r="A2556" s="90">
        <v>2540</v>
      </c>
      <c r="B2556" s="110">
        <v>1.106508730959227</v>
      </c>
      <c r="C2556" s="110">
        <v>1.0538880688593881</v>
      </c>
      <c r="G2556" s="90">
        <v>2540</v>
      </c>
      <c r="H2556" s="100">
        <v>-4.8723523135344303E-2</v>
      </c>
      <c r="I2556" s="100">
        <v>-5.1410782843417185E-2</v>
      </c>
    </row>
    <row r="2557" spans="1:9">
      <c r="A2557" s="90">
        <v>2541</v>
      </c>
      <c r="B2557" s="110">
        <v>1.1148010765146128</v>
      </c>
      <c r="C2557" s="110">
        <v>1.0545163503427843</v>
      </c>
      <c r="G2557" s="90">
        <v>2541</v>
      </c>
      <c r="H2557" s="100">
        <v>-5.559375616214228E-2</v>
      </c>
      <c r="I2557" s="100">
        <v>-5.1363706772014149E-2</v>
      </c>
    </row>
    <row r="2558" spans="1:9">
      <c r="A2558" s="90">
        <v>2542</v>
      </c>
      <c r="B2558" s="110">
        <v>1.1089115516106596</v>
      </c>
      <c r="C2558" s="110">
        <v>1.0517153541801105</v>
      </c>
      <c r="G2558" s="90">
        <v>2542</v>
      </c>
      <c r="H2558" s="100">
        <v>-5.2956448273713895E-2</v>
      </c>
      <c r="I2558" s="100">
        <v>-5.1357488693043199E-2</v>
      </c>
    </row>
    <row r="2559" spans="1:9">
      <c r="A2559" s="90">
        <v>2543</v>
      </c>
      <c r="B2559" s="110">
        <v>1.1170546435457349</v>
      </c>
      <c r="C2559" s="110">
        <v>1.055181761409639</v>
      </c>
      <c r="G2559" s="90">
        <v>2543</v>
      </c>
      <c r="H2559" s="100">
        <v>-5.6982401021238339E-2</v>
      </c>
      <c r="I2559" s="100">
        <v>-5.1351552535795084E-2</v>
      </c>
    </row>
    <row r="2560" spans="1:9">
      <c r="A2560" s="90">
        <v>2544</v>
      </c>
      <c r="B2560" s="110">
        <v>1.1046660388796739</v>
      </c>
      <c r="C2560" s="110">
        <v>1.0680509173945631</v>
      </c>
      <c r="G2560" s="90">
        <v>2544</v>
      </c>
      <c r="H2560" s="100">
        <v>-3.3707647167002135E-2</v>
      </c>
      <c r="I2560" s="100">
        <v>-5.1345725815420219E-2</v>
      </c>
    </row>
    <row r="2561" spans="1:9">
      <c r="A2561" s="90">
        <v>2545</v>
      </c>
      <c r="B2561" s="110">
        <v>1.101846763334869</v>
      </c>
      <c r="C2561" s="110">
        <v>1.0658967882952237</v>
      </c>
      <c r="G2561" s="90">
        <v>2545</v>
      </c>
      <c r="H2561" s="100">
        <v>-3.317114825728603E-2</v>
      </c>
      <c r="I2561" s="100">
        <v>-5.1344462855166431E-2</v>
      </c>
    </row>
    <row r="2562" spans="1:9">
      <c r="A2562" s="90">
        <v>2546</v>
      </c>
      <c r="B2562" s="110">
        <v>1.1173646624984541</v>
      </c>
      <c r="C2562" s="110">
        <v>1.038347987559727</v>
      </c>
      <c r="G2562" s="90">
        <v>2546</v>
      </c>
      <c r="H2562" s="100">
        <v>-7.3341956096204808E-2</v>
      </c>
      <c r="I2562" s="100">
        <v>-5.1339868723279843E-2</v>
      </c>
    </row>
    <row r="2563" spans="1:9">
      <c r="A2563" s="90">
        <v>2547</v>
      </c>
      <c r="B2563" s="110">
        <v>1.1028950139102198</v>
      </c>
      <c r="C2563" s="110">
        <v>1.0428466467800619</v>
      </c>
      <c r="G2563" s="90">
        <v>2547</v>
      </c>
      <c r="H2563" s="100">
        <v>-5.5984419112629469E-2</v>
      </c>
      <c r="I2563" s="100">
        <v>-5.1339692871747319E-2</v>
      </c>
    </row>
    <row r="2564" spans="1:9">
      <c r="A2564" s="90">
        <v>2548</v>
      </c>
      <c r="B2564" s="110">
        <v>1.1452426121087897</v>
      </c>
      <c r="C2564" s="110">
        <v>1.0643758558243621</v>
      </c>
      <c r="G2564" s="90">
        <v>2548</v>
      </c>
      <c r="H2564" s="100">
        <v>-7.3227926368355983E-2</v>
      </c>
      <c r="I2564" s="100">
        <v>-5.1336680880243762E-2</v>
      </c>
    </row>
    <row r="2565" spans="1:9">
      <c r="A2565" s="90">
        <v>2549</v>
      </c>
      <c r="B2565" s="110">
        <v>1.0903471473832718</v>
      </c>
      <c r="C2565" s="110">
        <v>1.0557393668028656</v>
      </c>
      <c r="G2565" s="90">
        <v>2549</v>
      </c>
      <c r="H2565" s="100">
        <v>-3.2254786292375277E-2</v>
      </c>
      <c r="I2565" s="100">
        <v>-5.1331056409602754E-2</v>
      </c>
    </row>
    <row r="2566" spans="1:9">
      <c r="A2566" s="90">
        <v>2550</v>
      </c>
      <c r="B2566" s="110">
        <v>1.1322900560453379</v>
      </c>
      <c r="C2566" s="110">
        <v>1.043581006586743</v>
      </c>
      <c r="G2566" s="90">
        <v>2550</v>
      </c>
      <c r="H2566" s="100">
        <v>-8.1584105997356451E-2</v>
      </c>
      <c r="I2566" s="100">
        <v>-5.1321050366869125E-2</v>
      </c>
    </row>
    <row r="2567" spans="1:9">
      <c r="A2567" s="90">
        <v>2551</v>
      </c>
      <c r="B2567" s="110">
        <v>1.0748040811459953</v>
      </c>
      <c r="C2567" s="110">
        <v>1.0582031829144622</v>
      </c>
      <c r="G2567" s="90">
        <v>2551</v>
      </c>
      <c r="H2567" s="100">
        <v>-1.5566035532765202E-2</v>
      </c>
      <c r="I2567" s="100">
        <v>-5.1316210514197401E-2</v>
      </c>
    </row>
    <row r="2568" spans="1:9">
      <c r="A2568" s="90">
        <v>2552</v>
      </c>
      <c r="B2568" s="110">
        <v>1.0917455632894615</v>
      </c>
      <c r="C2568" s="110">
        <v>1.0548379700900548</v>
      </c>
      <c r="G2568" s="90">
        <v>2552</v>
      </c>
      <c r="H2568" s="100">
        <v>-3.4390677243221091E-2</v>
      </c>
      <c r="I2568" s="100">
        <v>-5.1285211909583989E-2</v>
      </c>
    </row>
    <row r="2569" spans="1:9">
      <c r="A2569" s="90">
        <v>2553</v>
      </c>
      <c r="B2569" s="110">
        <v>1.1271913201932382</v>
      </c>
      <c r="C2569" s="110">
        <v>1.0621480719755996</v>
      </c>
      <c r="G2569" s="90">
        <v>2553</v>
      </c>
      <c r="H2569" s="100">
        <v>-5.9435640674355132E-2</v>
      </c>
      <c r="I2569" s="100">
        <v>-5.1276109898613483E-2</v>
      </c>
    </row>
    <row r="2570" spans="1:9">
      <c r="A2570" s="90">
        <v>2554</v>
      </c>
      <c r="B2570" s="110">
        <v>1.0939408926050913</v>
      </c>
      <c r="C2570" s="110">
        <v>1.0399541913609103</v>
      </c>
      <c r="G2570" s="90">
        <v>2554</v>
      </c>
      <c r="H2570" s="100">
        <v>-5.0610008427991307E-2</v>
      </c>
      <c r="I2570" s="100">
        <v>-5.1272682796550215E-2</v>
      </c>
    </row>
    <row r="2571" spans="1:9">
      <c r="A2571" s="90">
        <v>2555</v>
      </c>
      <c r="B2571" s="110">
        <v>1.1099091117641515</v>
      </c>
      <c r="C2571" s="110">
        <v>1.0661103443561919</v>
      </c>
      <c r="G2571" s="90">
        <v>2555</v>
      </c>
      <c r="H2571" s="100">
        <v>-4.0261297762368121E-2</v>
      </c>
      <c r="I2571" s="100">
        <v>-5.1241538736941532E-2</v>
      </c>
    </row>
    <row r="2572" spans="1:9">
      <c r="A2572" s="90">
        <v>2556</v>
      </c>
      <c r="B2572" s="110">
        <v>1.1123845768772662</v>
      </c>
      <c r="C2572" s="110">
        <v>1.0355466557838677</v>
      </c>
      <c r="G2572" s="90">
        <v>2556</v>
      </c>
      <c r="H2572" s="100">
        <v>-7.1576521429957532E-2</v>
      </c>
      <c r="I2572" s="100">
        <v>-5.1235466678806359E-2</v>
      </c>
    </row>
    <row r="2573" spans="1:9">
      <c r="A2573" s="90">
        <v>2557</v>
      </c>
      <c r="B2573" s="110">
        <v>1.103006231585838</v>
      </c>
      <c r="C2573" s="110">
        <v>1.0529203589028195</v>
      </c>
      <c r="G2573" s="90">
        <v>2557</v>
      </c>
      <c r="H2573" s="100">
        <v>-4.6471792204620464E-2</v>
      </c>
      <c r="I2573" s="100">
        <v>-5.1232529825514905E-2</v>
      </c>
    </row>
    <row r="2574" spans="1:9">
      <c r="A2574" s="90">
        <v>2558</v>
      </c>
      <c r="B2574" s="110">
        <v>1.1211055761707414</v>
      </c>
      <c r="C2574" s="110">
        <v>1.0679394560871025</v>
      </c>
      <c r="G2574" s="90">
        <v>2558</v>
      </c>
      <c r="H2574" s="100">
        <v>-4.858427012979958E-2</v>
      </c>
      <c r="I2574" s="100">
        <v>-5.1210545254739274E-2</v>
      </c>
    </row>
    <row r="2575" spans="1:9">
      <c r="A2575" s="90">
        <v>2559</v>
      </c>
      <c r="B2575" s="110">
        <v>1.1190153661887932</v>
      </c>
      <c r="C2575" s="110">
        <v>1.070501209612686</v>
      </c>
      <c r="G2575" s="90">
        <v>2559</v>
      </c>
      <c r="H2575" s="100">
        <v>-4.4322202309612008E-2</v>
      </c>
      <c r="I2575" s="100">
        <v>-5.1208580918365061E-2</v>
      </c>
    </row>
    <row r="2576" spans="1:9">
      <c r="A2576" s="90">
        <v>2560</v>
      </c>
      <c r="B2576" s="110">
        <v>1.1175790234877843</v>
      </c>
      <c r="C2576" s="110">
        <v>1.0708161915812966</v>
      </c>
      <c r="G2576" s="90">
        <v>2560</v>
      </c>
      <c r="H2576" s="100">
        <v>-4.274360597261094E-2</v>
      </c>
      <c r="I2576" s="100">
        <v>-5.1203266224570131E-2</v>
      </c>
    </row>
    <row r="2577" spans="1:9">
      <c r="A2577" s="90">
        <v>2561</v>
      </c>
      <c r="B2577" s="110">
        <v>1.1229216945656182</v>
      </c>
      <c r="C2577" s="110">
        <v>1.0579298970796833</v>
      </c>
      <c r="G2577" s="90">
        <v>2561</v>
      </c>
      <c r="H2577" s="100">
        <v>-5.9619873140524471E-2</v>
      </c>
      <c r="I2577" s="100">
        <v>-5.1189072029457751E-2</v>
      </c>
    </row>
    <row r="2578" spans="1:9">
      <c r="A2578" s="90">
        <v>2562</v>
      </c>
      <c r="B2578" s="110">
        <v>1.1105604040220143</v>
      </c>
      <c r="C2578" s="110">
        <v>1.0635978948466973</v>
      </c>
      <c r="G2578" s="90">
        <v>2562</v>
      </c>
      <c r="H2578" s="100">
        <v>-4.3207355296186377E-2</v>
      </c>
      <c r="I2578" s="100">
        <v>-5.1161216177548013E-2</v>
      </c>
    </row>
    <row r="2579" spans="1:9">
      <c r="A2579" s="90">
        <v>2563</v>
      </c>
      <c r="B2579" s="110">
        <v>1.121052872262271</v>
      </c>
      <c r="C2579" s="110">
        <v>1.0648338961936898</v>
      </c>
      <c r="G2579" s="90">
        <v>2563</v>
      </c>
      <c r="H2579" s="100">
        <v>-5.1449487260850496E-2</v>
      </c>
      <c r="I2579" s="100">
        <v>-5.115324416659122E-2</v>
      </c>
    </row>
    <row r="2580" spans="1:9">
      <c r="A2580" s="90">
        <v>2564</v>
      </c>
      <c r="B2580" s="110">
        <v>1.083567344222983</v>
      </c>
      <c r="C2580" s="110">
        <v>1.0485309876432176</v>
      </c>
      <c r="G2580" s="90">
        <v>2564</v>
      </c>
      <c r="H2580" s="100">
        <v>-3.2868569214056363E-2</v>
      </c>
      <c r="I2580" s="100">
        <v>-5.1146117401979316E-2</v>
      </c>
    </row>
    <row r="2581" spans="1:9">
      <c r="A2581" s="90">
        <v>2565</v>
      </c>
      <c r="B2581" s="110">
        <v>1.1155854461534689</v>
      </c>
      <c r="C2581" s="110">
        <v>1.054787336975179</v>
      </c>
      <c r="G2581" s="90">
        <v>2565</v>
      </c>
      <c r="H2581" s="100">
        <v>-5.6040160647133727E-2</v>
      </c>
      <c r="I2581" s="100">
        <v>-5.1143248196922703E-2</v>
      </c>
    </row>
    <row r="2582" spans="1:9">
      <c r="A2582" s="90">
        <v>2566</v>
      </c>
      <c r="B2582" s="110">
        <v>1.1018572666999022</v>
      </c>
      <c r="C2582" s="110">
        <v>1.0833994655759602</v>
      </c>
      <c r="G2582" s="90">
        <v>2566</v>
      </c>
      <c r="H2582" s="100">
        <v>-1.6893429333714655E-2</v>
      </c>
      <c r="I2582" s="100">
        <v>-5.1139943898788419E-2</v>
      </c>
    </row>
    <row r="2583" spans="1:9">
      <c r="A2583" s="90">
        <v>2567</v>
      </c>
      <c r="B2583" s="110">
        <v>1.1188982026080481</v>
      </c>
      <c r="C2583" s="110">
        <v>1.052939625711677</v>
      </c>
      <c r="G2583" s="90">
        <v>2567</v>
      </c>
      <c r="H2583" s="100">
        <v>-6.0758557436683104E-2</v>
      </c>
      <c r="I2583" s="100">
        <v>-5.1135660530228604E-2</v>
      </c>
    </row>
    <row r="2584" spans="1:9">
      <c r="A2584" s="90">
        <v>2568</v>
      </c>
      <c r="B2584" s="110">
        <v>1.0974475681771776</v>
      </c>
      <c r="C2584" s="110">
        <v>1.0621933889731299</v>
      </c>
      <c r="G2584" s="90">
        <v>2568</v>
      </c>
      <c r="H2584" s="100">
        <v>-3.2651085869008424E-2</v>
      </c>
      <c r="I2584" s="100">
        <v>-5.112656765714297E-2</v>
      </c>
    </row>
    <row r="2585" spans="1:9">
      <c r="A2585" s="90">
        <v>2569</v>
      </c>
      <c r="B2585" s="110">
        <v>1.1255172955783581</v>
      </c>
      <c r="C2585" s="110">
        <v>1.0593311331848485</v>
      </c>
      <c r="G2585" s="90">
        <v>2569</v>
      </c>
      <c r="H2585" s="100">
        <v>-6.0605045737980368E-2</v>
      </c>
      <c r="I2585" s="100">
        <v>-5.1124968642788392E-2</v>
      </c>
    </row>
    <row r="2586" spans="1:9">
      <c r="A2586" s="90">
        <v>2570</v>
      </c>
      <c r="B2586" s="110">
        <v>1.0910691394553447</v>
      </c>
      <c r="C2586" s="110">
        <v>1.0637571615585681</v>
      </c>
      <c r="G2586" s="90">
        <v>2570</v>
      </c>
      <c r="H2586" s="100">
        <v>-2.5350944143231927E-2</v>
      </c>
      <c r="I2586" s="100">
        <v>-5.1113272052689125E-2</v>
      </c>
    </row>
    <row r="2587" spans="1:9">
      <c r="A2587" s="90">
        <v>2571</v>
      </c>
      <c r="B2587" s="110">
        <v>1.1206874966016833</v>
      </c>
      <c r="C2587" s="110">
        <v>1.0681101514696951</v>
      </c>
      <c r="G2587" s="90">
        <v>2571</v>
      </c>
      <c r="H2587" s="100">
        <v>-4.8051459938219798E-2</v>
      </c>
      <c r="I2587" s="100">
        <v>-5.1087466407068467E-2</v>
      </c>
    </row>
    <row r="2588" spans="1:9">
      <c r="A2588" s="90">
        <v>2572</v>
      </c>
      <c r="B2588" s="110">
        <v>1.0988211012882119</v>
      </c>
      <c r="C2588" s="110">
        <v>1.062231577501743</v>
      </c>
      <c r="G2588" s="90">
        <v>2572</v>
      </c>
      <c r="H2588" s="100">
        <v>-3.3865922033801538E-2</v>
      </c>
      <c r="I2588" s="100">
        <v>-5.1080233643376501E-2</v>
      </c>
    </row>
    <row r="2589" spans="1:9">
      <c r="A2589" s="90">
        <v>2573</v>
      </c>
      <c r="B2589" s="110">
        <v>1.1183073842902809</v>
      </c>
      <c r="C2589" s="110">
        <v>1.0495650423521472</v>
      </c>
      <c r="G2589" s="90">
        <v>2573</v>
      </c>
      <c r="H2589" s="100">
        <v>-6.3440445201943224E-2</v>
      </c>
      <c r="I2589" s="100">
        <v>-5.1072343109677808E-2</v>
      </c>
    </row>
    <row r="2590" spans="1:9">
      <c r="A2590" s="90">
        <v>2574</v>
      </c>
      <c r="B2590" s="110">
        <v>1.1274068699743087</v>
      </c>
      <c r="C2590" s="110">
        <v>1.0660350061812416</v>
      </c>
      <c r="G2590" s="90">
        <v>2574</v>
      </c>
      <c r="H2590" s="100">
        <v>-5.5974026267180794E-2</v>
      </c>
      <c r="I2590" s="100">
        <v>-5.1072001726177964E-2</v>
      </c>
    </row>
    <row r="2591" spans="1:9">
      <c r="A2591" s="90">
        <v>2575</v>
      </c>
      <c r="B2591" s="110">
        <v>1.119348601196974</v>
      </c>
      <c r="C2591" s="110">
        <v>1.0544342860077942</v>
      </c>
      <c r="G2591" s="90">
        <v>2575</v>
      </c>
      <c r="H2591" s="100">
        <v>-5.974250871830309E-2</v>
      </c>
      <c r="I2591" s="100">
        <v>-5.1064378176003067E-2</v>
      </c>
    </row>
    <row r="2592" spans="1:9">
      <c r="A2592" s="90">
        <v>2576</v>
      </c>
      <c r="B2592" s="110">
        <v>1.1031189395111103</v>
      </c>
      <c r="C2592" s="110">
        <v>1.0509146455192626</v>
      </c>
      <c r="G2592" s="90">
        <v>2576</v>
      </c>
      <c r="H2592" s="100">
        <v>-4.8480691236224817E-2</v>
      </c>
      <c r="I2592" s="100">
        <v>-5.1022072853383775E-2</v>
      </c>
    </row>
    <row r="2593" spans="1:9">
      <c r="A2593" s="90">
        <v>2577</v>
      </c>
      <c r="B2593" s="110">
        <v>1.1112549043948623</v>
      </c>
      <c r="C2593" s="110">
        <v>1.0620326353640037</v>
      </c>
      <c r="G2593" s="90">
        <v>2577</v>
      </c>
      <c r="H2593" s="100">
        <v>-4.530526879441963E-2</v>
      </c>
      <c r="I2593" s="100">
        <v>-5.1015549451444382E-2</v>
      </c>
    </row>
    <row r="2594" spans="1:9">
      <c r="A2594" s="90">
        <v>2578</v>
      </c>
      <c r="B2594" s="110">
        <v>1.10670827299744</v>
      </c>
      <c r="C2594" s="110">
        <v>1.0350348495531143</v>
      </c>
      <c r="G2594" s="90">
        <v>2578</v>
      </c>
      <c r="H2594" s="100">
        <v>-6.6954992419310924E-2</v>
      </c>
      <c r="I2594" s="100">
        <v>-5.1012895639328329E-2</v>
      </c>
    </row>
    <row r="2595" spans="1:9">
      <c r="A2595" s="90">
        <v>2579</v>
      </c>
      <c r="B2595" s="110">
        <v>1.0970911608596323</v>
      </c>
      <c r="C2595" s="110">
        <v>1.0680015195599688</v>
      </c>
      <c r="G2595" s="90">
        <v>2579</v>
      </c>
      <c r="H2595" s="100">
        <v>-2.6873114640034054E-2</v>
      </c>
      <c r="I2595" s="100">
        <v>-5.0976051317000809E-2</v>
      </c>
    </row>
    <row r="2596" spans="1:9">
      <c r="A2596" s="90">
        <v>2580</v>
      </c>
      <c r="B2596" s="110">
        <v>1.1409853289429073</v>
      </c>
      <c r="C2596" s="110">
        <v>1.0589841757631997</v>
      </c>
      <c r="G2596" s="90">
        <v>2580</v>
      </c>
      <c r="H2596" s="100">
        <v>-7.4582088842423427E-2</v>
      </c>
      <c r="I2596" s="100">
        <v>-5.0976042422969901E-2</v>
      </c>
    </row>
    <row r="2597" spans="1:9">
      <c r="A2597" s="90">
        <v>2581</v>
      </c>
      <c r="B2597" s="110">
        <v>1.1275386802589542</v>
      </c>
      <c r="C2597" s="110">
        <v>1.036195183288954</v>
      </c>
      <c r="G2597" s="90">
        <v>2581</v>
      </c>
      <c r="H2597" s="100">
        <v>-8.4481571072476822E-2</v>
      </c>
      <c r="I2597" s="100">
        <v>-5.0968808769782825E-2</v>
      </c>
    </row>
    <row r="2598" spans="1:9">
      <c r="A2598" s="90">
        <v>2582</v>
      </c>
      <c r="B2598" s="110">
        <v>1.0873173459553054</v>
      </c>
      <c r="C2598" s="110">
        <v>1.0669983533643106</v>
      </c>
      <c r="G2598" s="90">
        <v>2582</v>
      </c>
      <c r="H2598" s="100">
        <v>-1.8864083052244292E-2</v>
      </c>
      <c r="I2598" s="100">
        <v>-5.0960495570817839E-2</v>
      </c>
    </row>
    <row r="2599" spans="1:9">
      <c r="A2599" s="90">
        <v>2583</v>
      </c>
      <c r="B2599" s="110">
        <v>1.0982478409758145</v>
      </c>
      <c r="C2599" s="110">
        <v>1.0707572243555921</v>
      </c>
      <c r="G2599" s="90">
        <v>2583</v>
      </c>
      <c r="H2599" s="100">
        <v>-2.5349953499457296E-2</v>
      </c>
      <c r="I2599" s="100">
        <v>-5.0955845256685679E-2</v>
      </c>
    </row>
    <row r="2600" spans="1:9">
      <c r="A2600" s="90">
        <v>2584</v>
      </c>
      <c r="B2600" s="110">
        <v>1.1171809850590628</v>
      </c>
      <c r="C2600" s="110">
        <v>1.0414698463651211</v>
      </c>
      <c r="G2600" s="90">
        <v>2584</v>
      </c>
      <c r="H2600" s="100">
        <v>-7.0175505589816695E-2</v>
      </c>
      <c r="I2600" s="100">
        <v>-5.0949109658266697E-2</v>
      </c>
    </row>
    <row r="2601" spans="1:9">
      <c r="A2601" s="90">
        <v>2585</v>
      </c>
      <c r="B2601" s="110">
        <v>1.1065263851938314</v>
      </c>
      <c r="C2601" s="110">
        <v>1.0625322757659057</v>
      </c>
      <c r="G2601" s="90">
        <v>2585</v>
      </c>
      <c r="H2601" s="100">
        <v>-4.0570727311995326E-2</v>
      </c>
      <c r="I2601" s="100">
        <v>-5.0949042629626802E-2</v>
      </c>
    </row>
    <row r="2602" spans="1:9">
      <c r="A2602" s="90">
        <v>2586</v>
      </c>
      <c r="B2602" s="110">
        <v>1.1108588725436828</v>
      </c>
      <c r="C2602" s="110">
        <v>1.0499547774242661</v>
      </c>
      <c r="G2602" s="90">
        <v>2586</v>
      </c>
      <c r="H2602" s="100">
        <v>-5.6386381053216569E-2</v>
      </c>
      <c r="I2602" s="100">
        <v>-5.0938180401654459E-2</v>
      </c>
    </row>
    <row r="2603" spans="1:9">
      <c r="A2603" s="90">
        <v>2587</v>
      </c>
      <c r="B2603" s="110">
        <v>1.1206023294458272</v>
      </c>
      <c r="C2603" s="110">
        <v>1.0705883802492087</v>
      </c>
      <c r="G2603" s="90">
        <v>2587</v>
      </c>
      <c r="H2603" s="100">
        <v>-4.5657949471479879E-2</v>
      </c>
      <c r="I2603" s="100">
        <v>-5.0937875206394277E-2</v>
      </c>
    </row>
    <row r="2604" spans="1:9">
      <c r="A2604" s="90">
        <v>2588</v>
      </c>
      <c r="B2604" s="110">
        <v>1.1158021008856007</v>
      </c>
      <c r="C2604" s="110">
        <v>1.0680773485299404</v>
      </c>
      <c r="G2604" s="90">
        <v>2588</v>
      </c>
      <c r="H2604" s="100">
        <v>-4.3713357646221057E-2</v>
      </c>
      <c r="I2604" s="100">
        <v>-5.0933900527973024E-2</v>
      </c>
    </row>
    <row r="2605" spans="1:9">
      <c r="A2605" s="90">
        <v>2589</v>
      </c>
      <c r="B2605" s="110">
        <v>1.1228265100290862</v>
      </c>
      <c r="C2605" s="110">
        <v>1.0605653062082221</v>
      </c>
      <c r="G2605" s="90">
        <v>2589</v>
      </c>
      <c r="H2605" s="100">
        <v>-5.7047102159537677E-2</v>
      </c>
      <c r="I2605" s="100">
        <v>-5.0930730544763429E-2</v>
      </c>
    </row>
    <row r="2606" spans="1:9">
      <c r="A2606" s="90">
        <v>2590</v>
      </c>
      <c r="B2606" s="110">
        <v>1.0961245628787779</v>
      </c>
      <c r="C2606" s="110">
        <v>1.0697553849234334</v>
      </c>
      <c r="G2606" s="90">
        <v>2590</v>
      </c>
      <c r="H2606" s="100">
        <v>-2.4350824212586154E-2</v>
      </c>
      <c r="I2606" s="100">
        <v>-5.092739610683069E-2</v>
      </c>
    </row>
    <row r="2607" spans="1:9">
      <c r="A2607" s="90">
        <v>2591</v>
      </c>
      <c r="B2607" s="110">
        <v>1.076786557928231</v>
      </c>
      <c r="C2607" s="110">
        <v>1.0563942008850111</v>
      </c>
      <c r="G2607" s="90">
        <v>2591</v>
      </c>
      <c r="H2607" s="100">
        <v>-1.911978456098682E-2</v>
      </c>
      <c r="I2607" s="100">
        <v>-5.0923217366043966E-2</v>
      </c>
    </row>
    <row r="2608" spans="1:9">
      <c r="A2608" s="90">
        <v>2592</v>
      </c>
      <c r="B2608" s="110">
        <v>1.1059540585363175</v>
      </c>
      <c r="C2608" s="110">
        <v>1.0794485813268035</v>
      </c>
      <c r="G2608" s="90">
        <v>2592</v>
      </c>
      <c r="H2608" s="100">
        <v>-2.4258025939596126E-2</v>
      </c>
      <c r="I2608" s="100">
        <v>-5.0910886505336643E-2</v>
      </c>
    </row>
    <row r="2609" spans="1:9">
      <c r="A2609" s="90">
        <v>2593</v>
      </c>
      <c r="B2609" s="110">
        <v>1.1303543932756328</v>
      </c>
      <c r="C2609" s="110">
        <v>1.0367296119958673</v>
      </c>
      <c r="G2609" s="90">
        <v>2593</v>
      </c>
      <c r="H2609" s="100">
        <v>-8.6460051276065375E-2</v>
      </c>
      <c r="I2609" s="100">
        <v>-5.0901584905622028E-2</v>
      </c>
    </row>
    <row r="2610" spans="1:9">
      <c r="A2610" s="90">
        <v>2594</v>
      </c>
      <c r="B2610" s="110">
        <v>1.115334698735406</v>
      </c>
      <c r="C2610" s="110">
        <v>1.0353075257437265</v>
      </c>
      <c r="G2610" s="90">
        <v>2594</v>
      </c>
      <c r="H2610" s="100">
        <v>-7.4456029199151494E-2</v>
      </c>
      <c r="I2610" s="100">
        <v>-5.0893118862020394E-2</v>
      </c>
    </row>
    <row r="2611" spans="1:9">
      <c r="A2611" s="90">
        <v>2595</v>
      </c>
      <c r="B2611" s="110">
        <v>1.1277853501885493</v>
      </c>
      <c r="C2611" s="110">
        <v>1.0433588554977808</v>
      </c>
      <c r="G2611" s="90">
        <v>2595</v>
      </c>
      <c r="H2611" s="100">
        <v>-7.7810664858728937E-2</v>
      </c>
      <c r="I2611" s="100">
        <v>-5.0874228638924567E-2</v>
      </c>
    </row>
    <row r="2612" spans="1:9">
      <c r="A2612" s="90">
        <v>2596</v>
      </c>
      <c r="B2612" s="110">
        <v>1.0858452087934565</v>
      </c>
      <c r="C2612" s="110">
        <v>1.0641567094300151</v>
      </c>
      <c r="G2612" s="90">
        <v>2596</v>
      </c>
      <c r="H2612" s="100">
        <v>-2.0176014640324487E-2</v>
      </c>
      <c r="I2612" s="100">
        <v>-5.0872448926258487E-2</v>
      </c>
    </row>
    <row r="2613" spans="1:9">
      <c r="A2613" s="90">
        <v>2597</v>
      </c>
      <c r="B2613" s="110">
        <v>1.1221500002583611</v>
      </c>
      <c r="C2613" s="110">
        <v>1.0465940468307513</v>
      </c>
      <c r="G2613" s="90">
        <v>2597</v>
      </c>
      <c r="H2613" s="100">
        <v>-6.9705361398451127E-2</v>
      </c>
      <c r="I2613" s="100">
        <v>-5.0859145256721368E-2</v>
      </c>
    </row>
    <row r="2614" spans="1:9">
      <c r="A2614" s="90">
        <v>2598</v>
      </c>
      <c r="B2614" s="110">
        <v>1.1088038365438095</v>
      </c>
      <c r="C2614" s="110">
        <v>1.0575212636298583</v>
      </c>
      <c r="G2614" s="90">
        <v>2598</v>
      </c>
      <c r="H2614" s="100">
        <v>-4.7354070346377453E-2</v>
      </c>
      <c r="I2614" s="100">
        <v>-5.0799392340103562E-2</v>
      </c>
    </row>
    <row r="2615" spans="1:9">
      <c r="A2615" s="90">
        <v>2599</v>
      </c>
      <c r="B2615" s="110">
        <v>1.1254327951962768</v>
      </c>
      <c r="C2615" s="110">
        <v>1.0438804050455472</v>
      </c>
      <c r="G2615" s="90">
        <v>2599</v>
      </c>
      <c r="H2615" s="100">
        <v>-7.5222740172315505E-2</v>
      </c>
      <c r="I2615" s="100">
        <v>-5.0781045478164401E-2</v>
      </c>
    </row>
    <row r="2616" spans="1:9">
      <c r="A2616" s="90">
        <v>2600</v>
      </c>
      <c r="B2616" s="110">
        <v>1.1461184376089024</v>
      </c>
      <c r="C2616" s="110">
        <v>1.0654931193504411</v>
      </c>
      <c r="G2616" s="90">
        <v>2600</v>
      </c>
      <c r="H2616" s="100">
        <v>-7.2943246787663049E-2</v>
      </c>
      <c r="I2616" s="100">
        <v>-5.07687371211894E-2</v>
      </c>
    </row>
    <row r="2617" spans="1:9">
      <c r="A2617" s="90">
        <v>2601</v>
      </c>
      <c r="B2617" s="110">
        <v>1.1156643602047742</v>
      </c>
      <c r="C2617" s="110">
        <v>1.0637432657822732</v>
      </c>
      <c r="G2617" s="90">
        <v>2601</v>
      </c>
      <c r="H2617" s="100">
        <v>-4.7655995973385053E-2</v>
      </c>
      <c r="I2617" s="100">
        <v>-5.0763300188948222E-2</v>
      </c>
    </row>
    <row r="2618" spans="1:9">
      <c r="A2618" s="90">
        <v>2602</v>
      </c>
      <c r="B2618" s="110">
        <v>1.1092473468618089</v>
      </c>
      <c r="C2618" s="110">
        <v>1.0594554927945974</v>
      </c>
      <c r="G2618" s="90">
        <v>2602</v>
      </c>
      <c r="H2618" s="100">
        <v>-4.592662934406528E-2</v>
      </c>
      <c r="I2618" s="100">
        <v>-5.0762676731634038E-2</v>
      </c>
    </row>
    <row r="2619" spans="1:9">
      <c r="A2619" s="90">
        <v>2603</v>
      </c>
      <c r="B2619" s="110">
        <v>1.1079688580660239</v>
      </c>
      <c r="C2619" s="110">
        <v>1.0617590471429073</v>
      </c>
      <c r="G2619" s="90">
        <v>2603</v>
      </c>
      <c r="H2619" s="100">
        <v>-4.2601470343717182E-2</v>
      </c>
      <c r="I2619" s="100">
        <v>-5.0761538267049197E-2</v>
      </c>
    </row>
    <row r="2620" spans="1:9">
      <c r="A2620" s="90">
        <v>2604</v>
      </c>
      <c r="B2620" s="110">
        <v>1.1169493612935404</v>
      </c>
      <c r="C2620" s="110">
        <v>1.0769622291408349</v>
      </c>
      <c r="G2620" s="90">
        <v>2604</v>
      </c>
      <c r="H2620" s="100">
        <v>-3.645685737314238E-2</v>
      </c>
      <c r="I2620" s="100">
        <v>-5.0757144526754082E-2</v>
      </c>
    </row>
    <row r="2621" spans="1:9">
      <c r="A2621" s="90">
        <v>2605</v>
      </c>
      <c r="B2621" s="110">
        <v>1.1060743613569977</v>
      </c>
      <c r="C2621" s="110">
        <v>1.0550185724337096</v>
      </c>
      <c r="G2621" s="90">
        <v>2605</v>
      </c>
      <c r="H2621" s="100">
        <v>-4.7258764364357268E-2</v>
      </c>
      <c r="I2621" s="100">
        <v>-5.0751330571576124E-2</v>
      </c>
    </row>
    <row r="2622" spans="1:9">
      <c r="A2622" s="90">
        <v>2606</v>
      </c>
      <c r="B2622" s="110">
        <v>1.0857031048010952</v>
      </c>
      <c r="C2622" s="110">
        <v>1.0500160910515464</v>
      </c>
      <c r="G2622" s="90">
        <v>2606</v>
      </c>
      <c r="H2622" s="100">
        <v>-3.3422311111422812E-2</v>
      </c>
      <c r="I2622" s="100">
        <v>-5.0751137473172968E-2</v>
      </c>
    </row>
    <row r="2623" spans="1:9">
      <c r="A2623" s="90">
        <v>2607</v>
      </c>
      <c r="B2623" s="110">
        <v>1.1320816178535522</v>
      </c>
      <c r="C2623" s="110">
        <v>1.05611435766588</v>
      </c>
      <c r="G2623" s="90">
        <v>2607</v>
      </c>
      <c r="H2623" s="100">
        <v>-6.9461605094228232E-2</v>
      </c>
      <c r="I2623" s="100">
        <v>-5.0750346630441402E-2</v>
      </c>
    </row>
    <row r="2624" spans="1:9">
      <c r="A2624" s="90">
        <v>2608</v>
      </c>
      <c r="B2624" s="110">
        <v>1.1131586437370555</v>
      </c>
      <c r="C2624" s="110">
        <v>1.0237907250266818</v>
      </c>
      <c r="G2624" s="90">
        <v>2608</v>
      </c>
      <c r="H2624" s="100">
        <v>-8.3689463546559831E-2</v>
      </c>
      <c r="I2624" s="100">
        <v>-5.0748269560597997E-2</v>
      </c>
    </row>
    <row r="2625" spans="1:9">
      <c r="A2625" s="90">
        <v>2609</v>
      </c>
      <c r="B2625" s="110">
        <v>1.099231487931017</v>
      </c>
      <c r="C2625" s="110">
        <v>1.0607649211030454</v>
      </c>
      <c r="G2625" s="90">
        <v>2609</v>
      </c>
      <c r="H2625" s="100">
        <v>-3.5621016740188034E-2</v>
      </c>
      <c r="I2625" s="100">
        <v>-5.0722023496517131E-2</v>
      </c>
    </row>
    <row r="2626" spans="1:9">
      <c r="A2626" s="90">
        <v>2610</v>
      </c>
      <c r="B2626" s="110">
        <v>1.1078885119286914</v>
      </c>
      <c r="C2626" s="110">
        <v>1.0681346570756518</v>
      </c>
      <c r="G2626" s="90">
        <v>2610</v>
      </c>
      <c r="H2626" s="100">
        <v>-3.6542146265146166E-2</v>
      </c>
      <c r="I2626" s="100">
        <v>-5.0716659185589097E-2</v>
      </c>
    </row>
    <row r="2627" spans="1:9">
      <c r="A2627" s="90">
        <v>2611</v>
      </c>
      <c r="B2627" s="110">
        <v>1.086734990772225</v>
      </c>
      <c r="C2627" s="110">
        <v>1.0468269659052434</v>
      </c>
      <c r="G2627" s="90">
        <v>2611</v>
      </c>
      <c r="H2627" s="100">
        <v>-3.7414128013497215E-2</v>
      </c>
      <c r="I2627" s="100">
        <v>-5.0708081322115323E-2</v>
      </c>
    </row>
    <row r="2628" spans="1:9">
      <c r="A2628" s="90">
        <v>2612</v>
      </c>
      <c r="B2628" s="110">
        <v>1.1007862245418032</v>
      </c>
      <c r="C2628" s="110">
        <v>1.0578361657545381</v>
      </c>
      <c r="G2628" s="90">
        <v>2612</v>
      </c>
      <c r="H2628" s="100">
        <v>-3.9799205414760605E-2</v>
      </c>
      <c r="I2628" s="100">
        <v>-5.0689032415172808E-2</v>
      </c>
    </row>
    <row r="2629" spans="1:9">
      <c r="A2629" s="90">
        <v>2613</v>
      </c>
      <c r="B2629" s="110">
        <v>1.0956534519784999</v>
      </c>
      <c r="C2629" s="110">
        <v>1.0503720298980879</v>
      </c>
      <c r="G2629" s="90">
        <v>2613</v>
      </c>
      <c r="H2629" s="100">
        <v>-4.2206529472223302E-2</v>
      </c>
      <c r="I2629" s="100">
        <v>-5.0680591388125265E-2</v>
      </c>
    </row>
    <row r="2630" spans="1:9">
      <c r="A2630" s="90">
        <v>2614</v>
      </c>
      <c r="B2630" s="110">
        <v>1.1046100287123322</v>
      </c>
      <c r="C2630" s="110">
        <v>1.0500560297921389</v>
      </c>
      <c r="G2630" s="90">
        <v>2614</v>
      </c>
      <c r="H2630" s="100">
        <v>-5.064883303548872E-2</v>
      </c>
      <c r="I2630" s="100">
        <v>-5.0673865727024966E-2</v>
      </c>
    </row>
    <row r="2631" spans="1:9">
      <c r="A2631" s="90">
        <v>2615</v>
      </c>
      <c r="B2631" s="110">
        <v>1.1325257878269639</v>
      </c>
      <c r="C2631" s="110">
        <v>1.0650506256333636</v>
      </c>
      <c r="G2631" s="90">
        <v>2615</v>
      </c>
      <c r="H2631" s="100">
        <v>-6.14280149863662E-2</v>
      </c>
      <c r="I2631" s="100">
        <v>-5.0672995606673016E-2</v>
      </c>
    </row>
    <row r="2632" spans="1:9">
      <c r="A2632" s="90">
        <v>2616</v>
      </c>
      <c r="B2632" s="110">
        <v>1.0842758838340516</v>
      </c>
      <c r="C2632" s="110">
        <v>1.0566470252344726</v>
      </c>
      <c r="G2632" s="90">
        <v>2616</v>
      </c>
      <c r="H2632" s="100">
        <v>-2.5811665076278884E-2</v>
      </c>
      <c r="I2632" s="100">
        <v>-5.0657765346013309E-2</v>
      </c>
    </row>
    <row r="2633" spans="1:9">
      <c r="A2633" s="90">
        <v>2617</v>
      </c>
      <c r="B2633" s="110">
        <v>1.1146796712451152</v>
      </c>
      <c r="C2633" s="110">
        <v>1.067499262007586</v>
      </c>
      <c r="G2633" s="90">
        <v>2617</v>
      </c>
      <c r="H2633" s="100">
        <v>-4.3248298480559458E-2</v>
      </c>
      <c r="I2633" s="100">
        <v>-5.0653385697463485E-2</v>
      </c>
    </row>
    <row r="2634" spans="1:9">
      <c r="A2634" s="90">
        <v>2618</v>
      </c>
      <c r="B2634" s="110">
        <v>1.1180274475943224</v>
      </c>
      <c r="C2634" s="110">
        <v>1.0476147974215524</v>
      </c>
      <c r="G2634" s="90">
        <v>2618</v>
      </c>
      <c r="H2634" s="100">
        <v>-6.5049966432622328E-2</v>
      </c>
      <c r="I2634" s="100">
        <v>-5.064883303548872E-2</v>
      </c>
    </row>
    <row r="2635" spans="1:9">
      <c r="A2635" s="90">
        <v>2619</v>
      </c>
      <c r="B2635" s="110">
        <v>1.1008145785865744</v>
      </c>
      <c r="C2635" s="110">
        <v>1.0466720216629681</v>
      </c>
      <c r="G2635" s="90">
        <v>2619</v>
      </c>
      <c r="H2635" s="100">
        <v>-5.0434804260569274E-2</v>
      </c>
      <c r="I2635" s="100">
        <v>-5.0633644940633375E-2</v>
      </c>
    </row>
    <row r="2636" spans="1:9">
      <c r="A2636" s="90">
        <v>2620</v>
      </c>
      <c r="B2636" s="110">
        <v>1.1247435354965398</v>
      </c>
      <c r="C2636" s="110">
        <v>1.043522261765732</v>
      </c>
      <c r="G2636" s="90">
        <v>2620</v>
      </c>
      <c r="H2636" s="100">
        <v>-7.4953260164842897E-2</v>
      </c>
      <c r="I2636" s="100">
        <v>-5.0610008427991307E-2</v>
      </c>
    </row>
    <row r="2637" spans="1:9">
      <c r="A2637" s="90">
        <v>2621</v>
      </c>
      <c r="B2637" s="110">
        <v>1.0900714882147189</v>
      </c>
      <c r="C2637" s="110">
        <v>1.0492342880998202</v>
      </c>
      <c r="G2637" s="90">
        <v>2621</v>
      </c>
      <c r="H2637" s="100">
        <v>-3.8182630899525852E-2</v>
      </c>
      <c r="I2637" s="100">
        <v>-5.0603911013834844E-2</v>
      </c>
    </row>
    <row r="2638" spans="1:9">
      <c r="A2638" s="90">
        <v>2622</v>
      </c>
      <c r="B2638" s="110">
        <v>1.1194690191301557</v>
      </c>
      <c r="C2638" s="110">
        <v>1.0790644740146946</v>
      </c>
      <c r="G2638" s="90">
        <v>2622</v>
      </c>
      <c r="H2638" s="100">
        <v>-3.6760044848528968E-2</v>
      </c>
      <c r="I2638" s="100">
        <v>-5.0580450347094144E-2</v>
      </c>
    </row>
    <row r="2639" spans="1:9">
      <c r="A2639" s="90">
        <v>2623</v>
      </c>
      <c r="B2639" s="110">
        <v>1.0963941861149906</v>
      </c>
      <c r="C2639" s="110">
        <v>1.0432058192427753</v>
      </c>
      <c r="G2639" s="90">
        <v>2623</v>
      </c>
      <c r="H2639" s="100">
        <v>-4.9728292291564911E-2</v>
      </c>
      <c r="I2639" s="100">
        <v>-5.0544213919112624E-2</v>
      </c>
    </row>
    <row r="2640" spans="1:9">
      <c r="A2640" s="90">
        <v>2624</v>
      </c>
      <c r="B2640" s="110">
        <v>1.1315107822832537</v>
      </c>
      <c r="C2640" s="110">
        <v>1.0383084455418319</v>
      </c>
      <c r="G2640" s="90">
        <v>2624</v>
      </c>
      <c r="H2640" s="100">
        <v>-8.5960820936800172E-2</v>
      </c>
      <c r="I2640" s="100">
        <v>-5.0543422741700532E-2</v>
      </c>
    </row>
    <row r="2641" spans="1:9">
      <c r="A2641" s="90">
        <v>2625</v>
      </c>
      <c r="B2641" s="110">
        <v>1.1239910050253059</v>
      </c>
      <c r="C2641" s="110">
        <v>1.0590595023886924</v>
      </c>
      <c r="G2641" s="90">
        <v>2625</v>
      </c>
      <c r="H2641" s="100">
        <v>-5.9504496416257067E-2</v>
      </c>
      <c r="I2641" s="100">
        <v>-5.0491807369921538E-2</v>
      </c>
    </row>
    <row r="2642" spans="1:9">
      <c r="A2642" s="90">
        <v>2626</v>
      </c>
      <c r="B2642" s="110">
        <v>1.1098321030162417</v>
      </c>
      <c r="C2642" s="110">
        <v>1.0435505799804372</v>
      </c>
      <c r="G2642" s="90">
        <v>2626</v>
      </c>
      <c r="H2642" s="100">
        <v>-6.1579827507744524E-2</v>
      </c>
      <c r="I2642" s="100">
        <v>-5.0489695073167189E-2</v>
      </c>
    </row>
    <row r="2643" spans="1:9">
      <c r="A2643" s="90">
        <v>2627</v>
      </c>
      <c r="B2643" s="110">
        <v>1.0849476791293287</v>
      </c>
      <c r="C2643" s="110">
        <v>1.0385193795807084</v>
      </c>
      <c r="G2643" s="90">
        <v>2627</v>
      </c>
      <c r="H2643" s="100">
        <v>-4.3735738541865757E-2</v>
      </c>
      <c r="I2643" s="100">
        <v>-5.0484916522764246E-2</v>
      </c>
    </row>
    <row r="2644" spans="1:9">
      <c r="A2644" s="90">
        <v>2628</v>
      </c>
      <c r="B2644" s="110">
        <v>1.1340218235254564</v>
      </c>
      <c r="C2644" s="110">
        <v>1.0619987462739062</v>
      </c>
      <c r="G2644" s="90">
        <v>2628</v>
      </c>
      <c r="H2644" s="100">
        <v>-6.5617707565820596E-2</v>
      </c>
      <c r="I2644" s="100">
        <v>-5.0482389579175051E-2</v>
      </c>
    </row>
    <row r="2645" spans="1:9">
      <c r="A2645" s="90">
        <v>2629</v>
      </c>
      <c r="B2645" s="110">
        <v>1.0880362301887456</v>
      </c>
      <c r="C2645" s="110">
        <v>1.036490447883879</v>
      </c>
      <c r="G2645" s="90">
        <v>2629</v>
      </c>
      <c r="H2645" s="100">
        <v>-4.8534010575479278E-2</v>
      </c>
      <c r="I2645" s="100">
        <v>-5.0479985444570968E-2</v>
      </c>
    </row>
    <row r="2646" spans="1:9">
      <c r="A2646" s="90">
        <v>2630</v>
      </c>
      <c r="B2646" s="110">
        <v>1.1223468828992724</v>
      </c>
      <c r="C2646" s="110">
        <v>1.0319723689603122</v>
      </c>
      <c r="G2646" s="90">
        <v>2630</v>
      </c>
      <c r="H2646" s="100">
        <v>-8.3950031675607398E-2</v>
      </c>
      <c r="I2646" s="100">
        <v>-5.0471452522045483E-2</v>
      </c>
    </row>
    <row r="2647" spans="1:9">
      <c r="A2647" s="90">
        <v>2631</v>
      </c>
      <c r="B2647" s="110">
        <v>1.1156595718979416</v>
      </c>
      <c r="C2647" s="110">
        <v>1.0790771165023523</v>
      </c>
      <c r="G2647" s="90">
        <v>2631</v>
      </c>
      <c r="H2647" s="100">
        <v>-3.3339620254601181E-2</v>
      </c>
      <c r="I2647" s="100">
        <v>-5.0462998062155338E-2</v>
      </c>
    </row>
    <row r="2648" spans="1:9">
      <c r="A2648" s="90">
        <v>2632</v>
      </c>
      <c r="B2648" s="110">
        <v>1.1030465692333826</v>
      </c>
      <c r="C2648" s="110">
        <v>1.0335852416038085</v>
      </c>
      <c r="G2648" s="90">
        <v>2632</v>
      </c>
      <c r="H2648" s="100">
        <v>-6.5042384589770089E-2</v>
      </c>
      <c r="I2648" s="100">
        <v>-5.0457695205994101E-2</v>
      </c>
    </row>
    <row r="2649" spans="1:9">
      <c r="A2649" s="90">
        <v>2633</v>
      </c>
      <c r="B2649" s="110">
        <v>1.1172882164343536</v>
      </c>
      <c r="C2649" s="110">
        <v>1.056114891681093</v>
      </c>
      <c r="G2649" s="90">
        <v>2633</v>
      </c>
      <c r="H2649" s="100">
        <v>-5.6307535743947416E-2</v>
      </c>
      <c r="I2649" s="100">
        <v>-5.0434804260569274E-2</v>
      </c>
    </row>
    <row r="2650" spans="1:9">
      <c r="A2650" s="90">
        <v>2634</v>
      </c>
      <c r="B2650" s="110">
        <v>1.0815110424927714</v>
      </c>
      <c r="C2650" s="110">
        <v>1.0488897938911352</v>
      </c>
      <c r="G2650" s="90">
        <v>2634</v>
      </c>
      <c r="H2650" s="100">
        <v>-3.0626911067398423E-2</v>
      </c>
      <c r="I2650" s="100">
        <v>-5.0419804438643794E-2</v>
      </c>
    </row>
    <row r="2651" spans="1:9">
      <c r="A2651" s="90">
        <v>2635</v>
      </c>
      <c r="B2651" s="110">
        <v>1.0974722647209669</v>
      </c>
      <c r="C2651" s="110">
        <v>1.0378681626397694</v>
      </c>
      <c r="G2651" s="90">
        <v>2635</v>
      </c>
      <c r="H2651" s="100">
        <v>-5.5840828590226349E-2</v>
      </c>
      <c r="I2651" s="100">
        <v>-5.0416390362503477E-2</v>
      </c>
    </row>
    <row r="2652" spans="1:9">
      <c r="A2652" s="90">
        <v>2636</v>
      </c>
      <c r="B2652" s="110">
        <v>1.0981152307011821</v>
      </c>
      <c r="C2652" s="110">
        <v>1.0472885959371283</v>
      </c>
      <c r="G2652" s="90">
        <v>2636</v>
      </c>
      <c r="H2652" s="100">
        <v>-4.7390748849583497E-2</v>
      </c>
      <c r="I2652" s="100">
        <v>-5.0413934174202736E-2</v>
      </c>
    </row>
    <row r="2653" spans="1:9">
      <c r="A2653" s="90">
        <v>2637</v>
      </c>
      <c r="B2653" s="110">
        <v>1.103775786721549</v>
      </c>
      <c r="C2653" s="110">
        <v>1.0571026836876836</v>
      </c>
      <c r="G2653" s="90">
        <v>2637</v>
      </c>
      <c r="H2653" s="100">
        <v>-4.3204986975592975E-2</v>
      </c>
      <c r="I2653" s="100">
        <v>-5.0409308712060528E-2</v>
      </c>
    </row>
    <row r="2654" spans="1:9">
      <c r="A2654" s="90">
        <v>2638</v>
      </c>
      <c r="B2654" s="110">
        <v>1.0942170062855239</v>
      </c>
      <c r="C2654" s="110">
        <v>1.0436527684004049</v>
      </c>
      <c r="G2654" s="90">
        <v>2638</v>
      </c>
      <c r="H2654" s="100">
        <v>-4.7312207916136016E-2</v>
      </c>
      <c r="I2654" s="100">
        <v>-5.0394801592366902E-2</v>
      </c>
    </row>
    <row r="2655" spans="1:9">
      <c r="A2655" s="90">
        <v>2639</v>
      </c>
      <c r="B2655" s="110">
        <v>1.1225433666018931</v>
      </c>
      <c r="C2655" s="110">
        <v>1.0476094685394732</v>
      </c>
      <c r="G2655" s="90">
        <v>2639</v>
      </c>
      <c r="H2655" s="100">
        <v>-6.9086101905558001E-2</v>
      </c>
      <c r="I2655" s="100">
        <v>-5.0381116687493295E-2</v>
      </c>
    </row>
    <row r="2656" spans="1:9">
      <c r="A2656" s="90">
        <v>2640</v>
      </c>
      <c r="B2656" s="110">
        <v>1.1184912123870114</v>
      </c>
      <c r="C2656" s="110">
        <v>1.0548021144663917</v>
      </c>
      <c r="G2656" s="90">
        <v>2640</v>
      </c>
      <c r="H2656" s="100">
        <v>-5.8627465203365738E-2</v>
      </c>
      <c r="I2656" s="100">
        <v>-5.0360809334331853E-2</v>
      </c>
    </row>
    <row r="2657" spans="1:9">
      <c r="A2657" s="90">
        <v>2641</v>
      </c>
      <c r="B2657" s="110">
        <v>1.0895638481689567</v>
      </c>
      <c r="C2657" s="110">
        <v>1.0643704356603598</v>
      </c>
      <c r="G2657" s="90">
        <v>2641</v>
      </c>
      <c r="H2657" s="100">
        <v>-2.3393992725324129E-2</v>
      </c>
      <c r="I2657" s="100">
        <v>-5.0343255002681025E-2</v>
      </c>
    </row>
    <row r="2658" spans="1:9">
      <c r="A2658" s="90">
        <v>2642</v>
      </c>
      <c r="B2658" s="110">
        <v>1.1065948627597377</v>
      </c>
      <c r="C2658" s="110">
        <v>1.0585862158783819</v>
      </c>
      <c r="G2658" s="90">
        <v>2642</v>
      </c>
      <c r="H2658" s="100">
        <v>-4.4353349835866314E-2</v>
      </c>
      <c r="I2658" s="100">
        <v>-5.0330780793638626E-2</v>
      </c>
    </row>
    <row r="2659" spans="1:9">
      <c r="A2659" s="90">
        <v>2643</v>
      </c>
      <c r="B2659" s="110">
        <v>1.1405931042273123</v>
      </c>
      <c r="C2659" s="110">
        <v>1.042189026621938</v>
      </c>
      <c r="G2659" s="90">
        <v>2643</v>
      </c>
      <c r="H2659" s="100">
        <v>-9.0225059595103338E-2</v>
      </c>
      <c r="I2659" s="100">
        <v>-5.0319992836755159E-2</v>
      </c>
    </row>
    <row r="2660" spans="1:9">
      <c r="A2660" s="90">
        <v>2644</v>
      </c>
      <c r="B2660" s="110">
        <v>1.1218401458788991</v>
      </c>
      <c r="C2660" s="110">
        <v>1.0357982882926942</v>
      </c>
      <c r="G2660" s="90">
        <v>2644</v>
      </c>
      <c r="H2660" s="100">
        <v>-7.9797902011502386E-2</v>
      </c>
      <c r="I2660" s="100">
        <v>-5.031133986932735E-2</v>
      </c>
    </row>
    <row r="2661" spans="1:9">
      <c r="A2661" s="90">
        <v>2645</v>
      </c>
      <c r="B2661" s="110">
        <v>1.1288272690633869</v>
      </c>
      <c r="C2661" s="110">
        <v>1.0641943357345356</v>
      </c>
      <c r="G2661" s="90">
        <v>2645</v>
      </c>
      <c r="H2661" s="100">
        <v>-5.8961258224554267E-2</v>
      </c>
      <c r="I2661" s="100">
        <v>-5.0307878322947579E-2</v>
      </c>
    </row>
    <row r="2662" spans="1:9">
      <c r="A2662" s="90">
        <v>2646</v>
      </c>
      <c r="B2662" s="110">
        <v>1.1089947377272378</v>
      </c>
      <c r="C2662" s="110">
        <v>1.0431996298499868</v>
      </c>
      <c r="G2662" s="90">
        <v>2646</v>
      </c>
      <c r="H2662" s="100">
        <v>-6.1161405927396592E-2</v>
      </c>
      <c r="I2662" s="100">
        <v>-5.0301321771273902E-2</v>
      </c>
    </row>
    <row r="2663" spans="1:9">
      <c r="A2663" s="90">
        <v>2647</v>
      </c>
      <c r="B2663" s="110">
        <v>1.1218067336966313</v>
      </c>
      <c r="C2663" s="110">
        <v>1.0578174133988922</v>
      </c>
      <c r="G2663" s="90">
        <v>2647</v>
      </c>
      <c r="H2663" s="100">
        <v>-5.8732799240951636E-2</v>
      </c>
      <c r="I2663" s="100">
        <v>-5.0282215192390026E-2</v>
      </c>
    </row>
    <row r="2664" spans="1:9">
      <c r="A2664" s="90">
        <v>2648</v>
      </c>
      <c r="B2664" s="110">
        <v>1.103320659824782</v>
      </c>
      <c r="C2664" s="110">
        <v>1.0423798708572183</v>
      </c>
      <c r="G2664" s="90">
        <v>2648</v>
      </c>
      <c r="H2664" s="100">
        <v>-5.6817977831759695E-2</v>
      </c>
      <c r="I2664" s="100">
        <v>-5.027855851044094E-2</v>
      </c>
    </row>
    <row r="2665" spans="1:9">
      <c r="A2665" s="90">
        <v>2649</v>
      </c>
      <c r="B2665" s="110">
        <v>1.1006860172723274</v>
      </c>
      <c r="C2665" s="110">
        <v>1.0635441974823072</v>
      </c>
      <c r="G2665" s="90">
        <v>2649</v>
      </c>
      <c r="H2665" s="100">
        <v>-3.4326724168811946E-2</v>
      </c>
      <c r="I2665" s="100">
        <v>-5.0277469930747262E-2</v>
      </c>
    </row>
    <row r="2666" spans="1:9">
      <c r="A2666" s="90">
        <v>2650</v>
      </c>
      <c r="B2666" s="110">
        <v>1.1257657593958963</v>
      </c>
      <c r="C2666" s="110">
        <v>1.0474633564887357</v>
      </c>
      <c r="G2666" s="90">
        <v>2650</v>
      </c>
      <c r="H2666" s="100">
        <v>-7.2092088790839906E-2</v>
      </c>
      <c r="I2666" s="100">
        <v>-5.0270966647456602E-2</v>
      </c>
    </row>
    <row r="2667" spans="1:9">
      <c r="A2667" s="90">
        <v>2651</v>
      </c>
      <c r="B2667" s="110">
        <v>1.1218606197337708</v>
      </c>
      <c r="C2667" s="110">
        <v>1.0401206727556482</v>
      </c>
      <c r="G2667" s="90">
        <v>2651</v>
      </c>
      <c r="H2667" s="100">
        <v>-7.5651836629785585E-2</v>
      </c>
      <c r="I2667" s="100">
        <v>-5.0264986843397821E-2</v>
      </c>
    </row>
    <row r="2668" spans="1:9">
      <c r="A2668" s="90">
        <v>2652</v>
      </c>
      <c r="B2668" s="110">
        <v>1.1153776375488673</v>
      </c>
      <c r="C2668" s="110">
        <v>1.0646403214814812</v>
      </c>
      <c r="G2668" s="90">
        <v>2652</v>
      </c>
      <c r="H2668" s="100">
        <v>-4.6556020144205609E-2</v>
      </c>
      <c r="I2668" s="100">
        <v>-5.0213684255051967E-2</v>
      </c>
    </row>
    <row r="2669" spans="1:9">
      <c r="A2669" s="90">
        <v>2653</v>
      </c>
      <c r="B2669" s="110">
        <v>1.1139738000328987</v>
      </c>
      <c r="C2669" s="110">
        <v>1.0521166861924007</v>
      </c>
      <c r="G2669" s="90">
        <v>2653</v>
      </c>
      <c r="H2669" s="100">
        <v>-5.712959580870057E-2</v>
      </c>
      <c r="I2669" s="100">
        <v>-5.0195044100683817E-2</v>
      </c>
    </row>
    <row r="2670" spans="1:9">
      <c r="A2670" s="90">
        <v>2654</v>
      </c>
      <c r="B2670" s="110">
        <v>1.1140147392904864</v>
      </c>
      <c r="C2670" s="110">
        <v>1.0511094914361778</v>
      </c>
      <c r="G2670" s="90">
        <v>2654</v>
      </c>
      <c r="H2670" s="100">
        <v>-5.8124107569078536E-2</v>
      </c>
      <c r="I2670" s="100">
        <v>-5.0167222001806691E-2</v>
      </c>
    </row>
    <row r="2671" spans="1:9">
      <c r="A2671" s="90">
        <v>2655</v>
      </c>
      <c r="B2671" s="110">
        <v>1.1258383398230281</v>
      </c>
      <c r="C2671" s="110">
        <v>1.0624349222738516</v>
      </c>
      <c r="G2671" s="90">
        <v>2655</v>
      </c>
      <c r="H2671" s="100">
        <v>-5.7964578777277752E-2</v>
      </c>
      <c r="I2671" s="100">
        <v>-5.0166932281746519E-2</v>
      </c>
    </row>
    <row r="2672" spans="1:9">
      <c r="A2672" s="90">
        <v>2656</v>
      </c>
      <c r="B2672" s="110">
        <v>1.1132156161765758</v>
      </c>
      <c r="C2672" s="110">
        <v>1.0736305501627561</v>
      </c>
      <c r="G2672" s="90">
        <v>2656</v>
      </c>
      <c r="H2672" s="100">
        <v>-3.6206836111924254E-2</v>
      </c>
      <c r="I2672" s="100">
        <v>-5.0165815309153053E-2</v>
      </c>
    </row>
    <row r="2673" spans="1:9">
      <c r="A2673" s="90">
        <v>2657</v>
      </c>
      <c r="B2673" s="110">
        <v>1.0891358215282736</v>
      </c>
      <c r="C2673" s="110">
        <v>1.0619143213180189</v>
      </c>
      <c r="G2673" s="90">
        <v>2657</v>
      </c>
      <c r="H2673" s="100">
        <v>-2.5311314663500745E-2</v>
      </c>
      <c r="I2673" s="100">
        <v>-5.0163474315465494E-2</v>
      </c>
    </row>
    <row r="2674" spans="1:9">
      <c r="A2674" s="90">
        <v>2658</v>
      </c>
      <c r="B2674" s="110">
        <v>1.1195451229154516</v>
      </c>
      <c r="C2674" s="110">
        <v>1.0424819788167845</v>
      </c>
      <c r="G2674" s="90">
        <v>2658</v>
      </c>
      <c r="H2674" s="100">
        <v>-7.1318074520926797E-2</v>
      </c>
      <c r="I2674" s="100">
        <v>-5.0151232811951975E-2</v>
      </c>
    </row>
    <row r="2675" spans="1:9">
      <c r="A2675" s="90">
        <v>2659</v>
      </c>
      <c r="B2675" s="110">
        <v>1.1539440847415214</v>
      </c>
      <c r="C2675" s="110">
        <v>1.0534592842970978</v>
      </c>
      <c r="G2675" s="90">
        <v>2659</v>
      </c>
      <c r="H2675" s="100">
        <v>-9.1106407999655969E-2</v>
      </c>
      <c r="I2675" s="100">
        <v>-5.0136903644789878E-2</v>
      </c>
    </row>
    <row r="2676" spans="1:9">
      <c r="A2676" s="90">
        <v>2660</v>
      </c>
      <c r="B2676" s="110">
        <v>1.1383186024621808</v>
      </c>
      <c r="C2676" s="110">
        <v>1.0703909581801345</v>
      </c>
      <c r="G2676" s="90">
        <v>2660</v>
      </c>
      <c r="H2676" s="100">
        <v>-6.1528300319886729E-2</v>
      </c>
      <c r="I2676" s="100">
        <v>-5.013299594673104E-2</v>
      </c>
    </row>
    <row r="2677" spans="1:9">
      <c r="A2677" s="90">
        <v>2661</v>
      </c>
      <c r="B2677" s="110">
        <v>1.11673797715735</v>
      </c>
      <c r="C2677" s="110">
        <v>1.063589336115941</v>
      </c>
      <c r="G2677" s="90">
        <v>2661</v>
      </c>
      <c r="H2677" s="100">
        <v>-4.8762561151017257E-2</v>
      </c>
      <c r="I2677" s="100">
        <v>-5.0117261599954693E-2</v>
      </c>
    </row>
    <row r="2678" spans="1:9">
      <c r="A2678" s="90">
        <v>2662</v>
      </c>
      <c r="B2678" s="110">
        <v>1.0997453413774105</v>
      </c>
      <c r="C2678" s="110">
        <v>1.0432609721860295</v>
      </c>
      <c r="G2678" s="90">
        <v>2662</v>
      </c>
      <c r="H2678" s="100">
        <v>-5.2727287417038686E-2</v>
      </c>
      <c r="I2678" s="100">
        <v>-5.0097511580693692E-2</v>
      </c>
    </row>
    <row r="2679" spans="1:9">
      <c r="A2679" s="90">
        <v>2663</v>
      </c>
      <c r="B2679" s="110">
        <v>1.1022807751229682</v>
      </c>
      <c r="C2679" s="110">
        <v>1.047389870260637</v>
      </c>
      <c r="G2679" s="90">
        <v>2663</v>
      </c>
      <c r="H2679" s="100">
        <v>-5.1080233643376501E-2</v>
      </c>
      <c r="I2679" s="100">
        <v>-5.0091764003949421E-2</v>
      </c>
    </row>
    <row r="2680" spans="1:9">
      <c r="A2680" s="90">
        <v>2664</v>
      </c>
      <c r="B2680" s="110">
        <v>1.1581722432137234</v>
      </c>
      <c r="C2680" s="110">
        <v>1.0657436964180731</v>
      </c>
      <c r="G2680" s="90">
        <v>2664</v>
      </c>
      <c r="H2680" s="100">
        <v>-8.3170248115877934E-2</v>
      </c>
      <c r="I2680" s="100">
        <v>-5.0065694414425363E-2</v>
      </c>
    </row>
    <row r="2681" spans="1:9">
      <c r="A2681" s="90">
        <v>2665</v>
      </c>
      <c r="B2681" s="110">
        <v>1.1003089882772983</v>
      </c>
      <c r="C2681" s="110">
        <v>1.0602358265862897</v>
      </c>
      <c r="G2681" s="90">
        <v>2665</v>
      </c>
      <c r="H2681" s="100">
        <v>-3.7099677502624544E-2</v>
      </c>
      <c r="I2681" s="100">
        <v>-5.0060452238442764E-2</v>
      </c>
    </row>
    <row r="2682" spans="1:9">
      <c r="A2682" s="90">
        <v>2666</v>
      </c>
      <c r="B2682" s="110">
        <v>1.1283803301660973</v>
      </c>
      <c r="C2682" s="110">
        <v>1.0695183778345405</v>
      </c>
      <c r="G2682" s="90">
        <v>2666</v>
      </c>
      <c r="H2682" s="100">
        <v>-5.3574835410487062E-2</v>
      </c>
      <c r="I2682" s="100">
        <v>-5.0059579570381589E-2</v>
      </c>
    </row>
    <row r="2683" spans="1:9">
      <c r="A2683" s="90">
        <v>2667</v>
      </c>
      <c r="B2683" s="110">
        <v>1.1127858392896806</v>
      </c>
      <c r="C2683" s="110">
        <v>1.0733929070675177</v>
      </c>
      <c r="G2683" s="90">
        <v>2667</v>
      </c>
      <c r="H2683" s="100">
        <v>-3.6042063422292658E-2</v>
      </c>
      <c r="I2683" s="100">
        <v>-5.003295521228894E-2</v>
      </c>
    </row>
    <row r="2684" spans="1:9">
      <c r="A2684" s="90">
        <v>2668</v>
      </c>
      <c r="B2684" s="110">
        <v>1.1350344930965837</v>
      </c>
      <c r="C2684" s="110">
        <v>1.0565296711395411</v>
      </c>
      <c r="G2684" s="90">
        <v>2668</v>
      </c>
      <c r="H2684" s="100">
        <v>-7.1673398812942241E-2</v>
      </c>
      <c r="I2684" s="100">
        <v>-5.0026401341724459E-2</v>
      </c>
    </row>
    <row r="2685" spans="1:9">
      <c r="A2685" s="90">
        <v>2669</v>
      </c>
      <c r="B2685" s="110">
        <v>1.1471056044037446</v>
      </c>
      <c r="C2685" s="110">
        <v>1.059487828523942</v>
      </c>
      <c r="G2685" s="90">
        <v>2669</v>
      </c>
      <c r="H2685" s="100">
        <v>-7.945629329140376E-2</v>
      </c>
      <c r="I2685" s="100">
        <v>-5.0009450820431955E-2</v>
      </c>
    </row>
    <row r="2686" spans="1:9">
      <c r="A2686" s="90">
        <v>2670</v>
      </c>
      <c r="B2686" s="110">
        <v>1.0899861479808211</v>
      </c>
      <c r="C2686" s="110">
        <v>1.0611955616753337</v>
      </c>
      <c r="G2686" s="90">
        <v>2670</v>
      </c>
      <c r="H2686" s="100">
        <v>-2.6768826977114107E-2</v>
      </c>
      <c r="I2686" s="100">
        <v>-4.9956488458987952E-2</v>
      </c>
    </row>
    <row r="2687" spans="1:9">
      <c r="A2687" s="90">
        <v>2671</v>
      </c>
      <c r="B2687" s="110">
        <v>1.1162384591993537</v>
      </c>
      <c r="C2687" s="110">
        <v>1.0610381918434038</v>
      </c>
      <c r="G2687" s="90">
        <v>2671</v>
      </c>
      <c r="H2687" s="100">
        <v>-5.0716659185589097E-2</v>
      </c>
      <c r="I2687" s="100">
        <v>-4.9929900644368322E-2</v>
      </c>
    </row>
    <row r="2688" spans="1:9">
      <c r="A2688" s="90">
        <v>2672</v>
      </c>
      <c r="B2688" s="110">
        <v>1.1234268761527164</v>
      </c>
      <c r="C2688" s="110">
        <v>1.0595067758067165</v>
      </c>
      <c r="G2688" s="90">
        <v>2672</v>
      </c>
      <c r="H2688" s="100">
        <v>-5.8580230775806305E-2</v>
      </c>
      <c r="I2688" s="100">
        <v>-4.9924018067459892E-2</v>
      </c>
    </row>
    <row r="2689" spans="1:9">
      <c r="A2689" s="90">
        <v>2673</v>
      </c>
      <c r="B2689" s="110">
        <v>1.1105090800786974</v>
      </c>
      <c r="C2689" s="110">
        <v>1.0505760564142661</v>
      </c>
      <c r="G2689" s="90">
        <v>2673</v>
      </c>
      <c r="H2689" s="100">
        <v>-5.5479902000741606E-2</v>
      </c>
      <c r="I2689" s="100">
        <v>-4.9915517486461849E-2</v>
      </c>
    </row>
    <row r="2690" spans="1:9">
      <c r="A2690" s="90">
        <v>2674</v>
      </c>
      <c r="B2690" s="110">
        <v>1.098711991875202</v>
      </c>
      <c r="C2690" s="110">
        <v>1.0515798817103779</v>
      </c>
      <c r="G2690" s="90">
        <v>2674</v>
      </c>
      <c r="H2690" s="100">
        <v>-4.3844894701996075E-2</v>
      </c>
      <c r="I2690" s="100">
        <v>-4.9909465773535083E-2</v>
      </c>
    </row>
    <row r="2691" spans="1:9">
      <c r="A2691" s="90">
        <v>2675</v>
      </c>
      <c r="B2691" s="110">
        <v>1.1248739860416845</v>
      </c>
      <c r="C2691" s="110">
        <v>1.0250044810926804</v>
      </c>
      <c r="G2691" s="90">
        <v>2675</v>
      </c>
      <c r="H2691" s="100">
        <v>-9.2974032596581574E-2</v>
      </c>
      <c r="I2691" s="100">
        <v>-4.988268960320625E-2</v>
      </c>
    </row>
    <row r="2692" spans="1:9">
      <c r="A2692" s="90">
        <v>2676</v>
      </c>
      <c r="B2692" s="110">
        <v>1.1259649547415527</v>
      </c>
      <c r="C2692" s="110">
        <v>1.053387168997244</v>
      </c>
      <c r="G2692" s="90">
        <v>2676</v>
      </c>
      <c r="H2692" s="100">
        <v>-6.6629558125634591E-2</v>
      </c>
      <c r="I2692" s="100">
        <v>-4.986990878534666E-2</v>
      </c>
    </row>
    <row r="2693" spans="1:9">
      <c r="A2693" s="90">
        <v>2677</v>
      </c>
      <c r="B2693" s="110">
        <v>1.1048543643662245</v>
      </c>
      <c r="C2693" s="110">
        <v>1.0612918001989737</v>
      </c>
      <c r="G2693" s="90">
        <v>2677</v>
      </c>
      <c r="H2693" s="100">
        <v>-4.0226683760133511E-2</v>
      </c>
      <c r="I2693" s="100">
        <v>-4.9858248875434608E-2</v>
      </c>
    </row>
    <row r="2694" spans="1:9">
      <c r="A2694" s="90">
        <v>2678</v>
      </c>
      <c r="B2694" s="110">
        <v>1.0915117079698682</v>
      </c>
      <c r="C2694" s="110">
        <v>1.0546526381632229</v>
      </c>
      <c r="G2694" s="90">
        <v>2678</v>
      </c>
      <c r="H2694" s="100">
        <v>-3.4352163659331129E-2</v>
      </c>
      <c r="I2694" s="100">
        <v>-4.9854644042545318E-2</v>
      </c>
    </row>
    <row r="2695" spans="1:9">
      <c r="A2695" s="90">
        <v>2679</v>
      </c>
      <c r="B2695" s="110">
        <v>1.1179122211592345</v>
      </c>
      <c r="C2695" s="110">
        <v>1.0726223400504731</v>
      </c>
      <c r="G2695" s="90">
        <v>2679</v>
      </c>
      <c r="H2695" s="100">
        <v>-4.1356422189985712E-2</v>
      </c>
      <c r="I2695" s="100">
        <v>-4.9850479831983464E-2</v>
      </c>
    </row>
    <row r="2696" spans="1:9">
      <c r="A2696" s="90">
        <v>2680</v>
      </c>
      <c r="B2696" s="110">
        <v>1.1108770390953555</v>
      </c>
      <c r="C2696" s="110">
        <v>1.054294852239434</v>
      </c>
      <c r="G2696" s="90">
        <v>2680</v>
      </c>
      <c r="H2696" s="100">
        <v>-5.227767169541403E-2</v>
      </c>
      <c r="I2696" s="100">
        <v>-4.9849918787069139E-2</v>
      </c>
    </row>
    <row r="2697" spans="1:9">
      <c r="A2697" s="90">
        <v>2681</v>
      </c>
      <c r="B2697" s="110">
        <v>1.0953923908754477</v>
      </c>
      <c r="C2697" s="110">
        <v>1.0529081797666817</v>
      </c>
      <c r="G2697" s="90">
        <v>2681</v>
      </c>
      <c r="H2697" s="100">
        <v>-3.9556616260969839E-2</v>
      </c>
      <c r="I2697" s="100">
        <v>-4.9843427930689091E-2</v>
      </c>
    </row>
    <row r="2698" spans="1:9">
      <c r="A2698" s="90">
        <v>2682</v>
      </c>
      <c r="B2698" s="110">
        <v>1.12612060080469</v>
      </c>
      <c r="C2698" s="110">
        <v>1.0580882360619659</v>
      </c>
      <c r="G2698" s="90">
        <v>2682</v>
      </c>
      <c r="H2698" s="100">
        <v>-6.2314900609530752E-2</v>
      </c>
      <c r="I2698" s="100">
        <v>-4.9836277181452664E-2</v>
      </c>
    </row>
    <row r="2699" spans="1:9">
      <c r="A2699" s="90">
        <v>2683</v>
      </c>
      <c r="B2699" s="110">
        <v>1.1149501670580868</v>
      </c>
      <c r="C2699" s="110">
        <v>1.0645781749427963</v>
      </c>
      <c r="G2699" s="90">
        <v>2683</v>
      </c>
      <c r="H2699" s="100">
        <v>-4.6231069856742558E-2</v>
      </c>
      <c r="I2699" s="100">
        <v>-4.9834793100692797E-2</v>
      </c>
    </row>
    <row r="2700" spans="1:9">
      <c r="A2700" s="90">
        <v>2684</v>
      </c>
      <c r="B2700" s="110">
        <v>1.1131476607886512</v>
      </c>
      <c r="C2700" s="110">
        <v>1.0510918876158284</v>
      </c>
      <c r="G2700" s="90">
        <v>2684</v>
      </c>
      <c r="H2700" s="100">
        <v>-5.7362215843082306E-2</v>
      </c>
      <c r="I2700" s="100">
        <v>-4.982474437917981E-2</v>
      </c>
    </row>
    <row r="2701" spans="1:9">
      <c r="A2701" s="90">
        <v>2685</v>
      </c>
      <c r="B2701" s="110">
        <v>1.100229450424872</v>
      </c>
      <c r="C2701" s="110">
        <v>1.0397650888255496</v>
      </c>
      <c r="G2701" s="90">
        <v>2685</v>
      </c>
      <c r="H2701" s="100">
        <v>-5.6523937837376463E-2</v>
      </c>
      <c r="I2701" s="100">
        <v>-4.9820051499763866E-2</v>
      </c>
    </row>
    <row r="2702" spans="1:9">
      <c r="A2702" s="90">
        <v>2686</v>
      </c>
      <c r="B2702" s="110">
        <v>1.1151228081910292</v>
      </c>
      <c r="C2702" s="110">
        <v>1.0698473323585109</v>
      </c>
      <c r="G2702" s="90">
        <v>2686</v>
      </c>
      <c r="H2702" s="100">
        <v>-4.1448582466998639E-2</v>
      </c>
      <c r="I2702" s="100">
        <v>-4.9808535669926407E-2</v>
      </c>
    </row>
    <row r="2703" spans="1:9">
      <c r="A2703" s="90">
        <v>2687</v>
      </c>
      <c r="B2703" s="110">
        <v>1.1056155626453543</v>
      </c>
      <c r="C2703" s="110">
        <v>1.0622949843957268</v>
      </c>
      <c r="G2703" s="90">
        <v>2687</v>
      </c>
      <c r="H2703" s="100">
        <v>-3.9970602795752513E-2</v>
      </c>
      <c r="I2703" s="100">
        <v>-4.9799744892828186E-2</v>
      </c>
    </row>
    <row r="2704" spans="1:9">
      <c r="A2704" s="90">
        <v>2688</v>
      </c>
      <c r="B2704" s="110">
        <v>1.0985906674265837</v>
      </c>
      <c r="C2704" s="110">
        <v>1.0541534166295097</v>
      </c>
      <c r="G2704" s="90">
        <v>2688</v>
      </c>
      <c r="H2704" s="100">
        <v>-4.1290150819542515E-2</v>
      </c>
      <c r="I2704" s="100">
        <v>-4.9789972227785889E-2</v>
      </c>
    </row>
    <row r="2705" spans="1:9">
      <c r="A2705" s="90">
        <v>2689</v>
      </c>
      <c r="B2705" s="110">
        <v>1.1111921421842652</v>
      </c>
      <c r="C2705" s="110">
        <v>1.0442303659663501</v>
      </c>
      <c r="G2705" s="90">
        <v>2689</v>
      </c>
      <c r="H2705" s="100">
        <v>-6.215331878939976E-2</v>
      </c>
      <c r="I2705" s="100">
        <v>-4.9782914312443992E-2</v>
      </c>
    </row>
    <row r="2706" spans="1:9">
      <c r="A2706" s="90">
        <v>2690</v>
      </c>
      <c r="B2706" s="110">
        <v>1.1092505257070027</v>
      </c>
      <c r="C2706" s="110">
        <v>1.0347071657043017</v>
      </c>
      <c r="G2706" s="90">
        <v>2690</v>
      </c>
      <c r="H2706" s="100">
        <v>-6.9566130208958396E-2</v>
      </c>
      <c r="I2706" s="100">
        <v>-4.9778065601511316E-2</v>
      </c>
    </row>
    <row r="2707" spans="1:9">
      <c r="A2707" s="90">
        <v>2691</v>
      </c>
      <c r="B2707" s="110">
        <v>1.1302606080789142</v>
      </c>
      <c r="C2707" s="110">
        <v>1.0618109567295133</v>
      </c>
      <c r="G2707" s="90">
        <v>2691</v>
      </c>
      <c r="H2707" s="100">
        <v>-6.2472332623911456E-2</v>
      </c>
      <c r="I2707" s="100">
        <v>-4.9775362324620903E-2</v>
      </c>
    </row>
    <row r="2708" spans="1:9">
      <c r="A2708" s="90">
        <v>2692</v>
      </c>
      <c r="B2708" s="110">
        <v>1.1415980604460179</v>
      </c>
      <c r="C2708" s="110">
        <v>1.0368880387026078</v>
      </c>
      <c r="G2708" s="90">
        <v>2692</v>
      </c>
      <c r="H2708" s="100">
        <v>-9.6205131317427015E-2</v>
      </c>
      <c r="I2708" s="100">
        <v>-4.9759054693872359E-2</v>
      </c>
    </row>
    <row r="2709" spans="1:9">
      <c r="A2709" s="90">
        <v>2693</v>
      </c>
      <c r="B2709" s="110">
        <v>1.0939596046293028</v>
      </c>
      <c r="C2709" s="110">
        <v>1.06019956158275</v>
      </c>
      <c r="G2709" s="90">
        <v>2693</v>
      </c>
      <c r="H2709" s="100">
        <v>-3.1346622799264506E-2</v>
      </c>
      <c r="I2709" s="100">
        <v>-4.9757977848197556E-2</v>
      </c>
    </row>
    <row r="2710" spans="1:9">
      <c r="A2710" s="90">
        <v>2694</v>
      </c>
      <c r="B2710" s="110">
        <v>1.1016691264318599</v>
      </c>
      <c r="C2710" s="110">
        <v>1.0631987168044204</v>
      </c>
      <c r="G2710" s="90">
        <v>2694</v>
      </c>
      <c r="H2710" s="100">
        <v>-3.5544395902412672E-2</v>
      </c>
      <c r="I2710" s="100">
        <v>-4.9742265223855678E-2</v>
      </c>
    </row>
    <row r="2711" spans="1:9">
      <c r="A2711" s="90">
        <v>2695</v>
      </c>
      <c r="B2711" s="110">
        <v>1.1015286029146159</v>
      </c>
      <c r="C2711" s="110">
        <v>1.0902370515390793</v>
      </c>
      <c r="G2711" s="90">
        <v>2695</v>
      </c>
      <c r="H2711" s="100">
        <v>-1.0303703090639993E-2</v>
      </c>
      <c r="I2711" s="100">
        <v>-4.9733261974119862E-2</v>
      </c>
    </row>
    <row r="2712" spans="1:9">
      <c r="A2712" s="90">
        <v>2696</v>
      </c>
      <c r="B2712" s="110">
        <v>1.1104487734118205</v>
      </c>
      <c r="C2712" s="110">
        <v>1.0678711397925413</v>
      </c>
      <c r="G2712" s="90">
        <v>2696</v>
      </c>
      <c r="H2712" s="100">
        <v>-3.9097156354313004E-2</v>
      </c>
      <c r="I2712" s="100">
        <v>-4.9733220297016233E-2</v>
      </c>
    </row>
    <row r="2713" spans="1:9">
      <c r="A2713" s="90">
        <v>2697</v>
      </c>
      <c r="B2713" s="110">
        <v>1.1290279384373738</v>
      </c>
      <c r="C2713" s="110">
        <v>1.0506791049572131</v>
      </c>
      <c r="G2713" s="90">
        <v>2697</v>
      </c>
      <c r="H2713" s="100">
        <v>-7.1920309309525893E-2</v>
      </c>
      <c r="I2713" s="100">
        <v>-4.9730892040107541E-2</v>
      </c>
    </row>
    <row r="2714" spans="1:9">
      <c r="A2714" s="90">
        <v>2698</v>
      </c>
      <c r="B2714" s="110">
        <v>1.0986169939640058</v>
      </c>
      <c r="C2714" s="110">
        <v>1.0505918445347369</v>
      </c>
      <c r="G2714" s="90">
        <v>2698</v>
      </c>
      <c r="H2714" s="100">
        <v>-4.4698443718791121E-2</v>
      </c>
      <c r="I2714" s="100">
        <v>-4.9728292291564911E-2</v>
      </c>
    </row>
    <row r="2715" spans="1:9">
      <c r="A2715" s="90">
        <v>2699</v>
      </c>
      <c r="B2715" s="110">
        <v>1.1176689415622316</v>
      </c>
      <c r="C2715" s="110">
        <v>1.0571285823511785</v>
      </c>
      <c r="G2715" s="90">
        <v>2699</v>
      </c>
      <c r="H2715" s="100">
        <v>-5.5688866328751196E-2</v>
      </c>
      <c r="I2715" s="100">
        <v>-4.9683706322444864E-2</v>
      </c>
    </row>
    <row r="2716" spans="1:9">
      <c r="A2716" s="90">
        <v>2700</v>
      </c>
      <c r="B2716" s="110">
        <v>1.1187241221072279</v>
      </c>
      <c r="C2716" s="110">
        <v>1.0414480680330127</v>
      </c>
      <c r="G2716" s="90">
        <v>2700</v>
      </c>
      <c r="H2716" s="100">
        <v>-7.1576741452691245E-2</v>
      </c>
      <c r="I2716" s="100">
        <v>-4.9681734534589447E-2</v>
      </c>
    </row>
    <row r="2717" spans="1:9">
      <c r="A2717" s="90">
        <v>2701</v>
      </c>
      <c r="B2717" s="110">
        <v>1.1015330040547431</v>
      </c>
      <c r="C2717" s="110">
        <v>1.0759341272751823</v>
      </c>
      <c r="G2717" s="90">
        <v>2701</v>
      </c>
      <c r="H2717" s="100">
        <v>-2.3513609778018474E-2</v>
      </c>
      <c r="I2717" s="100">
        <v>-4.9652703206773105E-2</v>
      </c>
    </row>
    <row r="2718" spans="1:9">
      <c r="A2718" s="90">
        <v>2702</v>
      </c>
      <c r="B2718" s="110">
        <v>1.1407910875109468</v>
      </c>
      <c r="C2718" s="110">
        <v>1.0581562501565034</v>
      </c>
      <c r="G2718" s="90">
        <v>2702</v>
      </c>
      <c r="H2718" s="100">
        <v>-7.5193951167198125E-2</v>
      </c>
      <c r="I2718" s="100">
        <v>-4.9650153776414289E-2</v>
      </c>
    </row>
    <row r="2719" spans="1:9">
      <c r="A2719" s="90">
        <v>2703</v>
      </c>
      <c r="B2719" s="110">
        <v>1.1289034499385755</v>
      </c>
      <c r="C2719" s="110">
        <v>1.0601605808458496</v>
      </c>
      <c r="G2719" s="90">
        <v>2703</v>
      </c>
      <c r="H2719" s="100">
        <v>-6.2826375284239455E-2</v>
      </c>
      <c r="I2719" s="100">
        <v>-4.9649597044197705E-2</v>
      </c>
    </row>
    <row r="2720" spans="1:9">
      <c r="A2720" s="90">
        <v>2704</v>
      </c>
      <c r="B2720" s="110">
        <v>1.0807279380031425</v>
      </c>
      <c r="C2720" s="110">
        <v>1.0575249783198246</v>
      </c>
      <c r="G2720" s="90">
        <v>2704</v>
      </c>
      <c r="H2720" s="100">
        <v>-2.1703578938550964E-2</v>
      </c>
      <c r="I2720" s="100">
        <v>-4.9649086500175077E-2</v>
      </c>
    </row>
    <row r="2721" spans="1:9">
      <c r="A2721" s="90">
        <v>2705</v>
      </c>
      <c r="B2721" s="110">
        <v>1.118088537344734</v>
      </c>
      <c r="C2721" s="110">
        <v>1.050896833124261</v>
      </c>
      <c r="G2721" s="90">
        <v>2705</v>
      </c>
      <c r="H2721" s="100">
        <v>-6.1976637817647388E-2</v>
      </c>
      <c r="I2721" s="100">
        <v>-4.9637345685562252E-2</v>
      </c>
    </row>
    <row r="2722" spans="1:9">
      <c r="A2722" s="90">
        <v>2706</v>
      </c>
      <c r="B2722" s="110">
        <v>1.1297047070460904</v>
      </c>
      <c r="C2722" s="110">
        <v>1.0292094512559924</v>
      </c>
      <c r="G2722" s="90">
        <v>2706</v>
      </c>
      <c r="H2722" s="100">
        <v>-9.3165292883273992E-2</v>
      </c>
      <c r="I2722" s="100">
        <v>-4.9635081799677308E-2</v>
      </c>
    </row>
    <row r="2723" spans="1:9">
      <c r="A2723" s="90">
        <v>2707</v>
      </c>
      <c r="B2723" s="110">
        <v>1.1076876035352383</v>
      </c>
      <c r="C2723" s="110">
        <v>1.0547142777099172</v>
      </c>
      <c r="G2723" s="90">
        <v>2707</v>
      </c>
      <c r="H2723" s="100">
        <v>-4.9004698870354357E-2</v>
      </c>
      <c r="I2723" s="100">
        <v>-4.9626637187476993E-2</v>
      </c>
    </row>
    <row r="2724" spans="1:9">
      <c r="A2724" s="90">
        <v>2708</v>
      </c>
      <c r="B2724" s="110">
        <v>1.0969051323634997</v>
      </c>
      <c r="C2724" s="110">
        <v>1.0684588972442843</v>
      </c>
      <c r="G2724" s="90">
        <v>2708</v>
      </c>
      <c r="H2724" s="100">
        <v>-2.6275371075327323E-2</v>
      </c>
      <c r="I2724" s="100">
        <v>-4.9615268380887791E-2</v>
      </c>
    </row>
    <row r="2725" spans="1:9">
      <c r="A2725" s="90">
        <v>2709</v>
      </c>
      <c r="B2725" s="110">
        <v>1.0848532953647718</v>
      </c>
      <c r="C2725" s="110">
        <v>1.0516911815204391</v>
      </c>
      <c r="G2725" s="90">
        <v>2709</v>
      </c>
      <c r="H2725" s="100">
        <v>-3.1045248672727989E-2</v>
      </c>
      <c r="I2725" s="100">
        <v>-4.9611038105435767E-2</v>
      </c>
    </row>
    <row r="2726" spans="1:9">
      <c r="A2726" s="90">
        <v>2710</v>
      </c>
      <c r="B2726" s="110">
        <v>1.0828599247600079</v>
      </c>
      <c r="C2726" s="110">
        <v>1.0557795629203464</v>
      </c>
      <c r="G2726" s="90">
        <v>2710</v>
      </c>
      <c r="H2726" s="100">
        <v>-2.5326203376439458E-2</v>
      </c>
      <c r="I2726" s="100">
        <v>-4.9605112495615278E-2</v>
      </c>
    </row>
    <row r="2727" spans="1:9">
      <c r="A2727" s="90">
        <v>2711</v>
      </c>
      <c r="B2727" s="110">
        <v>1.1061378500115253</v>
      </c>
      <c r="C2727" s="110">
        <v>1.0423650547938246</v>
      </c>
      <c r="G2727" s="90">
        <v>2711</v>
      </c>
      <c r="H2727" s="100">
        <v>-5.9382311210809564E-2</v>
      </c>
      <c r="I2727" s="100">
        <v>-4.9595846170437372E-2</v>
      </c>
    </row>
    <row r="2728" spans="1:9">
      <c r="A2728" s="90">
        <v>2712</v>
      </c>
      <c r="B2728" s="110">
        <v>1.09723815695724</v>
      </c>
      <c r="C2728" s="110">
        <v>1.0557410220202592</v>
      </c>
      <c r="G2728" s="90">
        <v>2712</v>
      </c>
      <c r="H2728" s="100">
        <v>-3.8553345234211299E-2</v>
      </c>
      <c r="I2728" s="100">
        <v>-4.9587703341178208E-2</v>
      </c>
    </row>
    <row r="2729" spans="1:9">
      <c r="A2729" s="90">
        <v>2713</v>
      </c>
      <c r="B2729" s="110">
        <v>1.1429199575446527</v>
      </c>
      <c r="C2729" s="110">
        <v>1.057402797244029</v>
      </c>
      <c r="G2729" s="90">
        <v>2713</v>
      </c>
      <c r="H2729" s="100">
        <v>-7.7770643751804022E-2</v>
      </c>
      <c r="I2729" s="100">
        <v>-4.9585889340913632E-2</v>
      </c>
    </row>
    <row r="2730" spans="1:9">
      <c r="A2730" s="90">
        <v>2714</v>
      </c>
      <c r="B2730" s="110">
        <v>1.0939582003742421</v>
      </c>
      <c r="C2730" s="110">
        <v>1.0806013713954643</v>
      </c>
      <c r="G2730" s="90">
        <v>2714</v>
      </c>
      <c r="H2730" s="100">
        <v>-1.2284783669842748E-2</v>
      </c>
      <c r="I2730" s="100">
        <v>-4.9509698770236872E-2</v>
      </c>
    </row>
    <row r="2731" spans="1:9">
      <c r="A2731" s="90">
        <v>2715</v>
      </c>
      <c r="B2731" s="110">
        <v>1.120578794560571</v>
      </c>
      <c r="C2731" s="110">
        <v>1.0314490513201096</v>
      </c>
      <c r="G2731" s="90">
        <v>2715</v>
      </c>
      <c r="H2731" s="100">
        <v>-8.2880673176596364E-2</v>
      </c>
      <c r="I2731" s="100">
        <v>-4.9504052753926997E-2</v>
      </c>
    </row>
    <row r="2732" spans="1:9">
      <c r="A2732" s="90">
        <v>2716</v>
      </c>
      <c r="B2732" s="110">
        <v>1.1128137841999814</v>
      </c>
      <c r="C2732" s="110">
        <v>1.0499818387151143</v>
      </c>
      <c r="G2732" s="90">
        <v>2716</v>
      </c>
      <c r="H2732" s="100">
        <v>-5.8118880944144365E-2</v>
      </c>
      <c r="I2732" s="100">
        <v>-4.9503386532272327E-2</v>
      </c>
    </row>
    <row r="2733" spans="1:9">
      <c r="A2733" s="90">
        <v>2717</v>
      </c>
      <c r="B2733" s="110">
        <v>1.0880217241753056</v>
      </c>
      <c r="C2733" s="110">
        <v>1.045844514546697</v>
      </c>
      <c r="G2733" s="90">
        <v>2717</v>
      </c>
      <c r="H2733" s="100">
        <v>-3.9536408374631592E-2</v>
      </c>
      <c r="I2733" s="100">
        <v>-4.9503259697537619E-2</v>
      </c>
    </row>
    <row r="2734" spans="1:9">
      <c r="A2734" s="90">
        <v>2718</v>
      </c>
      <c r="B2734" s="110">
        <v>1.081854626696481</v>
      </c>
      <c r="C2734" s="110">
        <v>1.0484268722103207</v>
      </c>
      <c r="G2734" s="90">
        <v>2718</v>
      </c>
      <c r="H2734" s="100">
        <v>-3.1385991517009784E-2</v>
      </c>
      <c r="I2734" s="100">
        <v>-4.9495484942276929E-2</v>
      </c>
    </row>
    <row r="2735" spans="1:9">
      <c r="A2735" s="90">
        <v>2719</v>
      </c>
      <c r="B2735" s="110">
        <v>1.1089712698267558</v>
      </c>
      <c r="C2735" s="110">
        <v>1.0401785559228289</v>
      </c>
      <c r="G2735" s="90">
        <v>2719</v>
      </c>
      <c r="H2735" s="100">
        <v>-6.4040414850763561E-2</v>
      </c>
      <c r="I2735" s="100">
        <v>-4.9483816771259036E-2</v>
      </c>
    </row>
    <row r="2736" spans="1:9">
      <c r="A2736" s="90">
        <v>2720</v>
      </c>
      <c r="B2736" s="110">
        <v>1.1180297634381098</v>
      </c>
      <c r="C2736" s="110">
        <v>1.0281890604561033</v>
      </c>
      <c r="G2736" s="90">
        <v>2720</v>
      </c>
      <c r="H2736" s="100">
        <v>-8.3768935343267917E-2</v>
      </c>
      <c r="I2736" s="100">
        <v>-4.9465957987019714E-2</v>
      </c>
    </row>
    <row r="2737" spans="1:9">
      <c r="A2737" s="90">
        <v>2721</v>
      </c>
      <c r="B2737" s="110">
        <v>1.121097657685771</v>
      </c>
      <c r="C2737" s="110">
        <v>1.0555071422298747</v>
      </c>
      <c r="G2737" s="90">
        <v>2721</v>
      </c>
      <c r="H2737" s="100">
        <v>-6.0286901912704499E-2</v>
      </c>
      <c r="I2737" s="100">
        <v>-4.9437001737458852E-2</v>
      </c>
    </row>
    <row r="2738" spans="1:9">
      <c r="A2738" s="90">
        <v>2722</v>
      </c>
      <c r="B2738" s="110">
        <v>1.089835493875013</v>
      </c>
      <c r="C2738" s="110">
        <v>1.071643896233855</v>
      </c>
      <c r="G2738" s="90">
        <v>2722</v>
      </c>
      <c r="H2738" s="100">
        <v>-1.6832940687088509E-2</v>
      </c>
      <c r="I2738" s="100">
        <v>-4.9436508389270654E-2</v>
      </c>
    </row>
    <row r="2739" spans="1:9">
      <c r="A2739" s="90">
        <v>2723</v>
      </c>
      <c r="B2739" s="110">
        <v>1.1115517718039831</v>
      </c>
      <c r="C2739" s="110">
        <v>1.047259637238807</v>
      </c>
      <c r="G2739" s="90">
        <v>2723</v>
      </c>
      <c r="H2739" s="100">
        <v>-5.9580148431624423E-2</v>
      </c>
      <c r="I2739" s="100">
        <v>-4.9431345666637004E-2</v>
      </c>
    </row>
    <row r="2740" spans="1:9">
      <c r="A2740" s="90">
        <v>2724</v>
      </c>
      <c r="B2740" s="110">
        <v>1.1189287715926743</v>
      </c>
      <c r="C2740" s="110">
        <v>1.0551274607132093</v>
      </c>
      <c r="G2740" s="90">
        <v>2724</v>
      </c>
      <c r="H2740" s="100">
        <v>-5.8710198205672325E-2</v>
      </c>
      <c r="I2740" s="100">
        <v>-4.9412013744241402E-2</v>
      </c>
    </row>
    <row r="2741" spans="1:9">
      <c r="A2741" s="90">
        <v>2725</v>
      </c>
      <c r="B2741" s="110">
        <v>1.0842779550520585</v>
      </c>
      <c r="C2741" s="110">
        <v>1.0615327427720032</v>
      </c>
      <c r="G2741" s="90">
        <v>2725</v>
      </c>
      <c r="H2741" s="100">
        <v>-2.1200438804804055E-2</v>
      </c>
      <c r="I2741" s="100">
        <v>-4.9410486197801862E-2</v>
      </c>
    </row>
    <row r="2742" spans="1:9">
      <c r="A2742" s="90">
        <v>2726</v>
      </c>
      <c r="B2742" s="110">
        <v>1.1170420540057269</v>
      </c>
      <c r="C2742" s="110">
        <v>1.044227924410069</v>
      </c>
      <c r="G2742" s="90">
        <v>2726</v>
      </c>
      <c r="H2742" s="100">
        <v>-6.7406384410562362E-2</v>
      </c>
      <c r="I2742" s="100">
        <v>-4.9408794699183661E-2</v>
      </c>
    </row>
    <row r="2743" spans="1:9">
      <c r="A2743" s="90">
        <v>2727</v>
      </c>
      <c r="B2743" s="110">
        <v>1.1355739101447078</v>
      </c>
      <c r="C2743" s="110">
        <v>1.0467878627953735</v>
      </c>
      <c r="G2743" s="90">
        <v>2727</v>
      </c>
      <c r="H2743" s="100">
        <v>-8.1411873812955199E-2</v>
      </c>
      <c r="I2743" s="100">
        <v>-4.9400373449194582E-2</v>
      </c>
    </row>
    <row r="2744" spans="1:9">
      <c r="A2744" s="90">
        <v>2728</v>
      </c>
      <c r="B2744" s="110">
        <v>1.1316970232300385</v>
      </c>
      <c r="C2744" s="110">
        <v>1.0618483167312096</v>
      </c>
      <c r="G2744" s="90">
        <v>2728</v>
      </c>
      <c r="H2744" s="100">
        <v>-6.3707211951614648E-2</v>
      </c>
      <c r="I2744" s="100">
        <v>-4.9395266322095732E-2</v>
      </c>
    </row>
    <row r="2745" spans="1:9">
      <c r="A2745" s="90">
        <v>2729</v>
      </c>
      <c r="B2745" s="110">
        <v>1.1248020857254308</v>
      </c>
      <c r="C2745" s="110">
        <v>1.0373326182737117</v>
      </c>
      <c r="G2745" s="90">
        <v>2729</v>
      </c>
      <c r="H2745" s="100">
        <v>-8.0954468057389845E-2</v>
      </c>
      <c r="I2745" s="100">
        <v>-4.9378523600803977E-2</v>
      </c>
    </row>
    <row r="2746" spans="1:9">
      <c r="A2746" s="90">
        <v>2730</v>
      </c>
      <c r="B2746" s="110">
        <v>1.1063746910977745</v>
      </c>
      <c r="C2746" s="110">
        <v>1.0598679767583836</v>
      </c>
      <c r="G2746" s="90">
        <v>2730</v>
      </c>
      <c r="H2746" s="100">
        <v>-4.2944275965751101E-2</v>
      </c>
      <c r="I2746" s="100">
        <v>-4.9372490534743428E-2</v>
      </c>
    </row>
    <row r="2747" spans="1:9">
      <c r="A2747" s="90">
        <v>2731</v>
      </c>
      <c r="B2747" s="110">
        <v>1.1397895485815179</v>
      </c>
      <c r="C2747" s="110">
        <v>1.0611914215108453</v>
      </c>
      <c r="G2747" s="90">
        <v>2731</v>
      </c>
      <c r="H2747" s="100">
        <v>-7.1451379371178431E-2</v>
      </c>
      <c r="I2747" s="100">
        <v>-4.930898886774758E-2</v>
      </c>
    </row>
    <row r="2748" spans="1:9">
      <c r="A2748" s="90">
        <v>2732</v>
      </c>
      <c r="B2748" s="110">
        <v>1.1152834519247217</v>
      </c>
      <c r="C2748" s="110">
        <v>1.0518193999936292</v>
      </c>
      <c r="G2748" s="90">
        <v>2732</v>
      </c>
      <c r="H2748" s="100">
        <v>-5.8587163009105298E-2</v>
      </c>
      <c r="I2748" s="100">
        <v>-4.9292998811397364E-2</v>
      </c>
    </row>
    <row r="2749" spans="1:9">
      <c r="A2749" s="90">
        <v>2733</v>
      </c>
      <c r="B2749" s="110">
        <v>1.1352399550223919</v>
      </c>
      <c r="C2749" s="110">
        <v>1.0418341733997725</v>
      </c>
      <c r="G2749" s="90">
        <v>2733</v>
      </c>
      <c r="H2749" s="100">
        <v>-8.5861254649132537E-2</v>
      </c>
      <c r="I2749" s="100">
        <v>-4.9286901186286043E-2</v>
      </c>
    </row>
    <row r="2750" spans="1:9">
      <c r="A2750" s="90">
        <v>2734</v>
      </c>
      <c r="B2750" s="110">
        <v>1.1136674879270225</v>
      </c>
      <c r="C2750" s="110">
        <v>1.0379245786688116</v>
      </c>
      <c r="G2750" s="90">
        <v>2734</v>
      </c>
      <c r="H2750" s="100">
        <v>-7.0435490282629284E-2</v>
      </c>
      <c r="I2750" s="100">
        <v>-4.927669769214852E-2</v>
      </c>
    </row>
    <row r="2751" spans="1:9">
      <c r="A2751" s="90">
        <v>2735</v>
      </c>
      <c r="B2751" s="110">
        <v>1.1187640968550407</v>
      </c>
      <c r="C2751" s="110">
        <v>1.0554750569970566</v>
      </c>
      <c r="G2751" s="90">
        <v>2735</v>
      </c>
      <c r="H2751" s="100">
        <v>-5.8233634498425238E-2</v>
      </c>
      <c r="I2751" s="100">
        <v>-4.9271652123661927E-2</v>
      </c>
    </row>
    <row r="2752" spans="1:9">
      <c r="A2752" s="90">
        <v>2736</v>
      </c>
      <c r="B2752" s="110">
        <v>1.0899551044594551</v>
      </c>
      <c r="C2752" s="110">
        <v>1.0441543708694834</v>
      </c>
      <c r="G2752" s="90">
        <v>2736</v>
      </c>
      <c r="H2752" s="100">
        <v>-4.2929163476437437E-2</v>
      </c>
      <c r="I2752" s="100">
        <v>-4.9255929206580805E-2</v>
      </c>
    </row>
    <row r="2753" spans="1:9">
      <c r="A2753" s="90">
        <v>2737</v>
      </c>
      <c r="B2753" s="110">
        <v>1.1379101174135233</v>
      </c>
      <c r="C2753" s="110">
        <v>1.0339559471218107</v>
      </c>
      <c r="G2753" s="90">
        <v>2737</v>
      </c>
      <c r="H2753" s="100">
        <v>-9.5801178796447867E-2</v>
      </c>
      <c r="I2753" s="100">
        <v>-4.9239388838898043E-2</v>
      </c>
    </row>
    <row r="2754" spans="1:9">
      <c r="A2754" s="90">
        <v>2738</v>
      </c>
      <c r="B2754" s="110">
        <v>1.1322385997952547</v>
      </c>
      <c r="C2754" s="110">
        <v>1.0550926741217397</v>
      </c>
      <c r="G2754" s="90">
        <v>2738</v>
      </c>
      <c r="H2754" s="100">
        <v>-7.0568128935384569E-2</v>
      </c>
      <c r="I2754" s="100">
        <v>-4.9228180388920469E-2</v>
      </c>
    </row>
    <row r="2755" spans="1:9">
      <c r="A2755" s="90">
        <v>2739</v>
      </c>
      <c r="B2755" s="110">
        <v>1.1340570659997402</v>
      </c>
      <c r="C2755" s="110">
        <v>1.0560998802564787</v>
      </c>
      <c r="G2755" s="90">
        <v>2739</v>
      </c>
      <c r="H2755" s="100">
        <v>-7.1218762402970565E-2</v>
      </c>
      <c r="I2755" s="100">
        <v>-4.9219730702199732E-2</v>
      </c>
    </row>
    <row r="2756" spans="1:9">
      <c r="A2756" s="90">
        <v>2740</v>
      </c>
      <c r="B2756" s="110">
        <v>1.1024883166669734</v>
      </c>
      <c r="C2756" s="110">
        <v>1.0463833881788136</v>
      </c>
      <c r="G2756" s="90">
        <v>2740</v>
      </c>
      <c r="H2756" s="100">
        <v>-5.2229904771846053E-2</v>
      </c>
      <c r="I2756" s="100">
        <v>-4.9216777866393398E-2</v>
      </c>
    </row>
    <row r="2757" spans="1:9">
      <c r="A2757" s="90">
        <v>2741</v>
      </c>
      <c r="B2757" s="110">
        <v>1.1001861183110988</v>
      </c>
      <c r="C2757" s="110">
        <v>1.0671865022007712</v>
      </c>
      <c r="G2757" s="90">
        <v>2741</v>
      </c>
      <c r="H2757" s="100">
        <v>-3.0453615720122559E-2</v>
      </c>
      <c r="I2757" s="100">
        <v>-4.9209341685213008E-2</v>
      </c>
    </row>
    <row r="2758" spans="1:9">
      <c r="A2758" s="90">
        <v>2742</v>
      </c>
      <c r="B2758" s="110">
        <v>1.1163638579031117</v>
      </c>
      <c r="C2758" s="110">
        <v>1.0575801346894949</v>
      </c>
      <c r="G2758" s="90">
        <v>2742</v>
      </c>
      <c r="H2758" s="100">
        <v>-5.4093441816535581E-2</v>
      </c>
      <c r="I2758" s="100">
        <v>-4.9204086790676532E-2</v>
      </c>
    </row>
    <row r="2759" spans="1:9">
      <c r="A2759" s="90">
        <v>2743</v>
      </c>
      <c r="B2759" s="110">
        <v>1.0944048465323506</v>
      </c>
      <c r="C2759" s="110">
        <v>1.0455546870004861</v>
      </c>
      <c r="G2759" s="90">
        <v>2743</v>
      </c>
      <c r="H2759" s="100">
        <v>-4.5663150810670391E-2</v>
      </c>
      <c r="I2759" s="100">
        <v>-4.9195817569053564E-2</v>
      </c>
    </row>
    <row r="2760" spans="1:9">
      <c r="A2760" s="90">
        <v>2744</v>
      </c>
      <c r="B2760" s="110">
        <v>1.1214536916963782</v>
      </c>
      <c r="C2760" s="110">
        <v>1.0630441904302372</v>
      </c>
      <c r="G2760" s="90">
        <v>2744</v>
      </c>
      <c r="H2760" s="100">
        <v>-5.3489112801049364E-2</v>
      </c>
      <c r="I2760" s="100">
        <v>-4.9192741597417974E-2</v>
      </c>
    </row>
    <row r="2761" spans="1:9">
      <c r="A2761" s="90">
        <v>2745</v>
      </c>
      <c r="B2761" s="110">
        <v>1.0941773734790279</v>
      </c>
      <c r="C2761" s="110">
        <v>1.0561410039713774</v>
      </c>
      <c r="G2761" s="90">
        <v>2745</v>
      </c>
      <c r="H2761" s="100">
        <v>-3.5381120978411666E-2</v>
      </c>
      <c r="I2761" s="100">
        <v>-4.9190686131544786E-2</v>
      </c>
    </row>
    <row r="2762" spans="1:9">
      <c r="A2762" s="90">
        <v>2746</v>
      </c>
      <c r="B2762" s="110">
        <v>1.1018535828854972</v>
      </c>
      <c r="C2762" s="110">
        <v>1.053991913532627</v>
      </c>
      <c r="G2762" s="90">
        <v>2746</v>
      </c>
      <c r="H2762" s="100">
        <v>-4.4409059088651295E-2</v>
      </c>
      <c r="I2762" s="100">
        <v>-4.9185838709917322E-2</v>
      </c>
    </row>
    <row r="2763" spans="1:9">
      <c r="A2763" s="90">
        <v>2747</v>
      </c>
      <c r="B2763" s="110">
        <v>1.1010732910096492</v>
      </c>
      <c r="C2763" s="110">
        <v>1.0657401944611593</v>
      </c>
      <c r="G2763" s="90">
        <v>2747</v>
      </c>
      <c r="H2763" s="100">
        <v>-3.2615847178107442E-2</v>
      </c>
      <c r="I2763" s="100">
        <v>-4.9179514040031104E-2</v>
      </c>
    </row>
    <row r="2764" spans="1:9">
      <c r="A2764" s="90">
        <v>2748</v>
      </c>
      <c r="B2764" s="110">
        <v>1.1442310676178091</v>
      </c>
      <c r="C2764" s="110">
        <v>1.0632314688546172</v>
      </c>
      <c r="G2764" s="90">
        <v>2748</v>
      </c>
      <c r="H2764" s="100">
        <v>-7.3420028520970321E-2</v>
      </c>
      <c r="I2764" s="100">
        <v>-4.9176083739745614E-2</v>
      </c>
    </row>
    <row r="2765" spans="1:9">
      <c r="A2765" s="90">
        <v>2749</v>
      </c>
      <c r="B2765" s="110">
        <v>1.111581361752225</v>
      </c>
      <c r="C2765" s="110">
        <v>1.0553322595571633</v>
      </c>
      <c r="G2765" s="90">
        <v>2749</v>
      </c>
      <c r="H2765" s="100">
        <v>-5.1927996385792756E-2</v>
      </c>
      <c r="I2765" s="100">
        <v>-4.9165538170327226E-2</v>
      </c>
    </row>
    <row r="2766" spans="1:9">
      <c r="A2766" s="90">
        <v>2750</v>
      </c>
      <c r="B2766" s="110">
        <v>1.1053042367291073</v>
      </c>
      <c r="C2766" s="110">
        <v>1.0343736219478386</v>
      </c>
      <c r="G2766" s="90">
        <v>2750</v>
      </c>
      <c r="H2766" s="100">
        <v>-6.6324577104216104E-2</v>
      </c>
      <c r="I2766" s="100">
        <v>-4.9150907183606249E-2</v>
      </c>
    </row>
    <row r="2767" spans="1:9">
      <c r="A2767" s="90">
        <v>2751</v>
      </c>
      <c r="B2767" s="110">
        <v>1.1019262209614222</v>
      </c>
      <c r="C2767" s="110">
        <v>1.056180526997718</v>
      </c>
      <c r="G2767" s="90">
        <v>2751</v>
      </c>
      <c r="H2767" s="100">
        <v>-4.2400634094219125E-2</v>
      </c>
      <c r="I2767" s="100">
        <v>-4.9145090082332941E-2</v>
      </c>
    </row>
    <row r="2768" spans="1:9">
      <c r="A2768" s="90">
        <v>2752</v>
      </c>
      <c r="B2768" s="110">
        <v>1.1015084301931248</v>
      </c>
      <c r="C2768" s="110">
        <v>1.050653267945016</v>
      </c>
      <c r="G2768" s="90">
        <v>2752</v>
      </c>
      <c r="H2768" s="100">
        <v>-4.7268409950679866E-2</v>
      </c>
      <c r="I2768" s="100">
        <v>-4.9144745579575135E-2</v>
      </c>
    </row>
    <row r="2769" spans="1:9">
      <c r="A2769" s="90">
        <v>2753</v>
      </c>
      <c r="B2769" s="110">
        <v>1.0996238342474112</v>
      </c>
      <c r="C2769" s="110">
        <v>1.0404903619338866</v>
      </c>
      <c r="G2769" s="90">
        <v>2753</v>
      </c>
      <c r="H2769" s="100">
        <v>-5.5276048562934728E-2</v>
      </c>
      <c r="I2769" s="100">
        <v>-4.9140572823836513E-2</v>
      </c>
    </row>
    <row r="2770" spans="1:9">
      <c r="A2770" s="90">
        <v>2754</v>
      </c>
      <c r="B2770" s="110">
        <v>1.1051418728500804</v>
      </c>
      <c r="C2770" s="110">
        <v>1.0455746849728562</v>
      </c>
      <c r="G2770" s="90">
        <v>2754</v>
      </c>
      <c r="H2770" s="100">
        <v>-5.5407046418252462E-2</v>
      </c>
      <c r="I2770" s="100">
        <v>-4.9131611112662836E-2</v>
      </c>
    </row>
    <row r="2771" spans="1:9">
      <c r="A2771" s="90">
        <v>2755</v>
      </c>
      <c r="B2771" s="110">
        <v>1.0941460489354609</v>
      </c>
      <c r="C2771" s="110">
        <v>1.0559723374564727</v>
      </c>
      <c r="G2771" s="90">
        <v>2755</v>
      </c>
      <c r="H2771" s="100">
        <v>-3.5512205679973818E-2</v>
      </c>
      <c r="I2771" s="100">
        <v>-4.9125654493513853E-2</v>
      </c>
    </row>
    <row r="2772" spans="1:9">
      <c r="A2772" s="90">
        <v>2756</v>
      </c>
      <c r="B2772" s="110">
        <v>1.1038853171345659</v>
      </c>
      <c r="C2772" s="110">
        <v>1.0796760273395503</v>
      </c>
      <c r="G2772" s="90">
        <v>2756</v>
      </c>
      <c r="H2772" s="100">
        <v>-2.2175041602847223E-2</v>
      </c>
      <c r="I2772" s="100">
        <v>-4.9123515801469883E-2</v>
      </c>
    </row>
    <row r="2773" spans="1:9">
      <c r="A2773" s="90">
        <v>2757</v>
      </c>
      <c r="B2773" s="110">
        <v>1.1238911030593643</v>
      </c>
      <c r="C2773" s="110">
        <v>1.0580118603730346</v>
      </c>
      <c r="G2773" s="90">
        <v>2757</v>
      </c>
      <c r="H2773" s="100">
        <v>-6.0405319823131236E-2</v>
      </c>
      <c r="I2773" s="100">
        <v>-4.911208012312572E-2</v>
      </c>
    </row>
    <row r="2774" spans="1:9">
      <c r="A2774" s="90">
        <v>2758</v>
      </c>
      <c r="B2774" s="110">
        <v>1.0928547983214607</v>
      </c>
      <c r="C2774" s="110">
        <v>1.0523826628924091</v>
      </c>
      <c r="G2774" s="90">
        <v>2758</v>
      </c>
      <c r="H2774" s="100">
        <v>-3.7736557282221327E-2</v>
      </c>
      <c r="I2774" s="100">
        <v>-4.9111110150745069E-2</v>
      </c>
    </row>
    <row r="2775" spans="1:9">
      <c r="A2775" s="90">
        <v>2759</v>
      </c>
      <c r="B2775" s="110">
        <v>1.0954984925039086</v>
      </c>
      <c r="C2775" s="110">
        <v>1.0653725700505055</v>
      </c>
      <c r="G2775" s="90">
        <v>2759</v>
      </c>
      <c r="H2775" s="100">
        <v>-2.7884934953907176E-2</v>
      </c>
      <c r="I2775" s="100">
        <v>-4.9110408513060838E-2</v>
      </c>
    </row>
    <row r="2776" spans="1:9">
      <c r="A2776" s="90">
        <v>2760</v>
      </c>
      <c r="B2776" s="110">
        <v>1.0989525420538089</v>
      </c>
      <c r="C2776" s="110">
        <v>1.0611726594385757</v>
      </c>
      <c r="G2776" s="90">
        <v>2760</v>
      </c>
      <c r="H2776" s="100">
        <v>-3.4982912510837523E-2</v>
      </c>
      <c r="I2776" s="100">
        <v>-4.9091166085241465E-2</v>
      </c>
    </row>
    <row r="2777" spans="1:9">
      <c r="A2777" s="90">
        <v>2761</v>
      </c>
      <c r="B2777" s="110">
        <v>1.1329522770979836</v>
      </c>
      <c r="C2777" s="110">
        <v>1.0442785982403704</v>
      </c>
      <c r="G2777" s="90">
        <v>2761</v>
      </c>
      <c r="H2777" s="100">
        <v>-8.1500549914677256E-2</v>
      </c>
      <c r="I2777" s="100">
        <v>-4.9081658617147951E-2</v>
      </c>
    </row>
    <row r="2778" spans="1:9">
      <c r="A2778" s="90">
        <v>2762</v>
      </c>
      <c r="B2778" s="110">
        <v>1.1142297192954964</v>
      </c>
      <c r="C2778" s="110">
        <v>1.0619598517367761</v>
      </c>
      <c r="G2778" s="90">
        <v>2762</v>
      </c>
      <c r="H2778" s="100">
        <v>-4.8047213749104797E-2</v>
      </c>
      <c r="I2778" s="100">
        <v>-4.9076281389994661E-2</v>
      </c>
    </row>
    <row r="2779" spans="1:9">
      <c r="A2779" s="90">
        <v>2763</v>
      </c>
      <c r="B2779" s="110">
        <v>1.1099446546842324</v>
      </c>
      <c r="C2779" s="110">
        <v>1.0578024508128143</v>
      </c>
      <c r="G2779" s="90">
        <v>2763</v>
      </c>
      <c r="H2779" s="100">
        <v>-4.8116556893052186E-2</v>
      </c>
      <c r="I2779" s="100">
        <v>-4.9076180906660896E-2</v>
      </c>
    </row>
    <row r="2780" spans="1:9">
      <c r="A2780" s="90">
        <v>2764</v>
      </c>
      <c r="B2780" s="110">
        <v>1.1065601820247459</v>
      </c>
      <c r="C2780" s="110">
        <v>1.0512538407144063</v>
      </c>
      <c r="G2780" s="90">
        <v>2764</v>
      </c>
      <c r="H2780" s="100">
        <v>-5.1272682796550215E-2</v>
      </c>
      <c r="I2780" s="100">
        <v>-4.9075417220614231E-2</v>
      </c>
    </row>
    <row r="2781" spans="1:9">
      <c r="A2781" s="90">
        <v>2765</v>
      </c>
      <c r="B2781" s="110">
        <v>1.1241943883673424</v>
      </c>
      <c r="C2781" s="110">
        <v>1.0774605800167201</v>
      </c>
      <c r="G2781" s="90">
        <v>2765</v>
      </c>
      <c r="H2781" s="100">
        <v>-4.2459722250558156E-2</v>
      </c>
      <c r="I2781" s="100">
        <v>-4.9049344124279574E-2</v>
      </c>
    </row>
    <row r="2782" spans="1:9">
      <c r="A2782" s="90">
        <v>2766</v>
      </c>
      <c r="B2782" s="110">
        <v>1.0689758840790793</v>
      </c>
      <c r="C2782" s="110">
        <v>1.0664018688104886</v>
      </c>
      <c r="G2782" s="90">
        <v>2766</v>
      </c>
      <c r="H2782" s="100">
        <v>-2.4108301323366704E-3</v>
      </c>
      <c r="I2782" s="100">
        <v>-4.9044165406808088E-2</v>
      </c>
    </row>
    <row r="2783" spans="1:9">
      <c r="A2783" s="90">
        <v>2767</v>
      </c>
      <c r="B2783" s="110">
        <v>1.1005414936309845</v>
      </c>
      <c r="C2783" s="110">
        <v>1.042384440181138</v>
      </c>
      <c r="G2783" s="90">
        <v>2767</v>
      </c>
      <c r="H2783" s="100">
        <v>-5.4291505818430029E-2</v>
      </c>
      <c r="I2783" s="100">
        <v>-4.9029957279539078E-2</v>
      </c>
    </row>
    <row r="2784" spans="1:9">
      <c r="A2784" s="90">
        <v>2768</v>
      </c>
      <c r="B2784" s="110">
        <v>1.1220223582168367</v>
      </c>
      <c r="C2784" s="110">
        <v>1.0571420817130166</v>
      </c>
      <c r="G2784" s="90">
        <v>2768</v>
      </c>
      <c r="H2784" s="100">
        <v>-5.9563616371614767E-2</v>
      </c>
      <c r="I2784" s="100">
        <v>-4.9025800513029995E-2</v>
      </c>
    </row>
    <row r="2785" spans="1:9">
      <c r="A2785" s="90">
        <v>2769</v>
      </c>
      <c r="B2785" s="110">
        <v>1.1112484056815339</v>
      </c>
      <c r="C2785" s="110">
        <v>1.0427282281533452</v>
      </c>
      <c r="G2785" s="90">
        <v>2769</v>
      </c>
      <c r="H2785" s="100">
        <v>-6.3643498519084171E-2</v>
      </c>
      <c r="I2785" s="100">
        <v>-4.9015869352650621E-2</v>
      </c>
    </row>
    <row r="2786" spans="1:9">
      <c r="A2786" s="90">
        <v>2770</v>
      </c>
      <c r="B2786" s="110">
        <v>1.1440681803015995</v>
      </c>
      <c r="C2786" s="110">
        <v>1.0528746777182698</v>
      </c>
      <c r="G2786" s="90">
        <v>2770</v>
      </c>
      <c r="H2786" s="100">
        <v>-8.3066277790954768E-2</v>
      </c>
      <c r="I2786" s="100">
        <v>-4.9014364790645262E-2</v>
      </c>
    </row>
    <row r="2787" spans="1:9">
      <c r="A2787" s="90">
        <v>2771</v>
      </c>
      <c r="B2787" s="110">
        <v>1.1268566083104441</v>
      </c>
      <c r="C2787" s="110">
        <v>1.0739450300513791</v>
      </c>
      <c r="G2787" s="90">
        <v>2771</v>
      </c>
      <c r="H2787" s="100">
        <v>-4.8093181546072283E-2</v>
      </c>
      <c r="I2787" s="100">
        <v>-4.9014357154954738E-2</v>
      </c>
    </row>
    <row r="2788" spans="1:9">
      <c r="A2788" s="90">
        <v>2772</v>
      </c>
      <c r="B2788" s="110">
        <v>1.0784568249824535</v>
      </c>
      <c r="C2788" s="110">
        <v>1.0440758971047064</v>
      </c>
      <c r="G2788" s="90">
        <v>2772</v>
      </c>
      <c r="H2788" s="100">
        <v>-3.2398968382800084E-2</v>
      </c>
      <c r="I2788" s="100">
        <v>-4.9004698870354357E-2</v>
      </c>
    </row>
    <row r="2789" spans="1:9">
      <c r="A2789" s="90">
        <v>2773</v>
      </c>
      <c r="B2789" s="110">
        <v>1.1267279183058425</v>
      </c>
      <c r="C2789" s="110">
        <v>1.0641430370880605</v>
      </c>
      <c r="G2789" s="90">
        <v>2773</v>
      </c>
      <c r="H2789" s="100">
        <v>-5.7147969471750923E-2</v>
      </c>
      <c r="I2789" s="100">
        <v>-4.8985163316393458E-2</v>
      </c>
    </row>
    <row r="2790" spans="1:9">
      <c r="A2790" s="90">
        <v>2774</v>
      </c>
      <c r="B2790" s="110">
        <v>1.1173754192582521</v>
      </c>
      <c r="C2790" s="110">
        <v>1.0652593838396072</v>
      </c>
      <c r="G2790" s="90">
        <v>2774</v>
      </c>
      <c r="H2790" s="100">
        <v>-4.776423723471452E-2</v>
      </c>
      <c r="I2790" s="100">
        <v>-4.8984208564293072E-2</v>
      </c>
    </row>
    <row r="2791" spans="1:9">
      <c r="A2791" s="90">
        <v>2775</v>
      </c>
      <c r="B2791" s="110">
        <v>1.1112643311915258</v>
      </c>
      <c r="C2791" s="110">
        <v>1.0520773651708979</v>
      </c>
      <c r="G2791" s="90">
        <v>2775</v>
      </c>
      <c r="H2791" s="100">
        <v>-5.4731751574650524E-2</v>
      </c>
      <c r="I2791" s="100">
        <v>-4.8968532539231883E-2</v>
      </c>
    </row>
    <row r="2792" spans="1:9">
      <c r="A2792" s="90">
        <v>2776</v>
      </c>
      <c r="B2792" s="110">
        <v>1.1381042595182431</v>
      </c>
      <c r="C2792" s="110">
        <v>1.0446070174249398</v>
      </c>
      <c r="G2792" s="90">
        <v>2776</v>
      </c>
      <c r="H2792" s="100">
        <v>-8.5723193147892493E-2</v>
      </c>
      <c r="I2792" s="100">
        <v>-4.8956767318908988E-2</v>
      </c>
    </row>
    <row r="2793" spans="1:9">
      <c r="A2793" s="90">
        <v>2777</v>
      </c>
      <c r="B2793" s="110">
        <v>1.103621775637059</v>
      </c>
      <c r="C2793" s="110">
        <v>1.0461548865283927</v>
      </c>
      <c r="G2793" s="90">
        <v>2777</v>
      </c>
      <c r="H2793" s="100">
        <v>-5.3475864868695891E-2</v>
      </c>
      <c r="I2793" s="100">
        <v>-4.8950478465317492E-2</v>
      </c>
    </row>
    <row r="2794" spans="1:9">
      <c r="A2794" s="90">
        <v>2778</v>
      </c>
      <c r="B2794" s="110">
        <v>1.1222975322772633</v>
      </c>
      <c r="C2794" s="110">
        <v>1.0632008281121008</v>
      </c>
      <c r="G2794" s="90">
        <v>2778</v>
      </c>
      <c r="H2794" s="100">
        <v>-5.4093944926123134E-2</v>
      </c>
      <c r="I2794" s="100">
        <v>-4.8945527170589594E-2</v>
      </c>
    </row>
    <row r="2795" spans="1:9">
      <c r="A2795" s="90">
        <v>2779</v>
      </c>
      <c r="B2795" s="110">
        <v>1.0950540602732863</v>
      </c>
      <c r="C2795" s="110">
        <v>1.0647107843542518</v>
      </c>
      <c r="G2795" s="90">
        <v>2779</v>
      </c>
      <c r="H2795" s="100">
        <v>-2.8100533867796509E-2</v>
      </c>
      <c r="I2795" s="100">
        <v>-4.8942769020429829E-2</v>
      </c>
    </row>
    <row r="2796" spans="1:9">
      <c r="A2796" s="90">
        <v>2780</v>
      </c>
      <c r="B2796" s="110">
        <v>1.0969210914946534</v>
      </c>
      <c r="C2796" s="110">
        <v>1.0564158231189553</v>
      </c>
      <c r="G2796" s="90">
        <v>2780</v>
      </c>
      <c r="H2796" s="100">
        <v>-3.7625367855899296E-2</v>
      </c>
      <c r="I2796" s="100">
        <v>-4.8939081869788653E-2</v>
      </c>
    </row>
    <row r="2797" spans="1:9">
      <c r="A2797" s="90">
        <v>2781</v>
      </c>
      <c r="B2797" s="110">
        <v>1.1265963834201111</v>
      </c>
      <c r="C2797" s="110">
        <v>1.0508867710560603</v>
      </c>
      <c r="G2797" s="90">
        <v>2781</v>
      </c>
      <c r="H2797" s="100">
        <v>-6.9566685695380173E-2</v>
      </c>
      <c r="I2797" s="100">
        <v>-4.8917867299079071E-2</v>
      </c>
    </row>
    <row r="2798" spans="1:9">
      <c r="A2798" s="90">
        <v>2782</v>
      </c>
      <c r="B2798" s="110">
        <v>1.1466245735287381</v>
      </c>
      <c r="C2798" s="110">
        <v>1.0477776884430792</v>
      </c>
      <c r="G2798" s="90">
        <v>2782</v>
      </c>
      <c r="H2798" s="100">
        <v>-9.0151038863455185E-2</v>
      </c>
      <c r="I2798" s="100">
        <v>-4.8917141070670793E-2</v>
      </c>
    </row>
    <row r="2799" spans="1:9">
      <c r="A2799" s="90">
        <v>2783</v>
      </c>
      <c r="B2799" s="110">
        <v>1.0864362101127658</v>
      </c>
      <c r="C2799" s="110">
        <v>1.0720978681709066</v>
      </c>
      <c r="G2799" s="90">
        <v>2783</v>
      </c>
      <c r="H2799" s="100">
        <v>-1.328545421871522E-2</v>
      </c>
      <c r="I2799" s="100">
        <v>-4.8901264975051616E-2</v>
      </c>
    </row>
    <row r="2800" spans="1:9">
      <c r="A2800" s="90">
        <v>2784</v>
      </c>
      <c r="B2800" s="110">
        <v>1.1249328244221597</v>
      </c>
      <c r="C2800" s="110">
        <v>1.059489909754779</v>
      </c>
      <c r="G2800" s="90">
        <v>2784</v>
      </c>
      <c r="H2800" s="100">
        <v>-5.9935747159484791E-2</v>
      </c>
      <c r="I2800" s="100">
        <v>-4.8896014323236703E-2</v>
      </c>
    </row>
    <row r="2801" spans="1:9">
      <c r="A2801" s="90">
        <v>2785</v>
      </c>
      <c r="B2801" s="110">
        <v>1.1185925373512342</v>
      </c>
      <c r="C2801" s="110">
        <v>1.0559449922990516</v>
      </c>
      <c r="G2801" s="90">
        <v>2785</v>
      </c>
      <c r="H2801" s="100">
        <v>-5.7635138663160314E-2</v>
      </c>
      <c r="I2801" s="100">
        <v>-4.8894161525660028E-2</v>
      </c>
    </row>
    <row r="2802" spans="1:9">
      <c r="A2802" s="90">
        <v>2786</v>
      </c>
      <c r="B2802" s="110">
        <v>1.0795816602392603</v>
      </c>
      <c r="C2802" s="110">
        <v>1.049040553356632</v>
      </c>
      <c r="G2802" s="90">
        <v>2786</v>
      </c>
      <c r="H2802" s="100">
        <v>-2.869762673630839E-2</v>
      </c>
      <c r="I2802" s="100">
        <v>-4.8886505322687755E-2</v>
      </c>
    </row>
    <row r="2803" spans="1:9">
      <c r="A2803" s="90">
        <v>2787</v>
      </c>
      <c r="B2803" s="110">
        <v>1.1142440142459584</v>
      </c>
      <c r="C2803" s="110">
        <v>1.0707921642726046</v>
      </c>
      <c r="G2803" s="90">
        <v>2787</v>
      </c>
      <c r="H2803" s="100">
        <v>-3.977744582866647E-2</v>
      </c>
      <c r="I2803" s="100">
        <v>-4.8872732730339145E-2</v>
      </c>
    </row>
    <row r="2804" spans="1:9">
      <c r="A2804" s="90">
        <v>2788</v>
      </c>
      <c r="B2804" s="110">
        <v>1.1056978202518968</v>
      </c>
      <c r="C2804" s="110">
        <v>1.0560609682729563</v>
      </c>
      <c r="G2804" s="90">
        <v>2788</v>
      </c>
      <c r="H2804" s="100">
        <v>-4.5930728465963362E-2</v>
      </c>
      <c r="I2804" s="100">
        <v>-4.8858362510050254E-2</v>
      </c>
    </row>
    <row r="2805" spans="1:9">
      <c r="A2805" s="90">
        <v>2789</v>
      </c>
      <c r="B2805" s="110">
        <v>1.1255309789034178</v>
      </c>
      <c r="C2805" s="110">
        <v>1.0660633626304883</v>
      </c>
      <c r="G2805" s="90">
        <v>2789</v>
      </c>
      <c r="H2805" s="100">
        <v>-5.4282141962720194E-2</v>
      </c>
      <c r="I2805" s="100">
        <v>-4.8844525217462041E-2</v>
      </c>
    </row>
    <row r="2806" spans="1:9">
      <c r="A2806" s="90">
        <v>2790</v>
      </c>
      <c r="B2806" s="110">
        <v>1.0979629509668849</v>
      </c>
      <c r="C2806" s="110">
        <v>1.0514215286305815</v>
      </c>
      <c r="G2806" s="90">
        <v>2790</v>
      </c>
      <c r="H2806" s="100">
        <v>-4.3313514879511392E-2</v>
      </c>
      <c r="I2806" s="100">
        <v>-4.8844094036672128E-2</v>
      </c>
    </row>
    <row r="2807" spans="1:9">
      <c r="A2807" s="90">
        <v>2791</v>
      </c>
      <c r="B2807" s="110">
        <v>1.1142237913918451</v>
      </c>
      <c r="C2807" s="110">
        <v>1.0567084997407268</v>
      </c>
      <c r="G2807" s="90">
        <v>2791</v>
      </c>
      <c r="H2807" s="100">
        <v>-5.2999123170806808E-2</v>
      </c>
      <c r="I2807" s="100">
        <v>-4.8803042179581251E-2</v>
      </c>
    </row>
    <row r="2808" spans="1:9">
      <c r="A2808" s="90">
        <v>2792</v>
      </c>
      <c r="B2808" s="110">
        <v>1.0629677385737883</v>
      </c>
      <c r="C2808" s="110">
        <v>1.0817525339361203</v>
      </c>
      <c r="G2808" s="90">
        <v>2792</v>
      </c>
      <c r="H2808" s="100">
        <v>1.7517693075562182E-2</v>
      </c>
      <c r="I2808" s="100">
        <v>-4.8799793042374251E-2</v>
      </c>
    </row>
    <row r="2809" spans="1:9">
      <c r="A2809" s="90">
        <v>2793</v>
      </c>
      <c r="B2809" s="110">
        <v>1.1264594238081491</v>
      </c>
      <c r="C2809" s="110">
        <v>1.0608003666602746</v>
      </c>
      <c r="G2809" s="90">
        <v>2793</v>
      </c>
      <c r="H2809" s="100">
        <v>-6.0055774447157456E-2</v>
      </c>
      <c r="I2809" s="100">
        <v>-4.8794635607333658E-2</v>
      </c>
    </row>
    <row r="2810" spans="1:9">
      <c r="A2810" s="90">
        <v>2794</v>
      </c>
      <c r="B2810" s="110">
        <v>1.1135723665509913</v>
      </c>
      <c r="C2810" s="110">
        <v>1.0623483646154848</v>
      </c>
      <c r="G2810" s="90">
        <v>2794</v>
      </c>
      <c r="H2810" s="100">
        <v>-4.7091299794976692E-2</v>
      </c>
      <c r="I2810" s="100">
        <v>-4.8787135863396398E-2</v>
      </c>
    </row>
    <row r="2811" spans="1:9">
      <c r="A2811" s="90">
        <v>2795</v>
      </c>
      <c r="B2811" s="110">
        <v>1.0907785866059345</v>
      </c>
      <c r="C2811" s="110">
        <v>1.0542310777653663</v>
      </c>
      <c r="G2811" s="90">
        <v>2795</v>
      </c>
      <c r="H2811" s="100">
        <v>-3.4080075932543051E-2</v>
      </c>
      <c r="I2811" s="100">
        <v>-4.8780809302957279E-2</v>
      </c>
    </row>
    <row r="2812" spans="1:9">
      <c r="A2812" s="90">
        <v>2796</v>
      </c>
      <c r="B2812" s="110">
        <v>1.0860224984521927</v>
      </c>
      <c r="C2812" s="110">
        <v>1.0599863891952692</v>
      </c>
      <c r="G2812" s="90">
        <v>2796</v>
      </c>
      <c r="H2812" s="100">
        <v>-2.4265870444244969E-2</v>
      </c>
      <c r="I2812" s="100">
        <v>-4.8771065181625689E-2</v>
      </c>
    </row>
    <row r="2813" spans="1:9">
      <c r="A2813" s="90">
        <v>2797</v>
      </c>
      <c r="B2813" s="110">
        <v>1.0889796572078037</v>
      </c>
      <c r="C2813" s="110">
        <v>1.0606153271354655</v>
      </c>
      <c r="G2813" s="90">
        <v>2797</v>
      </c>
      <c r="H2813" s="100">
        <v>-2.6391926528189818E-2</v>
      </c>
      <c r="I2813" s="100">
        <v>-4.8770897722431365E-2</v>
      </c>
    </row>
    <row r="2814" spans="1:9">
      <c r="A2814" s="90">
        <v>2798</v>
      </c>
      <c r="B2814" s="110">
        <v>1.1018327812450486</v>
      </c>
      <c r="C2814" s="110">
        <v>1.0625121210449979</v>
      </c>
      <c r="G2814" s="90">
        <v>2798</v>
      </c>
      <c r="H2814" s="100">
        <v>-3.6338928266210747E-2</v>
      </c>
      <c r="I2814" s="100">
        <v>-4.8770162327848303E-2</v>
      </c>
    </row>
    <row r="2815" spans="1:9">
      <c r="A2815" s="90">
        <v>2799</v>
      </c>
      <c r="B2815" s="110">
        <v>1.1340855396162213</v>
      </c>
      <c r="C2815" s="110">
        <v>1.0481616580661051</v>
      </c>
      <c r="G2815" s="90">
        <v>2799</v>
      </c>
      <c r="H2815" s="100">
        <v>-7.878880633824914E-2</v>
      </c>
      <c r="I2815" s="100">
        <v>-4.8762561151017257E-2</v>
      </c>
    </row>
    <row r="2816" spans="1:9">
      <c r="A2816" s="90">
        <v>2800</v>
      </c>
      <c r="B2816" s="110">
        <v>1.1430957181895276</v>
      </c>
      <c r="C2816" s="110">
        <v>1.0576509823143492</v>
      </c>
      <c r="G2816" s="90">
        <v>2800</v>
      </c>
      <c r="H2816" s="100">
        <v>-7.7689729633088636E-2</v>
      </c>
      <c r="I2816" s="100">
        <v>-4.8761655155508288E-2</v>
      </c>
    </row>
    <row r="2817" spans="1:9">
      <c r="A2817" s="90">
        <v>2801</v>
      </c>
      <c r="B2817" s="110">
        <v>1.097495327127197</v>
      </c>
      <c r="C2817" s="110">
        <v>1.0420996838401284</v>
      </c>
      <c r="G2817" s="90">
        <v>2801</v>
      </c>
      <c r="H2817" s="100">
        <v>-5.1793003586321197E-2</v>
      </c>
      <c r="I2817" s="100">
        <v>-4.8734785183032904E-2</v>
      </c>
    </row>
    <row r="2818" spans="1:9">
      <c r="A2818" s="90">
        <v>2802</v>
      </c>
      <c r="B2818" s="110">
        <v>1.1309990373080447</v>
      </c>
      <c r="C2818" s="110">
        <v>1.0545478052435489</v>
      </c>
      <c r="G2818" s="90">
        <v>2802</v>
      </c>
      <c r="H2818" s="100">
        <v>-6.9989291525374295E-2</v>
      </c>
      <c r="I2818" s="100">
        <v>-4.8731047256261761E-2</v>
      </c>
    </row>
    <row r="2819" spans="1:9">
      <c r="A2819" s="90">
        <v>2803</v>
      </c>
      <c r="B2819" s="110">
        <v>1.1073190107947777</v>
      </c>
      <c r="C2819" s="110">
        <v>1.0650140962400523</v>
      </c>
      <c r="G2819" s="90">
        <v>2803</v>
      </c>
      <c r="H2819" s="100">
        <v>-3.8953753198210053E-2</v>
      </c>
      <c r="I2819" s="100">
        <v>-4.8723523135344303E-2</v>
      </c>
    </row>
    <row r="2820" spans="1:9">
      <c r="A2820" s="90">
        <v>2804</v>
      </c>
      <c r="B2820" s="110">
        <v>1.120734873693163</v>
      </c>
      <c r="C2820" s="110">
        <v>1.0555185054362182</v>
      </c>
      <c r="G2820" s="90">
        <v>2804</v>
      </c>
      <c r="H2820" s="100">
        <v>-5.9952486827928912E-2</v>
      </c>
      <c r="I2820" s="100">
        <v>-4.871577014301863E-2</v>
      </c>
    </row>
    <row r="2821" spans="1:9">
      <c r="A2821" s="90">
        <v>2805</v>
      </c>
      <c r="B2821" s="110">
        <v>1.1236105915281518</v>
      </c>
      <c r="C2821" s="110">
        <v>1.0488979798251177</v>
      </c>
      <c r="G2821" s="90">
        <v>2805</v>
      </c>
      <c r="H2821" s="100">
        <v>-6.8807172636092262E-2</v>
      </c>
      <c r="I2821" s="100">
        <v>-4.8687724695334701E-2</v>
      </c>
    </row>
    <row r="2822" spans="1:9">
      <c r="A2822" s="90">
        <v>2806</v>
      </c>
      <c r="B2822" s="110">
        <v>1.1001714122747703</v>
      </c>
      <c r="C2822" s="110">
        <v>1.045123374943933</v>
      </c>
      <c r="G2822" s="90">
        <v>2806</v>
      </c>
      <c r="H2822" s="100">
        <v>-5.1331056409602754E-2</v>
      </c>
      <c r="I2822" s="100">
        <v>-4.8678393893633959E-2</v>
      </c>
    </row>
    <row r="2823" spans="1:9">
      <c r="A2823" s="90">
        <v>2807</v>
      </c>
      <c r="B2823" s="110">
        <v>1.0867409426880847</v>
      </c>
      <c r="C2823" s="110">
        <v>1.0887495212007816</v>
      </c>
      <c r="G2823" s="90">
        <v>2807</v>
      </c>
      <c r="H2823" s="100">
        <v>1.8465528732649061E-3</v>
      </c>
      <c r="I2823" s="100">
        <v>-4.8673241635091173E-2</v>
      </c>
    </row>
    <row r="2824" spans="1:9">
      <c r="A2824" s="90">
        <v>2808</v>
      </c>
      <c r="B2824" s="110">
        <v>1.081742622247486</v>
      </c>
      <c r="C2824" s="110">
        <v>1.0400257125650956</v>
      </c>
      <c r="G2824" s="90">
        <v>2808</v>
      </c>
      <c r="H2824" s="100">
        <v>-3.9327843430581481E-2</v>
      </c>
      <c r="I2824" s="100">
        <v>-4.8672112348486854E-2</v>
      </c>
    </row>
    <row r="2825" spans="1:9">
      <c r="A2825" s="90">
        <v>2809</v>
      </c>
      <c r="B2825" s="110">
        <v>1.099306209298951</v>
      </c>
      <c r="C2825" s="110">
        <v>1.0663883817593431</v>
      </c>
      <c r="G2825" s="90">
        <v>2809</v>
      </c>
      <c r="H2825" s="100">
        <v>-3.0401666999709823E-2</v>
      </c>
      <c r="I2825" s="100">
        <v>-4.8671873230316888E-2</v>
      </c>
    </row>
    <row r="2826" spans="1:9">
      <c r="A2826" s="90">
        <v>2810</v>
      </c>
      <c r="B2826" s="110">
        <v>1.1341472203552521</v>
      </c>
      <c r="C2826" s="110">
        <v>1.0601910776662646</v>
      </c>
      <c r="G2826" s="90">
        <v>2810</v>
      </c>
      <c r="H2826" s="100">
        <v>-6.7431866997542333E-2</v>
      </c>
      <c r="I2826" s="100">
        <v>-4.8651408078867392E-2</v>
      </c>
    </row>
    <row r="2827" spans="1:9">
      <c r="A2827" s="90">
        <v>2811</v>
      </c>
      <c r="B2827" s="110">
        <v>1.0808451364339047</v>
      </c>
      <c r="C2827" s="110">
        <v>1.0633211939733103</v>
      </c>
      <c r="G2827" s="90">
        <v>2811</v>
      </c>
      <c r="H2827" s="100">
        <v>-1.6346057113902523E-2</v>
      </c>
      <c r="I2827" s="100">
        <v>-4.8645747816000354E-2</v>
      </c>
    </row>
    <row r="2828" spans="1:9">
      <c r="A2828" s="90">
        <v>2812</v>
      </c>
      <c r="B2828" s="110">
        <v>1.096022186591421</v>
      </c>
      <c r="C2828" s="110">
        <v>1.0423942279667489</v>
      </c>
      <c r="G2828" s="90">
        <v>2812</v>
      </c>
      <c r="H2828" s="100">
        <v>-5.0167222001806691E-2</v>
      </c>
      <c r="I2828" s="100">
        <v>-4.8644130948935264E-2</v>
      </c>
    </row>
    <row r="2829" spans="1:9">
      <c r="A2829" s="90">
        <v>2813</v>
      </c>
      <c r="B2829" s="110">
        <v>1.1133086604108164</v>
      </c>
      <c r="C2829" s="110">
        <v>1.0410913625591991</v>
      </c>
      <c r="G2829" s="90">
        <v>2813</v>
      </c>
      <c r="H2829" s="100">
        <v>-6.7066806759570857E-2</v>
      </c>
      <c r="I2829" s="100">
        <v>-4.8638903135892121E-2</v>
      </c>
    </row>
    <row r="2830" spans="1:9">
      <c r="A2830" s="90">
        <v>2814</v>
      </c>
      <c r="B2830" s="110">
        <v>1.0957060096711724</v>
      </c>
      <c r="C2830" s="110">
        <v>1.0571836043553746</v>
      </c>
      <c r="G2830" s="90">
        <v>2814</v>
      </c>
      <c r="H2830" s="100">
        <v>-3.5790518119620265E-2</v>
      </c>
      <c r="I2830" s="100">
        <v>-4.8632958890034869E-2</v>
      </c>
    </row>
    <row r="2831" spans="1:9">
      <c r="A2831" s="90">
        <v>2815</v>
      </c>
      <c r="B2831" s="110">
        <v>1.0912419675978546</v>
      </c>
      <c r="C2831" s="110">
        <v>1.0287319025858281</v>
      </c>
      <c r="G2831" s="90">
        <v>2815</v>
      </c>
      <c r="H2831" s="100">
        <v>-5.8989586209222844E-2</v>
      </c>
      <c r="I2831" s="100">
        <v>-4.862833687285726E-2</v>
      </c>
    </row>
    <row r="2832" spans="1:9">
      <c r="A2832" s="90">
        <v>2816</v>
      </c>
      <c r="B2832" s="110">
        <v>1.1106792849614684</v>
      </c>
      <c r="C2832" s="110">
        <v>1.0580550930848072</v>
      </c>
      <c r="G2832" s="90">
        <v>2816</v>
      </c>
      <c r="H2832" s="100">
        <v>-4.8539391642326853E-2</v>
      </c>
      <c r="I2832" s="100">
        <v>-4.8609896864643419E-2</v>
      </c>
    </row>
    <row r="2833" spans="1:9">
      <c r="A2833" s="90">
        <v>2817</v>
      </c>
      <c r="B2833" s="110">
        <v>1.1109513298324445</v>
      </c>
      <c r="C2833" s="110">
        <v>1.0515569027719536</v>
      </c>
      <c r="G2833" s="90">
        <v>2817</v>
      </c>
      <c r="H2833" s="100">
        <v>-5.4944871662102678E-2</v>
      </c>
      <c r="I2833" s="100">
        <v>-4.8606971316190781E-2</v>
      </c>
    </row>
    <row r="2834" spans="1:9">
      <c r="A2834" s="90">
        <v>2818</v>
      </c>
      <c r="B2834" s="110">
        <v>1.1107509103885418</v>
      </c>
      <c r="C2834" s="110">
        <v>1.0602934803266011</v>
      </c>
      <c r="G2834" s="90">
        <v>2818</v>
      </c>
      <c r="H2834" s="100">
        <v>-4.6490544413925437E-2</v>
      </c>
      <c r="I2834" s="100">
        <v>-4.8606033781595143E-2</v>
      </c>
    </row>
    <row r="2835" spans="1:9">
      <c r="A2835" s="90">
        <v>2819</v>
      </c>
      <c r="B2835" s="110">
        <v>1.0966870116935485</v>
      </c>
      <c r="C2835" s="110">
        <v>1.0843472828245633</v>
      </c>
      <c r="G2835" s="90">
        <v>2819</v>
      </c>
      <c r="H2835" s="100">
        <v>-1.131560431453083E-2</v>
      </c>
      <c r="I2835" s="100">
        <v>-4.8605638704592453E-2</v>
      </c>
    </row>
    <row r="2836" spans="1:9">
      <c r="A2836" s="90">
        <v>2820</v>
      </c>
      <c r="B2836" s="110">
        <v>1.1132770707690114</v>
      </c>
      <c r="C2836" s="110">
        <v>1.062423296543519</v>
      </c>
      <c r="G2836" s="90">
        <v>2820</v>
      </c>
      <c r="H2836" s="100">
        <v>-4.6755554084085146E-2</v>
      </c>
      <c r="I2836" s="100">
        <v>-4.8605487539568643E-2</v>
      </c>
    </row>
    <row r="2837" spans="1:9">
      <c r="A2837" s="90">
        <v>2821</v>
      </c>
      <c r="B2837" s="110">
        <v>1.1106391222992258</v>
      </c>
      <c r="C2837" s="110">
        <v>1.0462502523308594</v>
      </c>
      <c r="G2837" s="90">
        <v>2821</v>
      </c>
      <c r="H2837" s="100">
        <v>-5.9723051480360528E-2</v>
      </c>
      <c r="I2837" s="100">
        <v>-4.8600449846471355E-2</v>
      </c>
    </row>
    <row r="2838" spans="1:9">
      <c r="A2838" s="90">
        <v>2822</v>
      </c>
      <c r="B2838" s="110">
        <v>1.1123967954651484</v>
      </c>
      <c r="C2838" s="110">
        <v>1.0387008575757253</v>
      </c>
      <c r="G2838" s="90">
        <v>2822</v>
      </c>
      <c r="H2838" s="100">
        <v>-6.8546205758453535E-2</v>
      </c>
      <c r="I2838" s="100">
        <v>-4.859789430841481E-2</v>
      </c>
    </row>
    <row r="2839" spans="1:9">
      <c r="A2839" s="90">
        <v>2823</v>
      </c>
      <c r="B2839" s="110">
        <v>1.0848501863538518</v>
      </c>
      <c r="C2839" s="110">
        <v>1.0414181124999327</v>
      </c>
      <c r="G2839" s="90">
        <v>2823</v>
      </c>
      <c r="H2839" s="100">
        <v>-4.0858546317861399E-2</v>
      </c>
      <c r="I2839" s="100">
        <v>-4.858427012979958E-2</v>
      </c>
    </row>
    <row r="2840" spans="1:9">
      <c r="A2840" s="90">
        <v>2824</v>
      </c>
      <c r="B2840" s="110">
        <v>1.1072681508126758</v>
      </c>
      <c r="C2840" s="110">
        <v>1.0559337525569208</v>
      </c>
      <c r="G2840" s="90">
        <v>2824</v>
      </c>
      <c r="H2840" s="100">
        <v>-4.7470407387746563E-2</v>
      </c>
      <c r="I2840" s="100">
        <v>-4.8573658958957655E-2</v>
      </c>
    </row>
    <row r="2841" spans="1:9">
      <c r="A2841" s="90">
        <v>2825</v>
      </c>
      <c r="B2841" s="110">
        <v>1.1059118666273051</v>
      </c>
      <c r="C2841" s="110">
        <v>1.0528327352534357</v>
      </c>
      <c r="G2841" s="90">
        <v>2825</v>
      </c>
      <c r="H2841" s="100">
        <v>-4.9185838709917322E-2</v>
      </c>
      <c r="I2841" s="100">
        <v>-4.8571591806114742E-2</v>
      </c>
    </row>
    <row r="2842" spans="1:9">
      <c r="A2842" s="90">
        <v>2826</v>
      </c>
      <c r="B2842" s="110">
        <v>1.1091910071139854</v>
      </c>
      <c r="C2842" s="110">
        <v>1.0485891021880787</v>
      </c>
      <c r="G2842" s="90">
        <v>2826</v>
      </c>
      <c r="H2842" s="100">
        <v>-5.6185378807406851E-2</v>
      </c>
      <c r="I2842" s="100">
        <v>-4.856440011131119E-2</v>
      </c>
    </row>
    <row r="2843" spans="1:9">
      <c r="A2843" s="90">
        <v>2827</v>
      </c>
      <c r="B2843" s="110">
        <v>1.1112426514580016</v>
      </c>
      <c r="C2843" s="110">
        <v>1.049032477395512</v>
      </c>
      <c r="G2843" s="90">
        <v>2827</v>
      </c>
      <c r="H2843" s="100">
        <v>-5.7610605689116939E-2</v>
      </c>
      <c r="I2843" s="100">
        <v>-4.8562893152938096E-2</v>
      </c>
    </row>
    <row r="2844" spans="1:9">
      <c r="A2844" s="90">
        <v>2828</v>
      </c>
      <c r="B2844" s="110">
        <v>1.1216996151683363</v>
      </c>
      <c r="C2844" s="110">
        <v>1.0689791924504612</v>
      </c>
      <c r="G2844" s="90">
        <v>2828</v>
      </c>
      <c r="H2844" s="100">
        <v>-4.8140881235655325E-2</v>
      </c>
      <c r="I2844" s="100">
        <v>-4.8555278181086022E-2</v>
      </c>
    </row>
    <row r="2845" spans="1:9">
      <c r="A2845" s="90">
        <v>2829</v>
      </c>
      <c r="B2845" s="110">
        <v>1.1080869237499655</v>
      </c>
      <c r="C2845" s="110">
        <v>1.0567584261120875</v>
      </c>
      <c r="G2845" s="90">
        <v>2829</v>
      </c>
      <c r="H2845" s="100">
        <v>-4.7428902243137144E-2</v>
      </c>
      <c r="I2845" s="100">
        <v>-4.8548783251810418E-2</v>
      </c>
    </row>
    <row r="2846" spans="1:9">
      <c r="A2846" s="90">
        <v>2830</v>
      </c>
      <c r="B2846" s="110">
        <v>1.1600342754421358</v>
      </c>
      <c r="C2846" s="110">
        <v>1.0536297515392377</v>
      </c>
      <c r="G2846" s="90">
        <v>2830</v>
      </c>
      <c r="H2846" s="100">
        <v>-9.6208443445109426E-2</v>
      </c>
      <c r="I2846" s="100">
        <v>-4.8545157057572487E-2</v>
      </c>
    </row>
    <row r="2847" spans="1:9">
      <c r="A2847" s="90">
        <v>2831</v>
      </c>
      <c r="B2847" s="110">
        <v>1.0844118662307649</v>
      </c>
      <c r="C2847" s="110">
        <v>1.0514414786519026</v>
      </c>
      <c r="G2847" s="90">
        <v>2831</v>
      </c>
      <c r="H2847" s="100">
        <v>-3.0875721750086516E-2</v>
      </c>
      <c r="I2847" s="100">
        <v>-4.8539391642326853E-2</v>
      </c>
    </row>
    <row r="2848" spans="1:9">
      <c r="A2848" s="90">
        <v>2832</v>
      </c>
      <c r="B2848" s="110">
        <v>1.0828409285006273</v>
      </c>
      <c r="C2848" s="110">
        <v>1.0756607867633534</v>
      </c>
      <c r="G2848" s="90">
        <v>2832</v>
      </c>
      <c r="H2848" s="100">
        <v>-6.6529187074808585E-3</v>
      </c>
      <c r="I2848" s="100">
        <v>-4.8534166366193801E-2</v>
      </c>
    </row>
    <row r="2849" spans="1:9">
      <c r="A2849" s="90">
        <v>2833</v>
      </c>
      <c r="B2849" s="110">
        <v>1.1052953454371237</v>
      </c>
      <c r="C2849" s="110">
        <v>1.0603096350942862</v>
      </c>
      <c r="G2849" s="90">
        <v>2833</v>
      </c>
      <c r="H2849" s="100">
        <v>-4.1551606147016633E-2</v>
      </c>
      <c r="I2849" s="100">
        <v>-4.8534010575479278E-2</v>
      </c>
    </row>
    <row r="2850" spans="1:9">
      <c r="A2850" s="90">
        <v>2834</v>
      </c>
      <c r="B2850" s="110">
        <v>1.1104998844146576</v>
      </c>
      <c r="C2850" s="110">
        <v>1.0445778004038699</v>
      </c>
      <c r="G2850" s="90">
        <v>2834</v>
      </c>
      <c r="H2850" s="100">
        <v>-6.1197475241354077E-2</v>
      </c>
      <c r="I2850" s="100">
        <v>-4.8532174159153729E-2</v>
      </c>
    </row>
    <row r="2851" spans="1:9">
      <c r="A2851" s="90">
        <v>2835</v>
      </c>
      <c r="B2851" s="110">
        <v>1.0836413038779775</v>
      </c>
      <c r="C2851" s="110">
        <v>1.0620173169630958</v>
      </c>
      <c r="G2851" s="90">
        <v>2835</v>
      </c>
      <c r="H2851" s="100">
        <v>-2.0156719097817809E-2</v>
      </c>
      <c r="I2851" s="100">
        <v>-4.8531388029309667E-2</v>
      </c>
    </row>
    <row r="2852" spans="1:9">
      <c r="A2852" s="90">
        <v>2836</v>
      </c>
      <c r="B2852" s="110">
        <v>1.1419335963855048</v>
      </c>
      <c r="C2852" s="110">
        <v>1.045027538630956</v>
      </c>
      <c r="G2852" s="90">
        <v>2836</v>
      </c>
      <c r="H2852" s="100">
        <v>-8.8679724944024346E-2</v>
      </c>
      <c r="I2852" s="100">
        <v>-4.8528690973632514E-2</v>
      </c>
    </row>
    <row r="2853" spans="1:9">
      <c r="A2853" s="90">
        <v>2837</v>
      </c>
      <c r="B2853" s="110">
        <v>1.0950158554647067</v>
      </c>
      <c r="C2853" s="110">
        <v>1.0356807513047779</v>
      </c>
      <c r="G2853" s="90">
        <v>2837</v>
      </c>
      <c r="H2853" s="100">
        <v>-5.5709901803545854E-2</v>
      </c>
      <c r="I2853" s="100">
        <v>-4.8503148407255357E-2</v>
      </c>
    </row>
    <row r="2854" spans="1:9">
      <c r="A2854" s="90">
        <v>2838</v>
      </c>
      <c r="B2854" s="110">
        <v>1.0993121797018606</v>
      </c>
      <c r="C2854" s="110">
        <v>1.0682734542078278</v>
      </c>
      <c r="G2854" s="90">
        <v>2838</v>
      </c>
      <c r="H2854" s="100">
        <v>-2.8640942017859258E-2</v>
      </c>
      <c r="I2854" s="100">
        <v>-4.8493917561937792E-2</v>
      </c>
    </row>
    <row r="2855" spans="1:9">
      <c r="A2855" s="90">
        <v>2839</v>
      </c>
      <c r="B2855" s="110">
        <v>1.0806632944008838</v>
      </c>
      <c r="C2855" s="110">
        <v>1.0404515069802034</v>
      </c>
      <c r="G2855" s="90">
        <v>2839</v>
      </c>
      <c r="H2855" s="100">
        <v>-3.7920253830128321E-2</v>
      </c>
      <c r="I2855" s="100">
        <v>-4.8493840397133517E-2</v>
      </c>
    </row>
    <row r="2856" spans="1:9">
      <c r="A2856" s="90">
        <v>2840</v>
      </c>
      <c r="B2856" s="110">
        <v>1.1255394752557628</v>
      </c>
      <c r="C2856" s="110">
        <v>1.0674852468831943</v>
      </c>
      <c r="G2856" s="90">
        <v>2840</v>
      </c>
      <c r="H2856" s="100">
        <v>-5.2956808502380014E-2</v>
      </c>
      <c r="I2856" s="100">
        <v>-4.848811961293422E-2</v>
      </c>
    </row>
    <row r="2857" spans="1:9">
      <c r="A2857" s="90">
        <v>2841</v>
      </c>
      <c r="B2857" s="110">
        <v>1.1168951809234542</v>
      </c>
      <c r="C2857" s="110">
        <v>1.0604704173942059</v>
      </c>
      <c r="G2857" s="90">
        <v>2841</v>
      </c>
      <c r="H2857" s="100">
        <v>-5.184007619312081E-2</v>
      </c>
      <c r="I2857" s="100">
        <v>-4.8487369453064359E-2</v>
      </c>
    </row>
    <row r="2858" spans="1:9">
      <c r="A2858" s="90">
        <v>2842</v>
      </c>
      <c r="B2858" s="110">
        <v>1.1149055120922229</v>
      </c>
      <c r="C2858" s="110">
        <v>1.0511745851793257</v>
      </c>
      <c r="G2858" s="90">
        <v>2842</v>
      </c>
      <c r="H2858" s="100">
        <v>-5.8861467307411208E-2</v>
      </c>
      <c r="I2858" s="100">
        <v>-4.8480691236224817E-2</v>
      </c>
    </row>
    <row r="2859" spans="1:9">
      <c r="A2859" s="90">
        <v>2843</v>
      </c>
      <c r="B2859" s="110">
        <v>1.1395881821240776</v>
      </c>
      <c r="C2859" s="110">
        <v>1.0414440064795207</v>
      </c>
      <c r="G2859" s="90">
        <v>2843</v>
      </c>
      <c r="H2859" s="100">
        <v>-9.0058735499353365E-2</v>
      </c>
      <c r="I2859" s="100">
        <v>-4.8453168103119677E-2</v>
      </c>
    </row>
    <row r="2860" spans="1:9">
      <c r="A2860" s="90">
        <v>2844</v>
      </c>
      <c r="B2860" s="110">
        <v>1.1030709250465698</v>
      </c>
      <c r="C2860" s="110">
        <v>1.0602459942651654</v>
      </c>
      <c r="G2860" s="90">
        <v>2844</v>
      </c>
      <c r="H2860" s="100">
        <v>-3.9597088888842079E-2</v>
      </c>
      <c r="I2860" s="100">
        <v>-4.8449718409918713E-2</v>
      </c>
    </row>
    <row r="2861" spans="1:9">
      <c r="A2861" s="90">
        <v>2845</v>
      </c>
      <c r="B2861" s="110">
        <v>1.0824941059578397</v>
      </c>
      <c r="C2861" s="110">
        <v>1.0572829519992208</v>
      </c>
      <c r="G2861" s="90">
        <v>2845</v>
      </c>
      <c r="H2861" s="100">
        <v>-2.3565371501092315E-2</v>
      </c>
      <c r="I2861" s="100">
        <v>-4.8443485165403762E-2</v>
      </c>
    </row>
    <row r="2862" spans="1:9">
      <c r="A2862" s="90">
        <v>2846</v>
      </c>
      <c r="B2862" s="110">
        <v>1.1122130450357341</v>
      </c>
      <c r="C2862" s="110">
        <v>1.0730726614230757</v>
      </c>
      <c r="G2862" s="90">
        <v>2846</v>
      </c>
      <c r="H2862" s="100">
        <v>-3.5825585375986922E-2</v>
      </c>
      <c r="I2862" s="100">
        <v>-4.8436493992920708E-2</v>
      </c>
    </row>
    <row r="2863" spans="1:9">
      <c r="A2863" s="90">
        <v>2847</v>
      </c>
      <c r="B2863" s="110">
        <v>1.0991538091645365</v>
      </c>
      <c r="C2863" s="110">
        <v>1.0409102803264589</v>
      </c>
      <c r="G2863" s="90">
        <v>2847</v>
      </c>
      <c r="H2863" s="100">
        <v>-5.4445019499831541E-2</v>
      </c>
      <c r="I2863" s="100">
        <v>-4.8433854339363168E-2</v>
      </c>
    </row>
    <row r="2864" spans="1:9">
      <c r="A2864" s="90">
        <v>2848</v>
      </c>
      <c r="B2864" s="110">
        <v>1.1160363975582488</v>
      </c>
      <c r="C2864" s="110">
        <v>1.0643493395885777</v>
      </c>
      <c r="G2864" s="90">
        <v>2848</v>
      </c>
      <c r="H2864" s="100">
        <v>-4.741981401375376E-2</v>
      </c>
      <c r="I2864" s="100">
        <v>-4.8425255456990265E-2</v>
      </c>
    </row>
    <row r="2865" spans="1:9">
      <c r="A2865" s="90">
        <v>2849</v>
      </c>
      <c r="B2865" s="110">
        <v>1.1203923493750421</v>
      </c>
      <c r="C2865" s="110">
        <v>1.0745140328252216</v>
      </c>
      <c r="G2865" s="90">
        <v>2849</v>
      </c>
      <c r="H2865" s="100">
        <v>-4.1810439023694246E-2</v>
      </c>
      <c r="I2865" s="100">
        <v>-4.8418033081144417E-2</v>
      </c>
    </row>
    <row r="2866" spans="1:9">
      <c r="A2866" s="90">
        <v>2850</v>
      </c>
      <c r="B2866" s="110">
        <v>1.1262268230560086</v>
      </c>
      <c r="C2866" s="110">
        <v>1.0608350589477267</v>
      </c>
      <c r="G2866" s="90">
        <v>2850</v>
      </c>
      <c r="H2866" s="100">
        <v>-5.9816561426794944E-2</v>
      </c>
      <c r="I2866" s="100">
        <v>-4.8417768793579126E-2</v>
      </c>
    </row>
    <row r="2867" spans="1:9">
      <c r="A2867" s="90">
        <v>2851</v>
      </c>
      <c r="B2867" s="110">
        <v>1.1280405947397851</v>
      </c>
      <c r="C2867" s="110">
        <v>1.0768958611490502</v>
      </c>
      <c r="G2867" s="90">
        <v>2851</v>
      </c>
      <c r="H2867" s="100">
        <v>-4.6399440628578967E-2</v>
      </c>
      <c r="I2867" s="100">
        <v>-4.8399767381321873E-2</v>
      </c>
    </row>
    <row r="2868" spans="1:9">
      <c r="A2868" s="90">
        <v>2852</v>
      </c>
      <c r="B2868" s="110">
        <v>1.0967201981632302</v>
      </c>
      <c r="C2868" s="110">
        <v>1.091296979567449</v>
      </c>
      <c r="G2868" s="90">
        <v>2852</v>
      </c>
      <c r="H2868" s="100">
        <v>-4.9572094376475985E-3</v>
      </c>
      <c r="I2868" s="100">
        <v>-4.8393118938928295E-2</v>
      </c>
    </row>
    <row r="2869" spans="1:9">
      <c r="A2869" s="90">
        <v>2853</v>
      </c>
      <c r="B2869" s="110">
        <v>1.1252208073417154</v>
      </c>
      <c r="C2869" s="110">
        <v>1.0562568424742436</v>
      </c>
      <c r="G2869" s="90">
        <v>2853</v>
      </c>
      <c r="H2869" s="100">
        <v>-6.3247911839568238E-2</v>
      </c>
      <c r="I2869" s="100">
        <v>-4.8373938746900005E-2</v>
      </c>
    </row>
    <row r="2870" spans="1:9">
      <c r="A2870" s="90">
        <v>2854</v>
      </c>
      <c r="B2870" s="110">
        <v>1.1159259458955484</v>
      </c>
      <c r="C2870" s="110">
        <v>1.0591420476270643</v>
      </c>
      <c r="G2870" s="90">
        <v>2854</v>
      </c>
      <c r="H2870" s="100">
        <v>-5.2225313672246573E-2</v>
      </c>
      <c r="I2870" s="100">
        <v>-4.8346025023980069E-2</v>
      </c>
    </row>
    <row r="2871" spans="1:9">
      <c r="A2871" s="90">
        <v>2855</v>
      </c>
      <c r="B2871" s="110">
        <v>1.1171870464667091</v>
      </c>
      <c r="C2871" s="110">
        <v>1.0536683117912042</v>
      </c>
      <c r="G2871" s="90">
        <v>2855</v>
      </c>
      <c r="H2871" s="100">
        <v>-5.8536254483186903E-2</v>
      </c>
      <c r="I2871" s="100">
        <v>-4.8342683009725655E-2</v>
      </c>
    </row>
    <row r="2872" spans="1:9">
      <c r="A2872" s="90">
        <v>2856</v>
      </c>
      <c r="B2872" s="110">
        <v>1.0906204792448828</v>
      </c>
      <c r="C2872" s="110">
        <v>1.0540130589915366</v>
      </c>
      <c r="G2872" s="90">
        <v>2856</v>
      </c>
      <c r="H2872" s="100">
        <v>-3.414194131762522E-2</v>
      </c>
      <c r="I2872" s="100">
        <v>-4.8340863460244909E-2</v>
      </c>
    </row>
    <row r="2873" spans="1:9">
      <c r="A2873" s="90">
        <v>2857</v>
      </c>
      <c r="B2873" s="110">
        <v>1.1190886665181456</v>
      </c>
      <c r="C2873" s="110">
        <v>1.0468818654709171</v>
      </c>
      <c r="G2873" s="90">
        <v>2857</v>
      </c>
      <c r="H2873" s="100">
        <v>-6.6698569400750321E-2</v>
      </c>
      <c r="I2873" s="100">
        <v>-4.8335756003561783E-2</v>
      </c>
    </row>
    <row r="2874" spans="1:9">
      <c r="A2874" s="90">
        <v>2858</v>
      </c>
      <c r="B2874" s="110">
        <v>1.0994978628105336</v>
      </c>
      <c r="C2874" s="110">
        <v>1.0907432036759788</v>
      </c>
      <c r="G2874" s="90">
        <v>2858</v>
      </c>
      <c r="H2874" s="100">
        <v>-7.99428509792207E-3</v>
      </c>
      <c r="I2874" s="100">
        <v>-4.8320436647675158E-2</v>
      </c>
    </row>
    <row r="2875" spans="1:9">
      <c r="A2875" s="90">
        <v>2859</v>
      </c>
      <c r="B2875" s="110">
        <v>1.1093654957065056</v>
      </c>
      <c r="C2875" s="110">
        <v>1.0363658175098249</v>
      </c>
      <c r="G2875" s="90">
        <v>2859</v>
      </c>
      <c r="H2875" s="100">
        <v>-6.8068039179862719E-2</v>
      </c>
      <c r="I2875" s="100">
        <v>-4.8316461996014644E-2</v>
      </c>
    </row>
    <row r="2876" spans="1:9">
      <c r="A2876" s="90">
        <v>2860</v>
      </c>
      <c r="B2876" s="110">
        <v>1.1096474511054137</v>
      </c>
      <c r="C2876" s="110">
        <v>1.0607510803168936</v>
      </c>
      <c r="G2876" s="90">
        <v>2860</v>
      </c>
      <c r="H2876" s="100">
        <v>-4.5065129712185903E-2</v>
      </c>
      <c r="I2876" s="100">
        <v>-4.8312180036091265E-2</v>
      </c>
    </row>
    <row r="2877" spans="1:9">
      <c r="A2877" s="90">
        <v>2861</v>
      </c>
      <c r="B2877" s="110">
        <v>1.0828163788859655</v>
      </c>
      <c r="C2877" s="110">
        <v>1.0509681069372752</v>
      </c>
      <c r="G2877" s="90">
        <v>2861</v>
      </c>
      <c r="H2877" s="100">
        <v>-2.9853659072765288E-2</v>
      </c>
      <c r="I2877" s="100">
        <v>-4.8311776778646329E-2</v>
      </c>
    </row>
    <row r="2878" spans="1:9">
      <c r="A2878" s="90">
        <v>2862</v>
      </c>
      <c r="B2878" s="110">
        <v>1.0735925444615382</v>
      </c>
      <c r="C2878" s="110">
        <v>1.055471858709351</v>
      </c>
      <c r="G2878" s="90">
        <v>2862</v>
      </c>
      <c r="H2878" s="100">
        <v>-1.7022616405162099E-2</v>
      </c>
      <c r="I2878" s="100">
        <v>-4.8305824587229838E-2</v>
      </c>
    </row>
    <row r="2879" spans="1:9">
      <c r="A2879" s="90">
        <v>2863</v>
      </c>
      <c r="B2879" s="110">
        <v>1.1185539564278919</v>
      </c>
      <c r="C2879" s="110">
        <v>1.0559126656780629</v>
      </c>
      <c r="G2879" s="90">
        <v>2863</v>
      </c>
      <c r="H2879" s="100">
        <v>-5.7631261866099313E-2</v>
      </c>
      <c r="I2879" s="100">
        <v>-4.8301720407510636E-2</v>
      </c>
    </row>
    <row r="2880" spans="1:9">
      <c r="A2880" s="90">
        <v>2864</v>
      </c>
      <c r="B2880" s="110">
        <v>1.1181743924413972</v>
      </c>
      <c r="C2880" s="110">
        <v>1.0647694179811891</v>
      </c>
      <c r="G2880" s="90">
        <v>2864</v>
      </c>
      <c r="H2880" s="100">
        <v>-4.8939081869788653E-2</v>
      </c>
      <c r="I2880" s="100">
        <v>-4.8300319431559227E-2</v>
      </c>
    </row>
    <row r="2881" spans="1:9">
      <c r="A2881" s="90">
        <v>2865</v>
      </c>
      <c r="B2881" s="110">
        <v>1.1402345018021709</v>
      </c>
      <c r="C2881" s="110">
        <v>1.0574845575681899</v>
      </c>
      <c r="G2881" s="90">
        <v>2865</v>
      </c>
      <c r="H2881" s="100">
        <v>-7.5340915528334301E-2</v>
      </c>
      <c r="I2881" s="100">
        <v>-4.8290902344875222E-2</v>
      </c>
    </row>
    <row r="2882" spans="1:9">
      <c r="A2882" s="90">
        <v>2866</v>
      </c>
      <c r="B2882" s="110">
        <v>1.0853224494128315</v>
      </c>
      <c r="C2882" s="110">
        <v>1.0668460192908489</v>
      </c>
      <c r="G2882" s="90">
        <v>2866</v>
      </c>
      <c r="H2882" s="100">
        <v>-1.7170481151343214E-2</v>
      </c>
      <c r="I2882" s="100">
        <v>-4.8288992899207794E-2</v>
      </c>
    </row>
    <row r="2883" spans="1:9">
      <c r="A2883" s="90">
        <v>2867</v>
      </c>
      <c r="B2883" s="110">
        <v>1.086405520666665</v>
      </c>
      <c r="C2883" s="110">
        <v>1.0614239466938669</v>
      </c>
      <c r="G2883" s="90">
        <v>2867</v>
      </c>
      <c r="H2883" s="100">
        <v>-2.3263206844825603E-2</v>
      </c>
      <c r="I2883" s="100">
        <v>-4.8288970295043122E-2</v>
      </c>
    </row>
    <row r="2884" spans="1:9">
      <c r="A2884" s="90">
        <v>2868</v>
      </c>
      <c r="B2884" s="110">
        <v>1.1186791646665908</v>
      </c>
      <c r="C2884" s="110">
        <v>1.0870890991166424</v>
      </c>
      <c r="G2884" s="90">
        <v>2868</v>
      </c>
      <c r="H2884" s="100">
        <v>-2.8645099414735604E-2</v>
      </c>
      <c r="I2884" s="100">
        <v>-4.8282997842608533E-2</v>
      </c>
    </row>
    <row r="2885" spans="1:9">
      <c r="A2885" s="90">
        <v>2869</v>
      </c>
      <c r="B2885" s="110">
        <v>1.0946633804251209</v>
      </c>
      <c r="C2885" s="110">
        <v>1.0365103719966489</v>
      </c>
      <c r="G2885" s="90">
        <v>2869</v>
      </c>
      <c r="H2885" s="100">
        <v>-5.458724127597462E-2</v>
      </c>
      <c r="I2885" s="100">
        <v>-4.82725399894115E-2</v>
      </c>
    </row>
    <row r="2886" spans="1:9">
      <c r="A2886" s="90">
        <v>2870</v>
      </c>
      <c r="B2886" s="110">
        <v>1.1026488670032653</v>
      </c>
      <c r="C2886" s="110">
        <v>1.0314059585424808</v>
      </c>
      <c r="G2886" s="90">
        <v>2870</v>
      </c>
      <c r="H2886" s="100">
        <v>-6.6792466225592748E-2</v>
      </c>
      <c r="I2886" s="100">
        <v>-4.8269017069936485E-2</v>
      </c>
    </row>
    <row r="2887" spans="1:9">
      <c r="A2887" s="90">
        <v>2871</v>
      </c>
      <c r="B2887" s="110">
        <v>1.116985134249797</v>
      </c>
      <c r="C2887" s="110">
        <v>1.0398818425542076</v>
      </c>
      <c r="G2887" s="90">
        <v>2871</v>
      </c>
      <c r="H2887" s="100">
        <v>-7.1526117588911933E-2</v>
      </c>
      <c r="I2887" s="100">
        <v>-4.8256121843734817E-2</v>
      </c>
    </row>
    <row r="2888" spans="1:9">
      <c r="A2888" s="90">
        <v>2872</v>
      </c>
      <c r="B2888" s="110">
        <v>1.1003300721247407</v>
      </c>
      <c r="C2888" s="110">
        <v>1.0487021420773723</v>
      </c>
      <c r="G2888" s="90">
        <v>2872</v>
      </c>
      <c r="H2888" s="100">
        <v>-4.8056855902841498E-2</v>
      </c>
      <c r="I2888" s="100">
        <v>-4.8246217702125456E-2</v>
      </c>
    </row>
    <row r="2889" spans="1:9">
      <c r="A2889" s="90">
        <v>2873</v>
      </c>
      <c r="B2889" s="110">
        <v>1.0935493388459261</v>
      </c>
      <c r="C2889" s="110">
        <v>1.0533029176159425</v>
      </c>
      <c r="G2889" s="90">
        <v>2873</v>
      </c>
      <c r="H2889" s="100">
        <v>-3.749781739922909E-2</v>
      </c>
      <c r="I2889" s="100">
        <v>-4.8235187199015754E-2</v>
      </c>
    </row>
    <row r="2890" spans="1:9">
      <c r="A2890" s="90">
        <v>2874</v>
      </c>
      <c r="B2890" s="110">
        <v>1.1072012586569333</v>
      </c>
      <c r="C2890" s="110">
        <v>1.0560897889773599</v>
      </c>
      <c r="G2890" s="90">
        <v>2874</v>
      </c>
      <c r="H2890" s="100">
        <v>-4.7262233563248809E-2</v>
      </c>
      <c r="I2890" s="100">
        <v>-4.8228290142858871E-2</v>
      </c>
    </row>
    <row r="2891" spans="1:9">
      <c r="A2891" s="90">
        <v>2875</v>
      </c>
      <c r="B2891" s="110">
        <v>1.111629184566709</v>
      </c>
      <c r="C2891" s="110">
        <v>1.0663801535411215</v>
      </c>
      <c r="G2891" s="90">
        <v>2875</v>
      </c>
      <c r="H2891" s="100">
        <v>-4.1556794098294374E-2</v>
      </c>
      <c r="I2891" s="100">
        <v>-4.8223543657173559E-2</v>
      </c>
    </row>
    <row r="2892" spans="1:9">
      <c r="A2892" s="90">
        <v>2876</v>
      </c>
      <c r="B2892" s="110">
        <v>1.1233478982717144</v>
      </c>
      <c r="C2892" s="110">
        <v>1.062373787033865</v>
      </c>
      <c r="G2892" s="90">
        <v>2876</v>
      </c>
      <c r="H2892" s="100">
        <v>-5.5807595346130383E-2</v>
      </c>
      <c r="I2892" s="100">
        <v>-4.8221139790891071E-2</v>
      </c>
    </row>
    <row r="2893" spans="1:9">
      <c r="A2893" s="90">
        <v>2877</v>
      </c>
      <c r="B2893" s="110">
        <v>1.1058771336018638</v>
      </c>
      <c r="C2893" s="110">
        <v>1.0537653413938024</v>
      </c>
      <c r="G2893" s="90">
        <v>2877</v>
      </c>
      <c r="H2893" s="100">
        <v>-4.8269017069936485E-2</v>
      </c>
      <c r="I2893" s="100">
        <v>-4.8215021054221097E-2</v>
      </c>
    </row>
    <row r="2894" spans="1:9">
      <c r="A2894" s="90">
        <v>2878</v>
      </c>
      <c r="B2894" s="110">
        <v>1.1168209634213477</v>
      </c>
      <c r="C2894" s="110">
        <v>1.0555829124798439</v>
      </c>
      <c r="G2894" s="90">
        <v>2878</v>
      </c>
      <c r="H2894" s="100">
        <v>-5.639308580103377E-2</v>
      </c>
      <c r="I2894" s="100">
        <v>-4.817519710493437E-2</v>
      </c>
    </row>
    <row r="2895" spans="1:9">
      <c r="A2895" s="90">
        <v>2879</v>
      </c>
      <c r="B2895" s="110">
        <v>1.1075345892714905</v>
      </c>
      <c r="C2895" s="110">
        <v>1.0419298128384376</v>
      </c>
      <c r="G2895" s="90">
        <v>2879</v>
      </c>
      <c r="H2895" s="100">
        <v>-6.1061871355282869E-2</v>
      </c>
      <c r="I2895" s="100">
        <v>-4.817403708192787E-2</v>
      </c>
    </row>
    <row r="2896" spans="1:9">
      <c r="A2896" s="90">
        <v>2880</v>
      </c>
      <c r="B2896" s="110">
        <v>1.0831421882943721</v>
      </c>
      <c r="C2896" s="110">
        <v>1.0354482703542136</v>
      </c>
      <c r="G2896" s="90">
        <v>2880</v>
      </c>
      <c r="H2896" s="100">
        <v>-4.5031806126478488E-2</v>
      </c>
      <c r="I2896" s="100">
        <v>-4.8156987247870556E-2</v>
      </c>
    </row>
    <row r="2897" spans="1:9">
      <c r="A2897" s="90">
        <v>2881</v>
      </c>
      <c r="B2897" s="110">
        <v>1.1137051654721211</v>
      </c>
      <c r="C2897" s="110">
        <v>1.058889789656738</v>
      </c>
      <c r="G2897" s="90">
        <v>2881</v>
      </c>
      <c r="H2897" s="100">
        <v>-5.0471452522045483E-2</v>
      </c>
      <c r="I2897" s="100">
        <v>-4.8151289937829224E-2</v>
      </c>
    </row>
    <row r="2898" spans="1:9">
      <c r="A2898" s="90">
        <v>2882</v>
      </c>
      <c r="B2898" s="110">
        <v>1.1457969698519996</v>
      </c>
      <c r="C2898" s="110">
        <v>1.0509911828015319</v>
      </c>
      <c r="G2898" s="90">
        <v>2882</v>
      </c>
      <c r="H2898" s="100">
        <v>-8.6366735901511699E-2</v>
      </c>
      <c r="I2898" s="100">
        <v>-4.814465394917701E-2</v>
      </c>
    </row>
    <row r="2899" spans="1:9">
      <c r="A2899" s="90">
        <v>2883</v>
      </c>
      <c r="B2899" s="110">
        <v>1.1619184785583059</v>
      </c>
      <c r="C2899" s="110">
        <v>1.0593148534387</v>
      </c>
      <c r="G2899" s="90">
        <v>2883</v>
      </c>
      <c r="H2899" s="100">
        <v>-9.2450165362829712E-2</v>
      </c>
      <c r="I2899" s="100">
        <v>-4.8140881235655325E-2</v>
      </c>
    </row>
    <row r="2900" spans="1:9">
      <c r="A2900" s="90">
        <v>2884</v>
      </c>
      <c r="B2900" s="110">
        <v>1.0938425133059109</v>
      </c>
      <c r="C2900" s="110">
        <v>1.0641797086481295</v>
      </c>
      <c r="G2900" s="90">
        <v>2884</v>
      </c>
      <c r="H2900" s="100">
        <v>-2.7492462943682822E-2</v>
      </c>
      <c r="I2900" s="100">
        <v>-4.811733821519007E-2</v>
      </c>
    </row>
    <row r="2901" spans="1:9">
      <c r="A2901" s="90">
        <v>2885</v>
      </c>
      <c r="B2901" s="110">
        <v>1.1032066641865896</v>
      </c>
      <c r="C2901" s="110">
        <v>1.0439898489288821</v>
      </c>
      <c r="G2901" s="90">
        <v>2885</v>
      </c>
      <c r="H2901" s="100">
        <v>-5.5171322092002817E-2</v>
      </c>
      <c r="I2901" s="100">
        <v>-4.8116556893052186E-2</v>
      </c>
    </row>
    <row r="2902" spans="1:9">
      <c r="A2902" s="90">
        <v>2886</v>
      </c>
      <c r="B2902" s="110">
        <v>1.0978400487175606</v>
      </c>
      <c r="C2902" s="110">
        <v>1.0542636434779591</v>
      </c>
      <c r="G2902" s="90">
        <v>2886</v>
      </c>
      <c r="H2902" s="100">
        <v>-4.0502102387627831E-2</v>
      </c>
      <c r="I2902" s="100">
        <v>-4.8107439855579609E-2</v>
      </c>
    </row>
    <row r="2903" spans="1:9">
      <c r="A2903" s="90">
        <v>2887</v>
      </c>
      <c r="B2903" s="110">
        <v>1.1107259173337392</v>
      </c>
      <c r="C2903" s="110">
        <v>1.0589011666146333</v>
      </c>
      <c r="G2903" s="90">
        <v>2887</v>
      </c>
      <c r="H2903" s="100">
        <v>-4.7782045975924954E-2</v>
      </c>
      <c r="I2903" s="100">
        <v>-4.8106122324209216E-2</v>
      </c>
    </row>
    <row r="2904" spans="1:9">
      <c r="A2904" s="90">
        <v>2888</v>
      </c>
      <c r="B2904" s="110">
        <v>1.1202906277562323</v>
      </c>
      <c r="C2904" s="110">
        <v>1.0358714284896464</v>
      </c>
      <c r="G2904" s="90">
        <v>2888</v>
      </c>
      <c r="H2904" s="100">
        <v>-7.8345108352294524E-2</v>
      </c>
      <c r="I2904" s="100">
        <v>-4.8104627843811018E-2</v>
      </c>
    </row>
    <row r="2905" spans="1:9">
      <c r="A2905" s="90">
        <v>2889</v>
      </c>
      <c r="B2905" s="110">
        <v>1.1182862538669149</v>
      </c>
      <c r="C2905" s="110">
        <v>1.0594337224746779</v>
      </c>
      <c r="G2905" s="90">
        <v>2889</v>
      </c>
      <c r="H2905" s="100">
        <v>-5.4062841690903932E-2</v>
      </c>
      <c r="I2905" s="100">
        <v>-4.8100657491677815E-2</v>
      </c>
    </row>
    <row r="2906" spans="1:9">
      <c r="A2906" s="90">
        <v>2890</v>
      </c>
      <c r="B2906" s="110">
        <v>1.0734245318828854</v>
      </c>
      <c r="C2906" s="110">
        <v>1.0589000236479371</v>
      </c>
      <c r="G2906" s="90">
        <v>2890</v>
      </c>
      <c r="H2906" s="100">
        <v>-1.3623379084594859E-2</v>
      </c>
      <c r="I2906" s="100">
        <v>-4.8093181546072283E-2</v>
      </c>
    </row>
    <row r="2907" spans="1:9">
      <c r="A2907" s="90">
        <v>2891</v>
      </c>
      <c r="B2907" s="110">
        <v>1.0799452704252892</v>
      </c>
      <c r="C2907" s="110">
        <v>1.0463778296299706</v>
      </c>
      <c r="G2907" s="90">
        <v>2891</v>
      </c>
      <c r="H2907" s="100">
        <v>-3.1575850103823744E-2</v>
      </c>
      <c r="I2907" s="100">
        <v>-4.8066312713332567E-2</v>
      </c>
    </row>
    <row r="2908" spans="1:9">
      <c r="A2908" s="90">
        <v>2892</v>
      </c>
      <c r="B2908" s="110">
        <v>1.1283826517916442</v>
      </c>
      <c r="C2908" s="110">
        <v>1.0397019577776594</v>
      </c>
      <c r="G2908" s="90">
        <v>2892</v>
      </c>
      <c r="H2908" s="100">
        <v>-8.185123284030292E-2</v>
      </c>
      <c r="I2908" s="100">
        <v>-4.8056855902841498E-2</v>
      </c>
    </row>
    <row r="2909" spans="1:9">
      <c r="A2909" s="90">
        <v>2893</v>
      </c>
      <c r="B2909" s="110">
        <v>1.0887911318970125</v>
      </c>
      <c r="C2909" s="110">
        <v>1.0496115545205145</v>
      </c>
      <c r="G2909" s="90">
        <v>2893</v>
      </c>
      <c r="H2909" s="100">
        <v>-3.6647879834791661E-2</v>
      </c>
      <c r="I2909" s="100">
        <v>-4.8051459938219798E-2</v>
      </c>
    </row>
    <row r="2910" spans="1:9">
      <c r="A2910" s="90">
        <v>2894</v>
      </c>
      <c r="B2910" s="110">
        <v>1.1258382477235622</v>
      </c>
      <c r="C2910" s="110">
        <v>1.0711896887266423</v>
      </c>
      <c r="G2910" s="90">
        <v>2894</v>
      </c>
      <c r="H2910" s="100">
        <v>-4.9757977848197556E-2</v>
      </c>
      <c r="I2910" s="100">
        <v>-4.8047213749104797E-2</v>
      </c>
    </row>
    <row r="2911" spans="1:9">
      <c r="A2911" s="90">
        <v>2895</v>
      </c>
      <c r="B2911" s="110">
        <v>1.1181241043881087</v>
      </c>
      <c r="C2911" s="110">
        <v>1.0539243878286457</v>
      </c>
      <c r="G2911" s="90">
        <v>2895</v>
      </c>
      <c r="H2911" s="100">
        <v>-5.9131665043238163E-2</v>
      </c>
      <c r="I2911" s="100">
        <v>-4.803520892816248E-2</v>
      </c>
    </row>
    <row r="2912" spans="1:9">
      <c r="A2912" s="90">
        <v>2896</v>
      </c>
      <c r="B2912" s="110">
        <v>1.0958058471558922</v>
      </c>
      <c r="C2912" s="110">
        <v>1.0662593714495563</v>
      </c>
      <c r="G2912" s="90">
        <v>2896</v>
      </c>
      <c r="H2912" s="100">
        <v>-2.733341712555647E-2</v>
      </c>
      <c r="I2912" s="100">
        <v>-4.8016601272042429E-2</v>
      </c>
    </row>
    <row r="2913" spans="1:9">
      <c r="A2913" s="90">
        <v>2897</v>
      </c>
      <c r="B2913" s="110">
        <v>1.1333724311239255</v>
      </c>
      <c r="C2913" s="110">
        <v>1.052685268661633</v>
      </c>
      <c r="G2913" s="90">
        <v>2897</v>
      </c>
      <c r="H2913" s="100">
        <v>-7.3853342094104935E-2</v>
      </c>
      <c r="I2913" s="100">
        <v>-4.7973448237233512E-2</v>
      </c>
    </row>
    <row r="2914" spans="1:9">
      <c r="A2914" s="90">
        <v>2898</v>
      </c>
      <c r="B2914" s="110">
        <v>1.1231760807612743</v>
      </c>
      <c r="C2914" s="110">
        <v>1.0439892830421662</v>
      </c>
      <c r="G2914" s="90">
        <v>2898</v>
      </c>
      <c r="H2914" s="100">
        <v>-7.3111234321653909E-2</v>
      </c>
      <c r="I2914" s="100">
        <v>-4.7971349043451052E-2</v>
      </c>
    </row>
    <row r="2915" spans="1:9">
      <c r="A2915" s="90">
        <v>2899</v>
      </c>
      <c r="B2915" s="110">
        <v>1.1201959198790348</v>
      </c>
      <c r="C2915" s="110">
        <v>1.0776038752937427</v>
      </c>
      <c r="G2915" s="90">
        <v>2899</v>
      </c>
      <c r="H2915" s="100">
        <v>-3.8763656138115186E-2</v>
      </c>
      <c r="I2915" s="100">
        <v>-4.795083223055796E-2</v>
      </c>
    </row>
    <row r="2916" spans="1:9">
      <c r="A2916" s="90">
        <v>2900</v>
      </c>
      <c r="B2916" s="110">
        <v>1.1081603687950055</v>
      </c>
      <c r="C2916" s="110">
        <v>1.0574521503052337</v>
      </c>
      <c r="G2916" s="90">
        <v>2900</v>
      </c>
      <c r="H2916" s="100">
        <v>-4.6838932055021078E-2</v>
      </c>
      <c r="I2916" s="100">
        <v>-4.7946824733776101E-2</v>
      </c>
    </row>
    <row r="2917" spans="1:9">
      <c r="A2917" s="90">
        <v>2901</v>
      </c>
      <c r="B2917" s="110">
        <v>1.1026927608008406</v>
      </c>
      <c r="C2917" s="110">
        <v>1.0556677684511337</v>
      </c>
      <c r="G2917" s="90">
        <v>2901</v>
      </c>
      <c r="H2917" s="100">
        <v>-4.3581630211035879E-2</v>
      </c>
      <c r="I2917" s="100">
        <v>-4.7934747766775726E-2</v>
      </c>
    </row>
    <row r="2918" spans="1:9">
      <c r="A2918" s="90">
        <v>2902</v>
      </c>
      <c r="B2918" s="110">
        <v>1.1271834885622023</v>
      </c>
      <c r="C2918" s="110">
        <v>1.0515527250734895</v>
      </c>
      <c r="G2918" s="90">
        <v>2902</v>
      </c>
      <c r="H2918" s="100">
        <v>-6.9454175680039948E-2</v>
      </c>
      <c r="I2918" s="100">
        <v>-4.7927805400848025E-2</v>
      </c>
    </row>
    <row r="2919" spans="1:9">
      <c r="A2919" s="90">
        <v>2903</v>
      </c>
      <c r="B2919" s="110">
        <v>1.0837175064383981</v>
      </c>
      <c r="C2919" s="110">
        <v>1.0718643088198858</v>
      </c>
      <c r="G2919" s="90">
        <v>2903</v>
      </c>
      <c r="H2919" s="100">
        <v>-1.0997789094406307E-2</v>
      </c>
      <c r="I2919" s="100">
        <v>-4.7910181157746097E-2</v>
      </c>
    </row>
    <row r="2920" spans="1:9">
      <c r="A2920" s="90">
        <v>2904</v>
      </c>
      <c r="B2920" s="110">
        <v>1.1147053463434085</v>
      </c>
      <c r="C2920" s="110">
        <v>1.0744172866435249</v>
      </c>
      <c r="G2920" s="90">
        <v>2904</v>
      </c>
      <c r="H2920" s="100">
        <v>-3.6811650942911986E-2</v>
      </c>
      <c r="I2920" s="100">
        <v>-4.7907528368941278E-2</v>
      </c>
    </row>
    <row r="2921" spans="1:9">
      <c r="A2921" s="90">
        <v>2905</v>
      </c>
      <c r="B2921" s="110">
        <v>1.1005202508205061</v>
      </c>
      <c r="C2921" s="110">
        <v>1.0412927809591574</v>
      </c>
      <c r="G2921" s="90">
        <v>2905</v>
      </c>
      <c r="H2921" s="100">
        <v>-5.5320023477436565E-2</v>
      </c>
      <c r="I2921" s="100">
        <v>-4.7903315038039899E-2</v>
      </c>
    </row>
    <row r="2922" spans="1:9">
      <c r="A2922" s="90">
        <v>2906</v>
      </c>
      <c r="B2922" s="110">
        <v>1.108358121397427</v>
      </c>
      <c r="C2922" s="110">
        <v>1.0591602351123506</v>
      </c>
      <c r="G2922" s="90">
        <v>2906</v>
      </c>
      <c r="H2922" s="100">
        <v>-4.5403387243171008E-2</v>
      </c>
      <c r="I2922" s="100">
        <v>-4.7900649854139984E-2</v>
      </c>
    </row>
    <row r="2923" spans="1:9">
      <c r="A2923" s="90">
        <v>2907</v>
      </c>
      <c r="B2923" s="110">
        <v>1.0948820405687638</v>
      </c>
      <c r="C2923" s="110">
        <v>1.0752350598053402</v>
      </c>
      <c r="G2923" s="90">
        <v>2907</v>
      </c>
      <c r="H2923" s="100">
        <v>-1.8107333996688669E-2</v>
      </c>
      <c r="I2923" s="100">
        <v>-4.7893314624675359E-2</v>
      </c>
    </row>
    <row r="2924" spans="1:9">
      <c r="A2924" s="90">
        <v>2908</v>
      </c>
      <c r="B2924" s="110">
        <v>1.0824717135391773</v>
      </c>
      <c r="C2924" s="110">
        <v>1.055000962353243</v>
      </c>
      <c r="G2924" s="90">
        <v>2908</v>
      </c>
      <c r="H2924" s="100">
        <v>-2.5705370762569246E-2</v>
      </c>
      <c r="I2924" s="100">
        <v>-4.7872821320917074E-2</v>
      </c>
    </row>
    <row r="2925" spans="1:9">
      <c r="A2925" s="90">
        <v>2909</v>
      </c>
      <c r="B2925" s="110">
        <v>1.1353600492601517</v>
      </c>
      <c r="C2925" s="110">
        <v>1.0545775549646368</v>
      </c>
      <c r="G2925" s="90">
        <v>2909</v>
      </c>
      <c r="H2925" s="100">
        <v>-7.3809559742888178E-2</v>
      </c>
      <c r="I2925" s="100">
        <v>-4.7856149073745122E-2</v>
      </c>
    </row>
    <row r="2926" spans="1:9">
      <c r="A2926" s="90">
        <v>2910</v>
      </c>
      <c r="B2926" s="110">
        <v>1.1266093872495784</v>
      </c>
      <c r="C2926" s="110">
        <v>1.0584687366782941</v>
      </c>
      <c r="G2926" s="90">
        <v>2910</v>
      </c>
      <c r="H2926" s="100">
        <v>-6.2389304153759421E-2</v>
      </c>
      <c r="I2926" s="100">
        <v>-4.7843237281478976E-2</v>
      </c>
    </row>
    <row r="2927" spans="1:9">
      <c r="A2927" s="90">
        <v>2911</v>
      </c>
      <c r="B2927" s="110">
        <v>1.0824371511327533</v>
      </c>
      <c r="C2927" s="110">
        <v>1.0501538829912549</v>
      </c>
      <c r="G2927" s="90">
        <v>2911</v>
      </c>
      <c r="H2927" s="100">
        <v>-3.0278411548222819E-2</v>
      </c>
      <c r="I2927" s="100">
        <v>-4.7842002092656641E-2</v>
      </c>
    </row>
    <row r="2928" spans="1:9">
      <c r="A2928" s="90">
        <v>2912</v>
      </c>
      <c r="B2928" s="110">
        <v>1.1211966882162474</v>
      </c>
      <c r="C2928" s="110">
        <v>1.0663409468785585</v>
      </c>
      <c r="G2928" s="90">
        <v>2912</v>
      </c>
      <c r="H2928" s="100">
        <v>-5.0163474315465494E-2</v>
      </c>
      <c r="I2928" s="100">
        <v>-4.7833585122256807E-2</v>
      </c>
    </row>
    <row r="2929" spans="1:9">
      <c r="A2929" s="90">
        <v>2913</v>
      </c>
      <c r="B2929" s="110">
        <v>1.1165067953421906</v>
      </c>
      <c r="C2929" s="110">
        <v>1.0595226563896072</v>
      </c>
      <c r="G2929" s="90">
        <v>2913</v>
      </c>
      <c r="H2929" s="100">
        <v>-5.238639603216972E-2</v>
      </c>
      <c r="I2929" s="100">
        <v>-4.7825861245381594E-2</v>
      </c>
    </row>
    <row r="2930" spans="1:9">
      <c r="A2930" s="90">
        <v>2914</v>
      </c>
      <c r="B2930" s="110">
        <v>1.1113929194168648</v>
      </c>
      <c r="C2930" s="110">
        <v>1.0459326261325348</v>
      </c>
      <c r="G2930" s="90">
        <v>2914</v>
      </c>
      <c r="H2930" s="100">
        <v>-6.0705158369897746E-2</v>
      </c>
      <c r="I2930" s="100">
        <v>-4.7814100253807272E-2</v>
      </c>
    </row>
    <row r="2931" spans="1:9">
      <c r="A2931" s="90">
        <v>2915</v>
      </c>
      <c r="B2931" s="110">
        <v>1.0994254153635719</v>
      </c>
      <c r="C2931" s="110">
        <v>1.0450078459490266</v>
      </c>
      <c r="G2931" s="90">
        <v>2915</v>
      </c>
      <c r="H2931" s="100">
        <v>-5.0763300188948222E-2</v>
      </c>
      <c r="I2931" s="100">
        <v>-4.7810017696760465E-2</v>
      </c>
    </row>
    <row r="2932" spans="1:9">
      <c r="A2932" s="90">
        <v>2916</v>
      </c>
      <c r="B2932" s="110">
        <v>1.1250626168296842</v>
      </c>
      <c r="C2932" s="110">
        <v>1.0477306846220693</v>
      </c>
      <c r="G2932" s="90">
        <v>2916</v>
      </c>
      <c r="H2932" s="100">
        <v>-7.1212120960323644E-2</v>
      </c>
      <c r="I2932" s="100">
        <v>-4.7808759301885849E-2</v>
      </c>
    </row>
    <row r="2933" spans="1:9">
      <c r="A2933" s="90">
        <v>2917</v>
      </c>
      <c r="B2933" s="110">
        <v>1.1020814440132469</v>
      </c>
      <c r="C2933" s="110">
        <v>1.0660993303542263</v>
      </c>
      <c r="G2933" s="90">
        <v>2917</v>
      </c>
      <c r="H2933" s="100">
        <v>-3.3194111790500747E-2</v>
      </c>
      <c r="I2933" s="100">
        <v>-4.7794579569541133E-2</v>
      </c>
    </row>
    <row r="2934" spans="1:9">
      <c r="A2934" s="90">
        <v>2918</v>
      </c>
      <c r="B2934" s="110">
        <v>1.1083335905370955</v>
      </c>
      <c r="C2934" s="110">
        <v>1.0551055819906363</v>
      </c>
      <c r="G2934" s="90">
        <v>2918</v>
      </c>
      <c r="H2934" s="100">
        <v>-4.9216777866393398E-2</v>
      </c>
      <c r="I2934" s="100">
        <v>-4.7782045975924954E-2</v>
      </c>
    </row>
    <row r="2935" spans="1:9">
      <c r="A2935" s="90">
        <v>2919</v>
      </c>
      <c r="B2935" s="110">
        <v>1.1345570739295163</v>
      </c>
      <c r="C2935" s="110">
        <v>1.0407884634731746</v>
      </c>
      <c r="G2935" s="90">
        <v>2919</v>
      </c>
      <c r="H2935" s="100">
        <v>-8.6263767667905666E-2</v>
      </c>
      <c r="I2935" s="100">
        <v>-4.778200166104752E-2</v>
      </c>
    </row>
    <row r="2936" spans="1:9">
      <c r="A2936" s="90">
        <v>2920</v>
      </c>
      <c r="B2936" s="110">
        <v>1.1072074858245691</v>
      </c>
      <c r="C2936" s="110">
        <v>1.0583175558148865</v>
      </c>
      <c r="G2936" s="90">
        <v>2920</v>
      </c>
      <c r="H2936" s="100">
        <v>-4.5160631225413007E-2</v>
      </c>
      <c r="I2936" s="100">
        <v>-4.776423723471452E-2</v>
      </c>
    </row>
    <row r="2937" spans="1:9">
      <c r="A2937" s="90">
        <v>2921</v>
      </c>
      <c r="B2937" s="110">
        <v>1.1528812119555831</v>
      </c>
      <c r="C2937" s="110">
        <v>1.0496828338500277</v>
      </c>
      <c r="G2937" s="90">
        <v>2921</v>
      </c>
      <c r="H2937" s="100">
        <v>-9.3776155249920334E-2</v>
      </c>
      <c r="I2937" s="100">
        <v>-4.7709453173482817E-2</v>
      </c>
    </row>
    <row r="2938" spans="1:9">
      <c r="A2938" s="90">
        <v>2922</v>
      </c>
      <c r="B2938" s="110">
        <v>1.147859590405413</v>
      </c>
      <c r="C2938" s="110">
        <v>1.0545899770657312</v>
      </c>
      <c r="G2938" s="90">
        <v>2922</v>
      </c>
      <c r="H2938" s="100">
        <v>-8.4746938353896337E-2</v>
      </c>
      <c r="I2938" s="100">
        <v>-4.770709301006295E-2</v>
      </c>
    </row>
    <row r="2939" spans="1:9">
      <c r="A2939" s="90">
        <v>2923</v>
      </c>
      <c r="B2939" s="110">
        <v>1.1244734145301509</v>
      </c>
      <c r="C2939" s="110">
        <v>1.0580804829174539</v>
      </c>
      <c r="G2939" s="90">
        <v>2923</v>
      </c>
      <c r="H2939" s="100">
        <v>-6.0858448748111381E-2</v>
      </c>
      <c r="I2939" s="100">
        <v>-4.7703342062061331E-2</v>
      </c>
    </row>
    <row r="2940" spans="1:9">
      <c r="A2940" s="90">
        <v>2924</v>
      </c>
      <c r="B2940" s="110">
        <v>1.1211018511817514</v>
      </c>
      <c r="C2940" s="110">
        <v>1.068217702169028</v>
      </c>
      <c r="G2940" s="90">
        <v>2924</v>
      </c>
      <c r="H2940" s="100">
        <v>-4.8320436647675158E-2</v>
      </c>
      <c r="I2940" s="100">
        <v>-4.7703118140474295E-2</v>
      </c>
    </row>
    <row r="2941" spans="1:9">
      <c r="A2941" s="90">
        <v>2925</v>
      </c>
      <c r="B2941" s="110">
        <v>1.0931922616636593</v>
      </c>
      <c r="C2941" s="110">
        <v>1.05093295412596</v>
      </c>
      <c r="G2941" s="90">
        <v>2925</v>
      </c>
      <c r="H2941" s="100">
        <v>-3.9423799035484555E-2</v>
      </c>
      <c r="I2941" s="100">
        <v>-4.7688880749406172E-2</v>
      </c>
    </row>
    <row r="2942" spans="1:9">
      <c r="A2942" s="90">
        <v>2926</v>
      </c>
      <c r="B2942" s="110">
        <v>1.1469071492786136</v>
      </c>
      <c r="C2942" s="110">
        <v>1.051489973599314</v>
      </c>
      <c r="G2942" s="90">
        <v>2926</v>
      </c>
      <c r="H2942" s="100">
        <v>-8.6860703152429664E-2</v>
      </c>
      <c r="I2942" s="100">
        <v>-4.7685041971905748E-2</v>
      </c>
    </row>
    <row r="2943" spans="1:9">
      <c r="A2943" s="90">
        <v>2927</v>
      </c>
      <c r="B2943" s="110">
        <v>1.1386235172732511</v>
      </c>
      <c r="C2943" s="110">
        <v>1.0410071224932529</v>
      </c>
      <c r="G2943" s="90">
        <v>2927</v>
      </c>
      <c r="H2943" s="100">
        <v>-8.9631460292033394E-2</v>
      </c>
      <c r="I2943" s="100">
        <v>-4.7669136451083061E-2</v>
      </c>
    </row>
    <row r="2944" spans="1:9">
      <c r="A2944" s="90">
        <v>2928</v>
      </c>
      <c r="B2944" s="110">
        <v>1.1320368616663281</v>
      </c>
      <c r="C2944" s="110">
        <v>1.0621169416453804</v>
      </c>
      <c r="G2944" s="90">
        <v>2928</v>
      </c>
      <c r="H2944" s="100">
        <v>-6.3754511259036792E-2</v>
      </c>
      <c r="I2944" s="100">
        <v>-4.7667396104259623E-2</v>
      </c>
    </row>
    <row r="2945" spans="1:9">
      <c r="A2945" s="90">
        <v>2929</v>
      </c>
      <c r="B2945" s="110">
        <v>1.1269272563854384</v>
      </c>
      <c r="C2945" s="110">
        <v>1.0735270432423158</v>
      </c>
      <c r="G2945" s="90">
        <v>2929</v>
      </c>
      <c r="H2945" s="100">
        <v>-4.8545157057572487E-2</v>
      </c>
      <c r="I2945" s="100">
        <v>-4.7661185685556683E-2</v>
      </c>
    </row>
    <row r="2946" spans="1:9">
      <c r="A2946" s="90">
        <v>2930</v>
      </c>
      <c r="B2946" s="110">
        <v>1.081108020010584</v>
      </c>
      <c r="C2946" s="110">
        <v>1.0590801437458157</v>
      </c>
      <c r="G2946" s="90">
        <v>2930</v>
      </c>
      <c r="H2946" s="100">
        <v>-2.0585717210884771E-2</v>
      </c>
      <c r="I2946" s="100">
        <v>-4.7659257430934118E-2</v>
      </c>
    </row>
    <row r="2947" spans="1:9">
      <c r="A2947" s="90">
        <v>2931</v>
      </c>
      <c r="B2947" s="110">
        <v>1.140532993991701</v>
      </c>
      <c r="C2947" s="110">
        <v>1.0422137314837405</v>
      </c>
      <c r="G2947" s="90">
        <v>2931</v>
      </c>
      <c r="H2947" s="100">
        <v>-9.0148652848776961E-2</v>
      </c>
      <c r="I2947" s="100">
        <v>-4.7656632773340757E-2</v>
      </c>
    </row>
    <row r="2948" spans="1:9">
      <c r="A2948" s="90">
        <v>2932</v>
      </c>
      <c r="B2948" s="110">
        <v>1.1171904224705469</v>
      </c>
      <c r="C2948" s="110">
        <v>1.0591337400638876</v>
      </c>
      <c r="G2948" s="90">
        <v>2932</v>
      </c>
      <c r="H2948" s="100">
        <v>-5.3365634596907838E-2</v>
      </c>
      <c r="I2948" s="100">
        <v>-4.7655995973385053E-2</v>
      </c>
    </row>
    <row r="2949" spans="1:9">
      <c r="A2949" s="90">
        <v>2933</v>
      </c>
      <c r="B2949" s="110">
        <v>1.1136482162572274</v>
      </c>
      <c r="C2949" s="110">
        <v>1.0569280502338247</v>
      </c>
      <c r="G2949" s="90">
        <v>2933</v>
      </c>
      <c r="H2949" s="100">
        <v>-5.227467252248038E-2</v>
      </c>
      <c r="I2949" s="100">
        <v>-4.7655922096389698E-2</v>
      </c>
    </row>
    <row r="2950" spans="1:9">
      <c r="A2950" s="90">
        <v>2934</v>
      </c>
      <c r="B2950" s="110">
        <v>1.0824038967730543</v>
      </c>
      <c r="C2950" s="110">
        <v>1.0639024665585144</v>
      </c>
      <c r="G2950" s="90">
        <v>2934</v>
      </c>
      <c r="H2950" s="100">
        <v>-1.724067804140186E-2</v>
      </c>
      <c r="I2950" s="100">
        <v>-4.7651316053303618E-2</v>
      </c>
    </row>
    <row r="2951" spans="1:9">
      <c r="A2951" s="90">
        <v>2935</v>
      </c>
      <c r="B2951" s="110">
        <v>1.0899542588583482</v>
      </c>
      <c r="C2951" s="110">
        <v>1.072536802684575</v>
      </c>
      <c r="G2951" s="90">
        <v>2935</v>
      </c>
      <c r="H2951" s="100">
        <v>-1.610904492167882E-2</v>
      </c>
      <c r="I2951" s="100">
        <v>-4.7641966272535009E-2</v>
      </c>
    </row>
    <row r="2952" spans="1:9">
      <c r="A2952" s="90">
        <v>2936</v>
      </c>
      <c r="B2952" s="110">
        <v>1.0959984147073687</v>
      </c>
      <c r="C2952" s="110">
        <v>1.0505286772951841</v>
      </c>
      <c r="G2952" s="90">
        <v>2936</v>
      </c>
      <c r="H2952" s="100">
        <v>-4.2372202449266809E-2</v>
      </c>
      <c r="I2952" s="100">
        <v>-4.7618594430157632E-2</v>
      </c>
    </row>
    <row r="2953" spans="1:9">
      <c r="A2953" s="90">
        <v>2937</v>
      </c>
      <c r="B2953" s="110">
        <v>1.1144857375698654</v>
      </c>
      <c r="C2953" s="110">
        <v>1.0579733851603881</v>
      </c>
      <c r="G2953" s="90">
        <v>2937</v>
      </c>
      <c r="H2953" s="100">
        <v>-5.2037899289446903E-2</v>
      </c>
      <c r="I2953" s="100">
        <v>-4.7598833152057346E-2</v>
      </c>
    </row>
    <row r="2954" spans="1:9">
      <c r="A2954" s="90">
        <v>2938</v>
      </c>
      <c r="B2954" s="110">
        <v>1.0929611977407467</v>
      </c>
      <c r="C2954" s="110">
        <v>1.0607915247889264</v>
      </c>
      <c r="G2954" s="90">
        <v>2938</v>
      </c>
      <c r="H2954" s="100">
        <v>-2.9875356904410653E-2</v>
      </c>
      <c r="I2954" s="100">
        <v>-4.7596667805975587E-2</v>
      </c>
    </row>
    <row r="2955" spans="1:9">
      <c r="A2955" s="90">
        <v>2939</v>
      </c>
      <c r="B2955" s="110">
        <v>1.1145522358031053</v>
      </c>
      <c r="C2955" s="110">
        <v>1.0616743681534735</v>
      </c>
      <c r="G2955" s="90">
        <v>2939</v>
      </c>
      <c r="H2955" s="100">
        <v>-4.8605487539568643E-2</v>
      </c>
      <c r="I2955" s="100">
        <v>-4.759377571119134E-2</v>
      </c>
    </row>
    <row r="2956" spans="1:9">
      <c r="A2956" s="90">
        <v>2940</v>
      </c>
      <c r="B2956" s="110">
        <v>1.0901881673528981</v>
      </c>
      <c r="C2956" s="110">
        <v>1.0659098258559299</v>
      </c>
      <c r="G2956" s="90">
        <v>2940</v>
      </c>
      <c r="H2956" s="100">
        <v>-2.2521580904994523E-2</v>
      </c>
      <c r="I2956" s="100">
        <v>-4.7585641735240589E-2</v>
      </c>
    </row>
    <row r="2957" spans="1:9">
      <c r="A2957" s="90">
        <v>2941</v>
      </c>
      <c r="B2957" s="110">
        <v>1.1164332548811717</v>
      </c>
      <c r="C2957" s="110">
        <v>1.0600908596553353</v>
      </c>
      <c r="G2957" s="90">
        <v>2941</v>
      </c>
      <c r="H2957" s="100">
        <v>-5.1784388733957611E-2</v>
      </c>
      <c r="I2957" s="100">
        <v>-4.7573124268993766E-2</v>
      </c>
    </row>
    <row r="2958" spans="1:9">
      <c r="A2958" s="90">
        <v>2942</v>
      </c>
      <c r="B2958" s="110">
        <v>1.0957674688258416</v>
      </c>
      <c r="C2958" s="110">
        <v>1.05238171597883</v>
      </c>
      <c r="G2958" s="90">
        <v>2942</v>
      </c>
      <c r="H2958" s="100">
        <v>-4.0399106145132944E-2</v>
      </c>
      <c r="I2958" s="100">
        <v>-4.7569703311882358E-2</v>
      </c>
    </row>
    <row r="2959" spans="1:9">
      <c r="A2959" s="90">
        <v>2943</v>
      </c>
      <c r="B2959" s="110">
        <v>1.0980308545583952</v>
      </c>
      <c r="C2959" s="110">
        <v>1.0712858236831113</v>
      </c>
      <c r="G2959" s="90">
        <v>2943</v>
      </c>
      <c r="H2959" s="100">
        <v>-2.4658812001441145E-2</v>
      </c>
      <c r="I2959" s="100">
        <v>-4.7553756673116149E-2</v>
      </c>
    </row>
    <row r="2960" spans="1:9">
      <c r="A2960" s="90">
        <v>2944</v>
      </c>
      <c r="B2960" s="110">
        <v>1.1234642098638006</v>
      </c>
      <c r="C2960" s="110">
        <v>1.0626553633119005</v>
      </c>
      <c r="G2960" s="90">
        <v>2944</v>
      </c>
      <c r="H2960" s="100">
        <v>-5.5646120786606225E-2</v>
      </c>
      <c r="I2960" s="100">
        <v>-4.7546835598908814E-2</v>
      </c>
    </row>
    <row r="2961" spans="1:9">
      <c r="A2961" s="90">
        <v>2945</v>
      </c>
      <c r="B2961" s="110">
        <v>1.0915048479514147</v>
      </c>
      <c r="C2961" s="110">
        <v>1.0564584767776359</v>
      </c>
      <c r="G2961" s="90">
        <v>2945</v>
      </c>
      <c r="H2961" s="100">
        <v>-3.2635083870118264E-2</v>
      </c>
      <c r="I2961" s="100">
        <v>-4.754644677816109E-2</v>
      </c>
    </row>
    <row r="2962" spans="1:9">
      <c r="A2962" s="90">
        <v>2946</v>
      </c>
      <c r="B2962" s="110">
        <v>1.1162295578783168</v>
      </c>
      <c r="C2962" s="110">
        <v>1.0616868681388705</v>
      </c>
      <c r="G2962" s="90">
        <v>2946</v>
      </c>
      <c r="H2962" s="100">
        <v>-5.0097511580693692E-2</v>
      </c>
      <c r="I2962" s="100">
        <v>-4.7538584212085684E-2</v>
      </c>
    </row>
    <row r="2963" spans="1:9">
      <c r="A2963" s="90">
        <v>2947</v>
      </c>
      <c r="B2963" s="110">
        <v>1.1103976770328283</v>
      </c>
      <c r="C2963" s="110">
        <v>1.0404923679412024</v>
      </c>
      <c r="G2963" s="90">
        <v>2947</v>
      </c>
      <c r="H2963" s="100">
        <v>-6.5024186925859748E-2</v>
      </c>
      <c r="I2963" s="100">
        <v>-4.7526840708733975E-2</v>
      </c>
    </row>
    <row r="2964" spans="1:9">
      <c r="A2964" s="90">
        <v>2948</v>
      </c>
      <c r="B2964" s="110">
        <v>1.1345566699566807</v>
      </c>
      <c r="C2964" s="110">
        <v>1.0531674776887845</v>
      </c>
      <c r="G2964" s="90">
        <v>2948</v>
      </c>
      <c r="H2964" s="100">
        <v>-7.4439706830014135E-2</v>
      </c>
      <c r="I2964" s="100">
        <v>-4.7526455884204101E-2</v>
      </c>
    </row>
    <row r="2965" spans="1:9">
      <c r="A2965" s="90">
        <v>2949</v>
      </c>
      <c r="B2965" s="110">
        <v>1.1214547169430489</v>
      </c>
      <c r="C2965" s="110">
        <v>1.0432898021181995</v>
      </c>
      <c r="G2965" s="90">
        <v>2949</v>
      </c>
      <c r="H2965" s="100">
        <v>-7.2247705134612775E-2</v>
      </c>
      <c r="I2965" s="100">
        <v>-4.7508200662169021E-2</v>
      </c>
    </row>
    <row r="2966" spans="1:9">
      <c r="A2966" s="90">
        <v>2950</v>
      </c>
      <c r="B2966" s="110">
        <v>1.1043895202917384</v>
      </c>
      <c r="C2966" s="110">
        <v>1.0589182249101889</v>
      </c>
      <c r="G2966" s="90">
        <v>2950</v>
      </c>
      <c r="H2966" s="100">
        <v>-4.2044867499225126E-2</v>
      </c>
      <c r="I2966" s="100">
        <v>-4.7497577203499175E-2</v>
      </c>
    </row>
    <row r="2967" spans="1:9">
      <c r="A2967" s="90">
        <v>2951</v>
      </c>
      <c r="B2967" s="110">
        <v>1.1129969550145167</v>
      </c>
      <c r="C2967" s="110">
        <v>1.0303624981345643</v>
      </c>
      <c r="G2967" s="90">
        <v>2951</v>
      </c>
      <c r="H2967" s="100">
        <v>-7.7145656191969642E-2</v>
      </c>
      <c r="I2967" s="100">
        <v>-4.7495009874777998E-2</v>
      </c>
    </row>
    <row r="2968" spans="1:9">
      <c r="A2968" s="90">
        <v>2952</v>
      </c>
      <c r="B2968" s="110">
        <v>1.1175090168704036</v>
      </c>
      <c r="C2968" s="110">
        <v>1.0552178119068791</v>
      </c>
      <c r="G2968" s="90">
        <v>2952</v>
      </c>
      <c r="H2968" s="100">
        <v>-5.7354913858334897E-2</v>
      </c>
      <c r="I2968" s="100">
        <v>-4.7470407387746563E-2</v>
      </c>
    </row>
    <row r="2969" spans="1:9">
      <c r="A2969" s="90">
        <v>2953</v>
      </c>
      <c r="B2969" s="110">
        <v>1.1091673921778988</v>
      </c>
      <c r="C2969" s="110">
        <v>1.0537271301756297</v>
      </c>
      <c r="G2969" s="90">
        <v>2953</v>
      </c>
      <c r="H2969" s="100">
        <v>-5.1276109898613483E-2</v>
      </c>
      <c r="I2969" s="100">
        <v>-4.7439143463013977E-2</v>
      </c>
    </row>
    <row r="2970" spans="1:9">
      <c r="A2970" s="90">
        <v>2954</v>
      </c>
      <c r="B2970" s="110">
        <v>1.1164744637786603</v>
      </c>
      <c r="C2970" s="110">
        <v>1.0497599197410996</v>
      </c>
      <c r="G2970" s="90">
        <v>2954</v>
      </c>
      <c r="H2970" s="100">
        <v>-6.1614430205012297E-2</v>
      </c>
      <c r="I2970" s="100">
        <v>-4.7434134504937345E-2</v>
      </c>
    </row>
    <row r="2971" spans="1:9">
      <c r="A2971" s="90">
        <v>2955</v>
      </c>
      <c r="B2971" s="110">
        <v>1.1412450526774467</v>
      </c>
      <c r="C2971" s="110">
        <v>1.0625402082508586</v>
      </c>
      <c r="G2971" s="90">
        <v>2955</v>
      </c>
      <c r="H2971" s="100">
        <v>-7.1457353754276462E-2</v>
      </c>
      <c r="I2971" s="100">
        <v>-4.7433177243013942E-2</v>
      </c>
    </row>
    <row r="2972" spans="1:9">
      <c r="A2972" s="90">
        <v>2956</v>
      </c>
      <c r="B2972" s="110">
        <v>1.1113808275760302</v>
      </c>
      <c r="C2972" s="110">
        <v>1.0449963529873134</v>
      </c>
      <c r="G2972" s="90">
        <v>2956</v>
      </c>
      <c r="H2972" s="100">
        <v>-6.1589835572106032E-2</v>
      </c>
      <c r="I2972" s="100">
        <v>-4.7428902243137144E-2</v>
      </c>
    </row>
    <row r="2973" spans="1:9">
      <c r="A2973" s="90">
        <v>2957</v>
      </c>
      <c r="B2973" s="110">
        <v>1.0829811074626534</v>
      </c>
      <c r="C2973" s="110">
        <v>1.0601237486081478</v>
      </c>
      <c r="G2973" s="90">
        <v>2957</v>
      </c>
      <c r="H2973" s="100">
        <v>-2.1331877953992183E-2</v>
      </c>
      <c r="I2973" s="100">
        <v>-4.7428662242113173E-2</v>
      </c>
    </row>
    <row r="2974" spans="1:9">
      <c r="A2974" s="90">
        <v>2958</v>
      </c>
      <c r="B2974" s="110">
        <v>1.1157645482094429</v>
      </c>
      <c r="C2974" s="110">
        <v>1.0481181206395658</v>
      </c>
      <c r="G2974" s="90">
        <v>2958</v>
      </c>
      <c r="H2974" s="100">
        <v>-6.2543573311682282E-2</v>
      </c>
      <c r="I2974" s="100">
        <v>-4.741981401375376E-2</v>
      </c>
    </row>
    <row r="2975" spans="1:9">
      <c r="A2975" s="90">
        <v>2959</v>
      </c>
      <c r="B2975" s="110">
        <v>1.0802914361960287</v>
      </c>
      <c r="C2975" s="110">
        <v>1.0653727117211009</v>
      </c>
      <c r="G2975" s="90">
        <v>2959</v>
      </c>
      <c r="H2975" s="100">
        <v>-1.3906151067649747E-2</v>
      </c>
      <c r="I2975" s="100">
        <v>-4.7409900078508385E-2</v>
      </c>
    </row>
    <row r="2976" spans="1:9">
      <c r="A2976" s="90">
        <v>2960</v>
      </c>
      <c r="B2976" s="110">
        <v>1.0972873552074915</v>
      </c>
      <c r="C2976" s="110">
        <v>1.0540579549311277</v>
      </c>
      <c r="G2976" s="90">
        <v>2960</v>
      </c>
      <c r="H2976" s="100">
        <v>-4.0193659086553757E-2</v>
      </c>
      <c r="I2976" s="100">
        <v>-4.7395217117979997E-2</v>
      </c>
    </row>
    <row r="2977" spans="1:9">
      <c r="A2977" s="90">
        <v>2961</v>
      </c>
      <c r="B2977" s="110">
        <v>1.0669672200556173</v>
      </c>
      <c r="C2977" s="110">
        <v>1.0508643795355215</v>
      </c>
      <c r="G2977" s="90">
        <v>2961</v>
      </c>
      <c r="H2977" s="100">
        <v>-1.5207206134236963E-2</v>
      </c>
      <c r="I2977" s="100">
        <v>-4.7394444673960597E-2</v>
      </c>
    </row>
    <row r="2978" spans="1:9">
      <c r="A2978" s="90">
        <v>2962</v>
      </c>
      <c r="B2978" s="110">
        <v>1.1023629771377341</v>
      </c>
      <c r="C2978" s="110">
        <v>1.0447614348852261</v>
      </c>
      <c r="G2978" s="90">
        <v>2962</v>
      </c>
      <c r="H2978" s="100">
        <v>-5.3667469461363443E-2</v>
      </c>
      <c r="I2978" s="100">
        <v>-4.7391169234960298E-2</v>
      </c>
    </row>
    <row r="2979" spans="1:9">
      <c r="A2979" s="90">
        <v>2963</v>
      </c>
      <c r="B2979" s="110">
        <v>1.0930362400901927</v>
      </c>
      <c r="C2979" s="110">
        <v>1.0420369084865948</v>
      </c>
      <c r="G2979" s="90">
        <v>2963</v>
      </c>
      <c r="H2979" s="100">
        <v>-4.778200166104752E-2</v>
      </c>
      <c r="I2979" s="100">
        <v>-4.7390748849583497E-2</v>
      </c>
    </row>
    <row r="2980" spans="1:9">
      <c r="A2980" s="90">
        <v>2964</v>
      </c>
      <c r="B2980" s="110">
        <v>1.1003969063435832</v>
      </c>
      <c r="C2980" s="110">
        <v>1.0479869626786644</v>
      </c>
      <c r="G2980" s="90">
        <v>2964</v>
      </c>
      <c r="H2980" s="100">
        <v>-4.8799793042374251E-2</v>
      </c>
      <c r="I2980" s="100">
        <v>-4.7380200676056597E-2</v>
      </c>
    </row>
    <row r="2981" spans="1:9">
      <c r="A2981" s="90">
        <v>2965</v>
      </c>
      <c r="B2981" s="110">
        <v>1.0862121794305011</v>
      </c>
      <c r="C2981" s="110">
        <v>1.0647646363405616</v>
      </c>
      <c r="G2981" s="90">
        <v>2965</v>
      </c>
      <c r="H2981" s="100">
        <v>-1.9942803439658138E-2</v>
      </c>
      <c r="I2981" s="100">
        <v>-4.7366568605763958E-2</v>
      </c>
    </row>
    <row r="2982" spans="1:9">
      <c r="A2982" s="90">
        <v>2966</v>
      </c>
      <c r="B2982" s="110">
        <v>1.1168461279016546</v>
      </c>
      <c r="C2982" s="110">
        <v>1.0486050759508445</v>
      </c>
      <c r="G2982" s="90">
        <v>2966</v>
      </c>
      <c r="H2982" s="100">
        <v>-6.3047973972131313E-2</v>
      </c>
      <c r="I2982" s="100">
        <v>-4.7354070346377453E-2</v>
      </c>
    </row>
    <row r="2983" spans="1:9">
      <c r="A2983" s="90">
        <v>2967</v>
      </c>
      <c r="B2983" s="110">
        <v>1.107517528324427</v>
      </c>
      <c r="C2983" s="110">
        <v>1.0652954889313595</v>
      </c>
      <c r="G2983" s="90">
        <v>2967</v>
      </c>
      <c r="H2983" s="100">
        <v>-3.8868834667735837E-2</v>
      </c>
      <c r="I2983" s="100">
        <v>-4.7347747935564351E-2</v>
      </c>
    </row>
    <row r="2984" spans="1:9">
      <c r="A2984" s="90">
        <v>2968</v>
      </c>
      <c r="B2984" s="110">
        <v>1.1014653637136167</v>
      </c>
      <c r="C2984" s="110">
        <v>1.0753346519359515</v>
      </c>
      <c r="G2984" s="90">
        <v>2968</v>
      </c>
      <c r="H2984" s="100">
        <v>-2.4009524850848358E-2</v>
      </c>
      <c r="I2984" s="100">
        <v>-4.7334371849917151E-2</v>
      </c>
    </row>
    <row r="2985" spans="1:9">
      <c r="A2985" s="90">
        <v>2969</v>
      </c>
      <c r="B2985" s="110">
        <v>1.116257157566426</v>
      </c>
      <c r="C2985" s="110">
        <v>1.0526111391894086</v>
      </c>
      <c r="G2985" s="90">
        <v>2969</v>
      </c>
      <c r="H2985" s="100">
        <v>-5.8707388912625717E-2</v>
      </c>
      <c r="I2985" s="100">
        <v>-4.7329096430412408E-2</v>
      </c>
    </row>
    <row r="2986" spans="1:9">
      <c r="A2986" s="90">
        <v>2970</v>
      </c>
      <c r="B2986" s="110">
        <v>1.1547665028932534</v>
      </c>
      <c r="C2986" s="110">
        <v>1.0584415717675086</v>
      </c>
      <c r="G2986" s="90">
        <v>2970</v>
      </c>
      <c r="H2986" s="100">
        <v>-8.7100550555787956E-2</v>
      </c>
      <c r="I2986" s="100">
        <v>-4.7321884167491467E-2</v>
      </c>
    </row>
    <row r="2987" spans="1:9">
      <c r="A2987" s="90">
        <v>2971</v>
      </c>
      <c r="B2987" s="110">
        <v>1.1130223156409715</v>
      </c>
      <c r="C2987" s="110">
        <v>1.0598321955899836</v>
      </c>
      <c r="G2987" s="90">
        <v>2971</v>
      </c>
      <c r="H2987" s="100">
        <v>-4.8968532539231883E-2</v>
      </c>
      <c r="I2987" s="100">
        <v>-4.7312876519292536E-2</v>
      </c>
    </row>
    <row r="2988" spans="1:9">
      <c r="A2988" s="90">
        <v>2972</v>
      </c>
      <c r="B2988" s="110">
        <v>1.1007654679576393</v>
      </c>
      <c r="C2988" s="110">
        <v>1.0455480401402764</v>
      </c>
      <c r="G2988" s="90">
        <v>2972</v>
      </c>
      <c r="H2988" s="100">
        <v>-5.1464629481991035E-2</v>
      </c>
      <c r="I2988" s="100">
        <v>-4.7312207916136016E-2</v>
      </c>
    </row>
    <row r="2989" spans="1:9">
      <c r="A2989" s="90">
        <v>2973</v>
      </c>
      <c r="B2989" s="110">
        <v>1.1146148629599804</v>
      </c>
      <c r="C2989" s="110">
        <v>1.0270641340815381</v>
      </c>
      <c r="G2989" s="90">
        <v>2973</v>
      </c>
      <c r="H2989" s="100">
        <v>-8.1804553874579355E-2</v>
      </c>
      <c r="I2989" s="100">
        <v>-4.7303889122596712E-2</v>
      </c>
    </row>
    <row r="2990" spans="1:9">
      <c r="A2990" s="90">
        <v>2974</v>
      </c>
      <c r="B2990" s="110">
        <v>1.0992986191292584</v>
      </c>
      <c r="C2990" s="110">
        <v>1.0518513288289699</v>
      </c>
      <c r="G2990" s="90">
        <v>2974</v>
      </c>
      <c r="H2990" s="100">
        <v>-4.4120575542850871E-2</v>
      </c>
      <c r="I2990" s="100">
        <v>-4.7288629613930593E-2</v>
      </c>
    </row>
    <row r="2991" spans="1:9">
      <c r="A2991" s="90">
        <v>2975</v>
      </c>
      <c r="B2991" s="110">
        <v>1.081143928555343</v>
      </c>
      <c r="C2991" s="110">
        <v>1.0588086137856152</v>
      </c>
      <c r="G2991" s="90">
        <v>2975</v>
      </c>
      <c r="H2991" s="100">
        <v>-2.0875346933219876E-2</v>
      </c>
      <c r="I2991" s="100">
        <v>-4.7269685669119786E-2</v>
      </c>
    </row>
    <row r="2992" spans="1:9">
      <c r="A2992" s="90">
        <v>2976</v>
      </c>
      <c r="B2992" s="110">
        <v>1.0973465430845561</v>
      </c>
      <c r="C2992" s="110">
        <v>1.0748925107705967</v>
      </c>
      <c r="G2992" s="90">
        <v>2976</v>
      </c>
      <c r="H2992" s="100">
        <v>-2.0674365522697025E-2</v>
      </c>
      <c r="I2992" s="100">
        <v>-4.7269229723964634E-2</v>
      </c>
    </row>
    <row r="2993" spans="1:9">
      <c r="A2993" s="90">
        <v>2977</v>
      </c>
      <c r="B2993" s="110">
        <v>1.1253610670557952</v>
      </c>
      <c r="C2993" s="110">
        <v>1.051576572888367</v>
      </c>
      <c r="G2993" s="90">
        <v>2977</v>
      </c>
      <c r="H2993" s="100">
        <v>-6.7813396620120814E-2</v>
      </c>
      <c r="I2993" s="100">
        <v>-4.7268409950679866E-2</v>
      </c>
    </row>
    <row r="2994" spans="1:9">
      <c r="A2994" s="90">
        <v>2978</v>
      </c>
      <c r="B2994" s="110">
        <v>1.1109920751097648</v>
      </c>
      <c r="C2994" s="110">
        <v>1.0497784954998097</v>
      </c>
      <c r="G2994" s="90">
        <v>2978</v>
      </c>
      <c r="H2994" s="100">
        <v>-5.6674192269432495E-2</v>
      </c>
      <c r="I2994" s="100">
        <v>-4.7266695942484366E-2</v>
      </c>
    </row>
    <row r="2995" spans="1:9">
      <c r="A2995" s="90">
        <v>2979</v>
      </c>
      <c r="B2995" s="110">
        <v>1.0888778526851732</v>
      </c>
      <c r="C2995" s="110">
        <v>1.0648414254412879</v>
      </c>
      <c r="G2995" s="90">
        <v>2979</v>
      </c>
      <c r="H2995" s="100">
        <v>-2.2321781223844005E-2</v>
      </c>
      <c r="I2995" s="100">
        <v>-4.7262233563248809E-2</v>
      </c>
    </row>
    <row r="2996" spans="1:9">
      <c r="A2996" s="90">
        <v>2980</v>
      </c>
      <c r="B2996" s="110">
        <v>1.1227183283200413</v>
      </c>
      <c r="C2996" s="110">
        <v>1.0579989693381775</v>
      </c>
      <c r="G2996" s="90">
        <v>2980</v>
      </c>
      <c r="H2996" s="100">
        <v>-5.9373464290255341E-2</v>
      </c>
      <c r="I2996" s="100">
        <v>-4.7258764364357268E-2</v>
      </c>
    </row>
    <row r="2997" spans="1:9">
      <c r="A2997" s="90">
        <v>2981</v>
      </c>
      <c r="B2997" s="110">
        <v>1.1266409011442087</v>
      </c>
      <c r="C2997" s="110">
        <v>1.0622195442867872</v>
      </c>
      <c r="G2997" s="90">
        <v>2981</v>
      </c>
      <c r="H2997" s="100">
        <v>-5.8879923103418698E-2</v>
      </c>
      <c r="I2997" s="100">
        <v>-4.7252817793332652E-2</v>
      </c>
    </row>
    <row r="2998" spans="1:9">
      <c r="A2998" s="90">
        <v>2982</v>
      </c>
      <c r="B2998" s="110">
        <v>1.0888142653195267</v>
      </c>
      <c r="C2998" s="110">
        <v>1.0713002298556606</v>
      </c>
      <c r="G2998" s="90">
        <v>2982</v>
      </c>
      <c r="H2998" s="100">
        <v>-1.6216195298428923E-2</v>
      </c>
      <c r="I2998" s="100">
        <v>-4.7218915485249278E-2</v>
      </c>
    </row>
    <row r="2999" spans="1:9">
      <c r="A2999" s="90">
        <v>2983</v>
      </c>
      <c r="B2999" s="110">
        <v>1.0943337456361237</v>
      </c>
      <c r="C2999" s="110">
        <v>1.0474746931895382</v>
      </c>
      <c r="G2999" s="90">
        <v>2983</v>
      </c>
      <c r="H2999" s="100">
        <v>-4.3763513336834411E-2</v>
      </c>
      <c r="I2999" s="100">
        <v>-4.7189196294336745E-2</v>
      </c>
    </row>
    <row r="3000" spans="1:9">
      <c r="A3000" s="90">
        <v>2984</v>
      </c>
      <c r="B3000" s="110">
        <v>1.0979642660652262</v>
      </c>
      <c r="C3000" s="110">
        <v>1.0526303431501041</v>
      </c>
      <c r="G3000" s="90">
        <v>2984</v>
      </c>
      <c r="H3000" s="100">
        <v>-4.2165677611103514E-2</v>
      </c>
      <c r="I3000" s="100">
        <v>-4.7182701251683994E-2</v>
      </c>
    </row>
    <row r="3001" spans="1:9">
      <c r="A3001" s="90">
        <v>2985</v>
      </c>
      <c r="B3001" s="110">
        <v>1.0911299453527081</v>
      </c>
      <c r="C3001" s="110">
        <v>1.0571042588678989</v>
      </c>
      <c r="G3001" s="90">
        <v>2985</v>
      </c>
      <c r="H3001" s="100">
        <v>-3.1680467799543428E-2</v>
      </c>
      <c r="I3001" s="100">
        <v>-4.7171005746014551E-2</v>
      </c>
    </row>
    <row r="3002" spans="1:9">
      <c r="A3002" s="90">
        <v>2986</v>
      </c>
      <c r="B3002" s="110">
        <v>1.1242306075343587</v>
      </c>
      <c r="C3002" s="110">
        <v>1.0437524940588108</v>
      </c>
      <c r="G3002" s="90">
        <v>2986</v>
      </c>
      <c r="H3002" s="100">
        <v>-7.4276510575678356E-2</v>
      </c>
      <c r="I3002" s="100">
        <v>-4.7157068884402693E-2</v>
      </c>
    </row>
    <row r="3003" spans="1:9">
      <c r="A3003" s="90">
        <v>2987</v>
      </c>
      <c r="B3003" s="110">
        <v>1.1167321158317558</v>
      </c>
      <c r="C3003" s="110">
        <v>1.0442780648128593</v>
      </c>
      <c r="G3003" s="90">
        <v>2987</v>
      </c>
      <c r="H3003" s="100">
        <v>-6.7080867040973657E-2</v>
      </c>
      <c r="I3003" s="100">
        <v>-4.7155521788797783E-2</v>
      </c>
    </row>
    <row r="3004" spans="1:9">
      <c r="A3004" s="90">
        <v>2988</v>
      </c>
      <c r="B3004" s="110">
        <v>1.086948538618695</v>
      </c>
      <c r="C3004" s="110">
        <v>1.0637793001042524</v>
      </c>
      <c r="G3004" s="90">
        <v>2988</v>
      </c>
      <c r="H3004" s="100">
        <v>-2.1546319751356811E-2</v>
      </c>
      <c r="I3004" s="100">
        <v>-4.7149002943375963E-2</v>
      </c>
    </row>
    <row r="3005" spans="1:9">
      <c r="A3005" s="90">
        <v>2989</v>
      </c>
      <c r="B3005" s="110">
        <v>1.1387107192154697</v>
      </c>
      <c r="C3005" s="110">
        <v>1.0551709533060958</v>
      </c>
      <c r="G3005" s="90">
        <v>2989</v>
      </c>
      <c r="H3005" s="100">
        <v>-7.6193879496229383E-2</v>
      </c>
      <c r="I3005" s="100">
        <v>-4.7144725263720995E-2</v>
      </c>
    </row>
    <row r="3006" spans="1:9">
      <c r="A3006" s="90">
        <v>2990</v>
      </c>
      <c r="B3006" s="110">
        <v>1.0991678523369603</v>
      </c>
      <c r="C3006" s="110">
        <v>1.0566912483338</v>
      </c>
      <c r="G3006" s="90">
        <v>2990</v>
      </c>
      <c r="H3006" s="100">
        <v>-3.9410833282050306E-2</v>
      </c>
      <c r="I3006" s="100">
        <v>-4.7143369442225205E-2</v>
      </c>
    </row>
    <row r="3007" spans="1:9">
      <c r="A3007" s="90">
        <v>2991</v>
      </c>
      <c r="B3007" s="110">
        <v>1.144267565060761</v>
      </c>
      <c r="C3007" s="110">
        <v>1.0477357560597822</v>
      </c>
      <c r="G3007" s="90">
        <v>2991</v>
      </c>
      <c r="H3007" s="100">
        <v>-8.8133338211677043E-2</v>
      </c>
      <c r="I3007" s="100">
        <v>-4.7142059748980447E-2</v>
      </c>
    </row>
    <row r="3008" spans="1:9">
      <c r="A3008" s="90">
        <v>2992</v>
      </c>
      <c r="B3008" s="110">
        <v>1.0949074326235955</v>
      </c>
      <c r="C3008" s="110">
        <v>1.048280750829073</v>
      </c>
      <c r="G3008" s="90">
        <v>2992</v>
      </c>
      <c r="H3008" s="100">
        <v>-4.3518381243585286E-2</v>
      </c>
      <c r="I3008" s="100">
        <v>-4.7138077828888555E-2</v>
      </c>
    </row>
    <row r="3009" spans="1:9">
      <c r="A3009" s="90">
        <v>2993</v>
      </c>
      <c r="B3009" s="110">
        <v>1.1211742900247126</v>
      </c>
      <c r="C3009" s="110">
        <v>1.0620808912427788</v>
      </c>
      <c r="G3009" s="90">
        <v>2993</v>
      </c>
      <c r="H3009" s="100">
        <v>-5.4146520581618236E-2</v>
      </c>
      <c r="I3009" s="100">
        <v>-4.7128972089873045E-2</v>
      </c>
    </row>
    <row r="3010" spans="1:9">
      <c r="A3010" s="90">
        <v>2994</v>
      </c>
      <c r="B3010" s="110">
        <v>1.0807678725648264</v>
      </c>
      <c r="C3010" s="110">
        <v>1.0402540807829965</v>
      </c>
      <c r="G3010" s="90">
        <v>2994</v>
      </c>
      <c r="H3010" s="100">
        <v>-3.8206789855822473E-2</v>
      </c>
      <c r="I3010" s="100">
        <v>-4.7117926410578444E-2</v>
      </c>
    </row>
    <row r="3011" spans="1:9">
      <c r="A3011" s="90">
        <v>2995</v>
      </c>
      <c r="B3011" s="110">
        <v>1.1073218259578159</v>
      </c>
      <c r="C3011" s="110">
        <v>1.0455554698949665</v>
      </c>
      <c r="G3011" s="90">
        <v>2995</v>
      </c>
      <c r="H3011" s="100">
        <v>-5.7396036165564969E-2</v>
      </c>
      <c r="I3011" s="100">
        <v>-4.7103720414638804E-2</v>
      </c>
    </row>
    <row r="3012" spans="1:9">
      <c r="A3012" s="90">
        <v>2996</v>
      </c>
      <c r="B3012" s="110">
        <v>1.0983403788235417</v>
      </c>
      <c r="C3012" s="110">
        <v>1.0415196866466467</v>
      </c>
      <c r="G3012" s="90">
        <v>2996</v>
      </c>
      <c r="H3012" s="100">
        <v>-5.3119410230764462E-2</v>
      </c>
      <c r="I3012" s="100">
        <v>-4.7103518997547673E-2</v>
      </c>
    </row>
    <row r="3013" spans="1:9">
      <c r="A3013" s="90">
        <v>2997</v>
      </c>
      <c r="B3013" s="110">
        <v>1.1236801954529569</v>
      </c>
      <c r="C3013" s="110">
        <v>1.0691531880937797</v>
      </c>
      <c r="G3013" s="90">
        <v>2997</v>
      </c>
      <c r="H3013" s="100">
        <v>-4.9742265223855678E-2</v>
      </c>
      <c r="I3013" s="100">
        <v>-4.7091299794976692E-2</v>
      </c>
    </row>
    <row r="3014" spans="1:9">
      <c r="A3014" s="90">
        <v>2998</v>
      </c>
      <c r="B3014" s="110">
        <v>1.1343523019450348</v>
      </c>
      <c r="C3014" s="110">
        <v>1.0488261764470761</v>
      </c>
      <c r="G3014" s="90">
        <v>2998</v>
      </c>
      <c r="H3014" s="100">
        <v>-7.8390217336775647E-2</v>
      </c>
      <c r="I3014" s="100">
        <v>-4.7081453991780188E-2</v>
      </c>
    </row>
    <row r="3015" spans="1:9">
      <c r="A3015" s="90">
        <v>2999</v>
      </c>
      <c r="B3015" s="110">
        <v>1.0961888340251764</v>
      </c>
      <c r="C3015" s="110">
        <v>1.0430925124042647</v>
      </c>
      <c r="G3015" s="90">
        <v>2999</v>
      </c>
      <c r="H3015" s="100">
        <v>-4.9649597044197705E-2</v>
      </c>
      <c r="I3015" s="100">
        <v>-4.7048157719668235E-2</v>
      </c>
    </row>
    <row r="3016" spans="1:9">
      <c r="A3016" s="90">
        <v>3000</v>
      </c>
      <c r="B3016" s="110">
        <v>1.104274211232396</v>
      </c>
      <c r="C3016" s="110">
        <v>1.0649167598935152</v>
      </c>
      <c r="G3016" s="90">
        <v>3000</v>
      </c>
      <c r="H3016" s="100">
        <v>-3.6291660370892841E-2</v>
      </c>
      <c r="I3016" s="100">
        <v>-4.703444977776771E-2</v>
      </c>
    </row>
    <row r="3017" spans="1:9">
      <c r="A3017" s="90">
        <v>3001</v>
      </c>
      <c r="B3017" s="110">
        <v>1.0956725098844093</v>
      </c>
      <c r="C3017" s="110">
        <v>1.0519400713172524</v>
      </c>
      <c r="G3017" s="90">
        <v>3001</v>
      </c>
      <c r="H3017" s="100">
        <v>-4.0732192760366083E-2</v>
      </c>
      <c r="I3017" s="100">
        <v>-4.7028432736487776E-2</v>
      </c>
    </row>
    <row r="3018" spans="1:9">
      <c r="A3018" s="90">
        <v>3002</v>
      </c>
      <c r="B3018" s="110">
        <v>1.1102280691233986</v>
      </c>
      <c r="C3018" s="110">
        <v>1.0681019820719366</v>
      </c>
      <c r="G3018" s="90">
        <v>3002</v>
      </c>
      <c r="H3018" s="100">
        <v>-3.8682237086751524E-2</v>
      </c>
      <c r="I3018" s="100">
        <v>-4.7025463350135376E-2</v>
      </c>
    </row>
    <row r="3019" spans="1:9">
      <c r="A3019" s="90">
        <v>3003</v>
      </c>
      <c r="B3019" s="110">
        <v>1.0907371441797995</v>
      </c>
      <c r="C3019" s="110">
        <v>1.0542234635593108</v>
      </c>
      <c r="G3019" s="90">
        <v>3003</v>
      </c>
      <c r="H3019" s="100">
        <v>-3.4049304322078019E-2</v>
      </c>
      <c r="I3019" s="100">
        <v>-4.6999617252596881E-2</v>
      </c>
    </row>
    <row r="3020" spans="1:9">
      <c r="A3020" s="90">
        <v>3004</v>
      </c>
      <c r="B3020" s="110">
        <v>1.103674407218886</v>
      </c>
      <c r="C3020" s="110">
        <v>1.0594838018318613</v>
      </c>
      <c r="G3020" s="90">
        <v>3004</v>
      </c>
      <c r="H3020" s="100">
        <v>-4.0863173252676001E-2</v>
      </c>
      <c r="I3020" s="100">
        <v>-4.6991404431911472E-2</v>
      </c>
    </row>
    <row r="3021" spans="1:9">
      <c r="A3021" s="90">
        <v>3005</v>
      </c>
      <c r="B3021" s="110">
        <v>1.1305735219801183</v>
      </c>
      <c r="C3021" s="110">
        <v>1.0447811161716676</v>
      </c>
      <c r="G3021" s="90">
        <v>3005</v>
      </c>
      <c r="H3021" s="100">
        <v>-7.8917640275504353E-2</v>
      </c>
      <c r="I3021" s="100">
        <v>-4.6954031972783437E-2</v>
      </c>
    </row>
    <row r="3022" spans="1:9">
      <c r="A3022" s="90">
        <v>3006</v>
      </c>
      <c r="B3022" s="110">
        <v>1.1283536194101003</v>
      </c>
      <c r="C3022" s="110">
        <v>1.0521229120499918</v>
      </c>
      <c r="G3022" s="90">
        <v>3006</v>
      </c>
      <c r="H3022" s="100">
        <v>-6.9949652292155537E-2</v>
      </c>
      <c r="I3022" s="100">
        <v>-4.6950383196464558E-2</v>
      </c>
    </row>
    <row r="3023" spans="1:9">
      <c r="A3023" s="90">
        <v>3007</v>
      </c>
      <c r="B3023" s="110">
        <v>1.1270956991641103</v>
      </c>
      <c r="C3023" s="110">
        <v>1.0660261908411541</v>
      </c>
      <c r="G3023" s="90">
        <v>3007</v>
      </c>
      <c r="H3023" s="100">
        <v>-5.5706251705077384E-2</v>
      </c>
      <c r="I3023" s="100">
        <v>-4.6931556644388701E-2</v>
      </c>
    </row>
    <row r="3024" spans="1:9">
      <c r="A3024" s="90">
        <v>3008</v>
      </c>
      <c r="B3024" s="110">
        <v>1.1055343838954175</v>
      </c>
      <c r="C3024" s="110">
        <v>1.0626865607141962</v>
      </c>
      <c r="G3024" s="90">
        <v>3008</v>
      </c>
      <c r="H3024" s="100">
        <v>-3.9528630448105041E-2</v>
      </c>
      <c r="I3024" s="100">
        <v>-4.6926823183812159E-2</v>
      </c>
    </row>
    <row r="3025" spans="1:9">
      <c r="A3025" s="90">
        <v>3009</v>
      </c>
      <c r="B3025" s="110">
        <v>1.1335407104920989</v>
      </c>
      <c r="C3025" s="110">
        <v>1.0535661061773436</v>
      </c>
      <c r="G3025" s="90">
        <v>3009</v>
      </c>
      <c r="H3025" s="100">
        <v>-7.3165404667272727E-2</v>
      </c>
      <c r="I3025" s="100">
        <v>-4.6921654125192426E-2</v>
      </c>
    </row>
    <row r="3026" spans="1:9">
      <c r="A3026" s="90">
        <v>3010</v>
      </c>
      <c r="B3026" s="110">
        <v>1.1147902150517586</v>
      </c>
      <c r="C3026" s="110">
        <v>1.0541437817970161</v>
      </c>
      <c r="G3026" s="90">
        <v>3010</v>
      </c>
      <c r="H3026" s="100">
        <v>-5.5937383091767844E-2</v>
      </c>
      <c r="I3026" s="100">
        <v>-4.6915755043914584E-2</v>
      </c>
    </row>
    <row r="3027" spans="1:9">
      <c r="A3027" s="90">
        <v>3011</v>
      </c>
      <c r="B3027" s="110">
        <v>1.1436533357467551</v>
      </c>
      <c r="C3027" s="110">
        <v>1.0412140902426341</v>
      </c>
      <c r="G3027" s="90">
        <v>3011</v>
      </c>
      <c r="H3027" s="100">
        <v>-9.3840392099606373E-2</v>
      </c>
      <c r="I3027" s="100">
        <v>-4.6915206458457197E-2</v>
      </c>
    </row>
    <row r="3028" spans="1:9">
      <c r="A3028" s="90">
        <v>3012</v>
      </c>
      <c r="B3028" s="110">
        <v>1.1135052240165146</v>
      </c>
      <c r="C3028" s="110">
        <v>1.066555578059972</v>
      </c>
      <c r="G3028" s="90">
        <v>3012</v>
      </c>
      <c r="H3028" s="100">
        <v>-4.3078529087089264E-2</v>
      </c>
      <c r="I3028" s="100">
        <v>-4.6867046211649818E-2</v>
      </c>
    </row>
    <row r="3029" spans="1:9">
      <c r="A3029" s="90">
        <v>3013</v>
      </c>
      <c r="B3029" s="110">
        <v>1.0931032701577483</v>
      </c>
      <c r="C3029" s="110">
        <v>1.06209212549853</v>
      </c>
      <c r="G3029" s="90">
        <v>3013</v>
      </c>
      <c r="H3029" s="100">
        <v>-2.8780021718391634E-2</v>
      </c>
      <c r="I3029" s="100">
        <v>-4.6865718836943605E-2</v>
      </c>
    </row>
    <row r="3030" spans="1:9">
      <c r="A3030" s="90">
        <v>3014</v>
      </c>
      <c r="B3030" s="110">
        <v>1.0805333707914895</v>
      </c>
      <c r="C3030" s="110">
        <v>1.0505390014472986</v>
      </c>
      <c r="G3030" s="90">
        <v>3014</v>
      </c>
      <c r="H3030" s="100">
        <v>-2.8151413900521075E-2</v>
      </c>
      <c r="I3030" s="100">
        <v>-4.6856773453908873E-2</v>
      </c>
    </row>
    <row r="3031" spans="1:9">
      <c r="A3031" s="90">
        <v>3015</v>
      </c>
      <c r="B3031" s="110">
        <v>1.105608596486316</v>
      </c>
      <c r="C3031" s="110">
        <v>1.0410299537353458</v>
      </c>
      <c r="G3031" s="90">
        <v>3015</v>
      </c>
      <c r="H3031" s="100">
        <v>-6.0185386184565821E-2</v>
      </c>
      <c r="I3031" s="100">
        <v>-4.685474227275481E-2</v>
      </c>
    </row>
    <row r="3032" spans="1:9">
      <c r="A3032" s="90">
        <v>3016</v>
      </c>
      <c r="B3032" s="110">
        <v>1.1035570005413093</v>
      </c>
      <c r="C3032" s="110">
        <v>1.0487593238021318</v>
      </c>
      <c r="G3032" s="90">
        <v>3016</v>
      </c>
      <c r="H3032" s="100">
        <v>-5.0930730544763429E-2</v>
      </c>
      <c r="I3032" s="100">
        <v>-4.6850417186242457E-2</v>
      </c>
    </row>
    <row r="3033" spans="1:9">
      <c r="A3033" s="90">
        <v>3017</v>
      </c>
      <c r="B3033" s="110">
        <v>1.0916737009364388</v>
      </c>
      <c r="C3033" s="110">
        <v>1.0527957926961882</v>
      </c>
      <c r="G3033" s="90">
        <v>3017</v>
      </c>
      <c r="H3033" s="100">
        <v>-3.6262738722526583E-2</v>
      </c>
      <c r="I3033" s="100">
        <v>-4.6840407227559742E-2</v>
      </c>
    </row>
    <row r="3034" spans="1:9">
      <c r="A3034" s="90">
        <v>3018</v>
      </c>
      <c r="B3034" s="110">
        <v>1.1127470815002964</v>
      </c>
      <c r="C3034" s="110">
        <v>1.0543890003308165</v>
      </c>
      <c r="G3034" s="90">
        <v>3018</v>
      </c>
      <c r="H3034" s="100">
        <v>-5.3870353577261762E-2</v>
      </c>
      <c r="I3034" s="100">
        <v>-4.6838932055021078E-2</v>
      </c>
    </row>
    <row r="3035" spans="1:9">
      <c r="A3035" s="90">
        <v>3019</v>
      </c>
      <c r="B3035" s="110">
        <v>1.1025124176518362</v>
      </c>
      <c r="C3035" s="110">
        <v>1.0648053890535654</v>
      </c>
      <c r="G3035" s="90">
        <v>3019</v>
      </c>
      <c r="H3035" s="100">
        <v>-3.479954227111292E-2</v>
      </c>
      <c r="I3035" s="100">
        <v>-4.6797736080257196E-2</v>
      </c>
    </row>
    <row r="3036" spans="1:9">
      <c r="A3036" s="90">
        <v>3020</v>
      </c>
      <c r="B3036" s="110">
        <v>1.1015580056143024</v>
      </c>
      <c r="C3036" s="110">
        <v>1.0359097811318421</v>
      </c>
      <c r="G3036" s="90">
        <v>3020</v>
      </c>
      <c r="H3036" s="100">
        <v>-6.1445490244817165E-2</v>
      </c>
      <c r="I3036" s="100">
        <v>-4.6787574859957673E-2</v>
      </c>
    </row>
    <row r="3037" spans="1:9">
      <c r="A3037" s="90">
        <v>3021</v>
      </c>
      <c r="B3037" s="110">
        <v>1.1036855371310663</v>
      </c>
      <c r="C3037" s="110">
        <v>1.0626602119596265</v>
      </c>
      <c r="G3037" s="90">
        <v>3021</v>
      </c>
      <c r="H3037" s="100">
        <v>-3.787966954940334E-2</v>
      </c>
      <c r="I3037" s="100">
        <v>-4.6780519422779526E-2</v>
      </c>
    </row>
    <row r="3038" spans="1:9">
      <c r="A3038" s="90">
        <v>3022</v>
      </c>
      <c r="B3038" s="110">
        <v>1.117773702844866</v>
      </c>
      <c r="C3038" s="110">
        <v>1.0527742718659565</v>
      </c>
      <c r="G3038" s="90">
        <v>3022</v>
      </c>
      <c r="H3038" s="100">
        <v>-5.9910098289488553E-2</v>
      </c>
      <c r="I3038" s="100">
        <v>-4.677546523858047E-2</v>
      </c>
    </row>
    <row r="3039" spans="1:9">
      <c r="A3039" s="90">
        <v>3023</v>
      </c>
      <c r="B3039" s="110">
        <v>1.090640399069724</v>
      </c>
      <c r="C3039" s="110">
        <v>1.0546924747614168</v>
      </c>
      <c r="G3039" s="90">
        <v>3023</v>
      </c>
      <c r="H3039" s="100">
        <v>-3.3515814481327282E-2</v>
      </c>
      <c r="I3039" s="100">
        <v>-4.6765943266025692E-2</v>
      </c>
    </row>
    <row r="3040" spans="1:9">
      <c r="A3040" s="90">
        <v>3024</v>
      </c>
      <c r="B3040" s="110">
        <v>1.1237570627674589</v>
      </c>
      <c r="C3040" s="110">
        <v>1.0588672743557901</v>
      </c>
      <c r="G3040" s="90">
        <v>3024</v>
      </c>
      <c r="H3040" s="100">
        <v>-5.9477864126915019E-2</v>
      </c>
      <c r="I3040" s="100">
        <v>-4.6755554084085146E-2</v>
      </c>
    </row>
    <row r="3041" spans="1:9">
      <c r="A3041" s="90">
        <v>3025</v>
      </c>
      <c r="B3041" s="110">
        <v>1.1175858013106892</v>
      </c>
      <c r="C3041" s="110">
        <v>1.0472837618555315</v>
      </c>
      <c r="G3041" s="90">
        <v>3025</v>
      </c>
      <c r="H3041" s="100">
        <v>-6.4970905346679667E-2</v>
      </c>
      <c r="I3041" s="100">
        <v>-4.6731684484703537E-2</v>
      </c>
    </row>
    <row r="3042" spans="1:9">
      <c r="A3042" s="90">
        <v>3026</v>
      </c>
      <c r="B3042" s="110">
        <v>1.1448015355834824</v>
      </c>
      <c r="C3042" s="110">
        <v>1.0538507012487728</v>
      </c>
      <c r="G3042" s="90">
        <v>3026</v>
      </c>
      <c r="H3042" s="100">
        <v>-8.2780500197635054E-2</v>
      </c>
      <c r="I3042" s="100">
        <v>-4.6719743037002652E-2</v>
      </c>
    </row>
    <row r="3043" spans="1:9">
      <c r="A3043" s="90">
        <v>3027</v>
      </c>
      <c r="B3043" s="110">
        <v>1.1265114008898152</v>
      </c>
      <c r="C3043" s="110">
        <v>1.0634716354225149</v>
      </c>
      <c r="G3043" s="90">
        <v>3027</v>
      </c>
      <c r="H3043" s="100">
        <v>-5.758691713741429E-2</v>
      </c>
      <c r="I3043" s="100">
        <v>-4.6718040550083724E-2</v>
      </c>
    </row>
    <row r="3044" spans="1:9">
      <c r="A3044" s="90">
        <v>3028</v>
      </c>
      <c r="B3044" s="110">
        <v>1.1097948804741755</v>
      </c>
      <c r="C3044" s="110">
        <v>1.0672358110263291</v>
      </c>
      <c r="G3044" s="90">
        <v>3028</v>
      </c>
      <c r="H3044" s="100">
        <v>-3.9103254207038002E-2</v>
      </c>
      <c r="I3044" s="100">
        <v>-4.6697418205127128E-2</v>
      </c>
    </row>
    <row r="3045" spans="1:9">
      <c r="A3045" s="90">
        <v>3029</v>
      </c>
      <c r="B3045" s="110">
        <v>1.1226179683952804</v>
      </c>
      <c r="C3045" s="110">
        <v>1.0563520065727121</v>
      </c>
      <c r="G3045" s="90">
        <v>3029</v>
      </c>
      <c r="H3045" s="100">
        <v>-6.0841960154753828E-2</v>
      </c>
      <c r="I3045" s="100">
        <v>-4.6687227004415063E-2</v>
      </c>
    </row>
    <row r="3046" spans="1:9">
      <c r="A3046" s="90">
        <v>3030</v>
      </c>
      <c r="B3046" s="110">
        <v>1.1054743370730347</v>
      </c>
      <c r="C3046" s="110">
        <v>1.0603757187118537</v>
      </c>
      <c r="G3046" s="90">
        <v>3030</v>
      </c>
      <c r="H3046" s="100">
        <v>-4.1651210245836165E-2</v>
      </c>
      <c r="I3046" s="100">
        <v>-4.6683383596733775E-2</v>
      </c>
    </row>
    <row r="3047" spans="1:9">
      <c r="A3047" s="90">
        <v>3031</v>
      </c>
      <c r="B3047" s="110">
        <v>1.144087985877452</v>
      </c>
      <c r="C3047" s="110">
        <v>1.0418512969834026</v>
      </c>
      <c r="G3047" s="90">
        <v>3031</v>
      </c>
      <c r="H3047" s="100">
        <v>-9.360857681390182E-2</v>
      </c>
      <c r="I3047" s="100">
        <v>-4.6678924832281525E-2</v>
      </c>
    </row>
    <row r="3048" spans="1:9">
      <c r="A3048" s="90">
        <v>3032</v>
      </c>
      <c r="B3048" s="110">
        <v>1.1255642291290469</v>
      </c>
      <c r="C3048" s="110">
        <v>1.0663030756843792</v>
      </c>
      <c r="G3048" s="90">
        <v>3032</v>
      </c>
      <c r="H3048" s="100">
        <v>-5.4086850448863487E-2</v>
      </c>
      <c r="I3048" s="100">
        <v>-4.6637525970709783E-2</v>
      </c>
    </row>
    <row r="3049" spans="1:9">
      <c r="A3049" s="90">
        <v>3033</v>
      </c>
      <c r="B3049" s="110">
        <v>1.1075804407905947</v>
      </c>
      <c r="C3049" s="110">
        <v>1.0643334745960489</v>
      </c>
      <c r="G3049" s="90">
        <v>3033</v>
      </c>
      <c r="H3049" s="100">
        <v>-3.9829095278896928E-2</v>
      </c>
      <c r="I3049" s="100">
        <v>-4.663363668555106E-2</v>
      </c>
    </row>
    <row r="3050" spans="1:9">
      <c r="A3050" s="90">
        <v>3034</v>
      </c>
      <c r="B3050" s="110">
        <v>1.1000749538406434</v>
      </c>
      <c r="C3050" s="110">
        <v>1.0491571715780033</v>
      </c>
      <c r="G3050" s="90">
        <v>3034</v>
      </c>
      <c r="H3050" s="100">
        <v>-4.7391169234960298E-2</v>
      </c>
      <c r="I3050" s="100">
        <v>-4.6632732934916044E-2</v>
      </c>
    </row>
    <row r="3051" spans="1:9">
      <c r="A3051" s="90">
        <v>3035</v>
      </c>
      <c r="B3051" s="110">
        <v>1.1397441671163979</v>
      </c>
      <c r="C3051" s="110">
        <v>1.0496453426446013</v>
      </c>
      <c r="G3051" s="90">
        <v>3035</v>
      </c>
      <c r="H3051" s="100">
        <v>-8.2351484208693468E-2</v>
      </c>
      <c r="I3051" s="100">
        <v>-4.6627099621739082E-2</v>
      </c>
    </row>
    <row r="3052" spans="1:9">
      <c r="A3052" s="90">
        <v>3036</v>
      </c>
      <c r="B3052" s="110">
        <v>1.113380299166884</v>
      </c>
      <c r="C3052" s="110">
        <v>1.040668593915165</v>
      </c>
      <c r="G3052" s="90">
        <v>3036</v>
      </c>
      <c r="H3052" s="100">
        <v>-6.7537316951343879E-2</v>
      </c>
      <c r="I3052" s="100">
        <v>-4.662703669164818E-2</v>
      </c>
    </row>
    <row r="3053" spans="1:9">
      <c r="A3053" s="90">
        <v>3037</v>
      </c>
      <c r="B3053" s="110">
        <v>1.0941437611410594</v>
      </c>
      <c r="C3053" s="110">
        <v>1.0580619199267152</v>
      </c>
      <c r="G3053" s="90">
        <v>3037</v>
      </c>
      <c r="H3053" s="100">
        <v>-3.3533246913538942E-2</v>
      </c>
      <c r="I3053" s="100">
        <v>-4.6615737445751294E-2</v>
      </c>
    </row>
    <row r="3054" spans="1:9">
      <c r="A3054" s="90">
        <v>3038</v>
      </c>
      <c r="B3054" s="110">
        <v>1.1315162292889847</v>
      </c>
      <c r="C3054" s="110">
        <v>1.0596631127660814</v>
      </c>
      <c r="G3054" s="90">
        <v>3038</v>
      </c>
      <c r="H3054" s="100">
        <v>-6.5607489687757717E-2</v>
      </c>
      <c r="I3054" s="100">
        <v>-4.660779242761031E-2</v>
      </c>
    </row>
    <row r="3055" spans="1:9">
      <c r="A3055" s="90">
        <v>3039</v>
      </c>
      <c r="B3055" s="110">
        <v>1.11158145468226</v>
      </c>
      <c r="C3055" s="110">
        <v>1.0647467324345234</v>
      </c>
      <c r="G3055" s="90">
        <v>3039</v>
      </c>
      <c r="H3055" s="100">
        <v>-4.30467743423011E-2</v>
      </c>
      <c r="I3055" s="100">
        <v>-4.6602411978273306E-2</v>
      </c>
    </row>
    <row r="3056" spans="1:9">
      <c r="A3056" s="90">
        <v>3040</v>
      </c>
      <c r="B3056" s="110">
        <v>1.1286547998423904</v>
      </c>
      <c r="C3056" s="110">
        <v>1.0692750559477409</v>
      </c>
      <c r="G3056" s="90">
        <v>3040</v>
      </c>
      <c r="H3056" s="100">
        <v>-5.4045579918176934E-2</v>
      </c>
      <c r="I3056" s="100">
        <v>-4.6592041702417417E-2</v>
      </c>
    </row>
    <row r="3057" spans="1:9">
      <c r="A3057" s="90">
        <v>3041</v>
      </c>
      <c r="B3057" s="110">
        <v>1.1227444640545483</v>
      </c>
      <c r="C3057" s="110">
        <v>1.0639190735845252</v>
      </c>
      <c r="G3057" s="90">
        <v>3041</v>
      </c>
      <c r="H3057" s="100">
        <v>-5.3816772906063848E-2</v>
      </c>
      <c r="I3057" s="100">
        <v>-4.6591161969027468E-2</v>
      </c>
    </row>
    <row r="3058" spans="1:9">
      <c r="A3058" s="90">
        <v>3042</v>
      </c>
      <c r="B3058" s="110">
        <v>1.1103462940073354</v>
      </c>
      <c r="C3058" s="110">
        <v>1.0501337647288511</v>
      </c>
      <c r="G3058" s="90">
        <v>3042</v>
      </c>
      <c r="H3058" s="100">
        <v>-5.5754392217613837E-2</v>
      </c>
      <c r="I3058" s="100">
        <v>-4.6571872534266263E-2</v>
      </c>
    </row>
    <row r="3059" spans="1:9">
      <c r="A3059" s="90">
        <v>3043</v>
      </c>
      <c r="B3059" s="110">
        <v>1.0876873263263882</v>
      </c>
      <c r="C3059" s="110">
        <v>1.0700518139666892</v>
      </c>
      <c r="G3059" s="90">
        <v>3043</v>
      </c>
      <c r="H3059" s="100">
        <v>-1.6346651670568087E-2</v>
      </c>
      <c r="I3059" s="100">
        <v>-4.6570953423913819E-2</v>
      </c>
    </row>
    <row r="3060" spans="1:9">
      <c r="A3060" s="90">
        <v>3044</v>
      </c>
      <c r="B3060" s="110">
        <v>1.0836103384332836</v>
      </c>
      <c r="C3060" s="110">
        <v>1.0444578190907856</v>
      </c>
      <c r="G3060" s="90">
        <v>3044</v>
      </c>
      <c r="H3060" s="100">
        <v>-3.680045463376156E-2</v>
      </c>
      <c r="I3060" s="100">
        <v>-4.6567616500930047E-2</v>
      </c>
    </row>
    <row r="3061" spans="1:9">
      <c r="A3061" s="90">
        <v>3045</v>
      </c>
      <c r="B3061" s="110">
        <v>1.1066773200362907</v>
      </c>
      <c r="C3061" s="110">
        <v>1.0412986110611093</v>
      </c>
      <c r="G3061" s="90">
        <v>3045</v>
      </c>
      <c r="H3061" s="100">
        <v>-6.0893522050796428E-2</v>
      </c>
      <c r="I3061" s="100">
        <v>-4.6567494870731529E-2</v>
      </c>
    </row>
    <row r="3062" spans="1:9">
      <c r="A3062" s="90">
        <v>3046</v>
      </c>
      <c r="B3062" s="110">
        <v>1.1307221465380366</v>
      </c>
      <c r="C3062" s="110">
        <v>1.0559847004488625</v>
      </c>
      <c r="G3062" s="90">
        <v>3046</v>
      </c>
      <c r="H3062" s="100">
        <v>-6.8382799372389641E-2</v>
      </c>
      <c r="I3062" s="100">
        <v>-4.656401388308179E-2</v>
      </c>
    </row>
    <row r="3063" spans="1:9">
      <c r="A3063" s="90">
        <v>3047</v>
      </c>
      <c r="B3063" s="110">
        <v>1.0918724947282479</v>
      </c>
      <c r="C3063" s="110">
        <v>1.04992687076667</v>
      </c>
      <c r="G3063" s="90">
        <v>3047</v>
      </c>
      <c r="H3063" s="100">
        <v>-3.9173592580916287E-2</v>
      </c>
      <c r="I3063" s="100">
        <v>-4.6561926177051315E-2</v>
      </c>
    </row>
    <row r="3064" spans="1:9">
      <c r="A3064" s="90">
        <v>3048</v>
      </c>
      <c r="B3064" s="110">
        <v>1.1114152977031857</v>
      </c>
      <c r="C3064" s="110">
        <v>1.0448136473938145</v>
      </c>
      <c r="G3064" s="90">
        <v>3048</v>
      </c>
      <c r="H3064" s="100">
        <v>-6.179570446142784E-2</v>
      </c>
      <c r="I3064" s="100">
        <v>-4.6556020144205609E-2</v>
      </c>
    </row>
    <row r="3065" spans="1:9">
      <c r="A3065" s="90">
        <v>3049</v>
      </c>
      <c r="B3065" s="110">
        <v>1.1464976545967651</v>
      </c>
      <c r="C3065" s="110">
        <v>1.0398091302159025</v>
      </c>
      <c r="G3065" s="90">
        <v>3049</v>
      </c>
      <c r="H3065" s="100">
        <v>-9.7674609935306064E-2</v>
      </c>
      <c r="I3065" s="100">
        <v>-4.6553268580022858E-2</v>
      </c>
    </row>
    <row r="3066" spans="1:9">
      <c r="A3066" s="90">
        <v>3050</v>
      </c>
      <c r="B3066" s="110">
        <v>1.1194753752901099</v>
      </c>
      <c r="C3066" s="110">
        <v>1.0640672804009808</v>
      </c>
      <c r="G3066" s="90">
        <v>3050</v>
      </c>
      <c r="H3066" s="100">
        <v>-5.0761538267049197E-2</v>
      </c>
      <c r="I3066" s="100">
        <v>-4.6545384138230179E-2</v>
      </c>
    </row>
    <row r="3067" spans="1:9">
      <c r="A3067" s="90">
        <v>3051</v>
      </c>
      <c r="B3067" s="110">
        <v>1.127954723418471</v>
      </c>
      <c r="C3067" s="110">
        <v>1.0549773270466358</v>
      </c>
      <c r="G3067" s="90">
        <v>3051</v>
      </c>
      <c r="H3067" s="100">
        <v>-6.6886737710831271E-2</v>
      </c>
      <c r="I3067" s="100">
        <v>-4.6541904586211803E-2</v>
      </c>
    </row>
    <row r="3068" spans="1:9">
      <c r="A3068" s="90">
        <v>3052</v>
      </c>
      <c r="B3068" s="110">
        <v>1.0922409635205388</v>
      </c>
      <c r="C3068" s="110">
        <v>1.0488450043685043</v>
      </c>
      <c r="G3068" s="90">
        <v>3052</v>
      </c>
      <c r="H3068" s="100">
        <v>-4.0541952654445698E-2</v>
      </c>
      <c r="I3068" s="100">
        <v>-4.65215429210495E-2</v>
      </c>
    </row>
    <row r="3069" spans="1:9">
      <c r="A3069" s="90">
        <v>3053</v>
      </c>
      <c r="B3069" s="110">
        <v>1.0993201322256132</v>
      </c>
      <c r="C3069" s="110">
        <v>1.0466141302878251</v>
      </c>
      <c r="G3069" s="90">
        <v>3053</v>
      </c>
      <c r="H3069" s="100">
        <v>-4.9131611112662836E-2</v>
      </c>
      <c r="I3069" s="100">
        <v>-4.651623332728988E-2</v>
      </c>
    </row>
    <row r="3070" spans="1:9">
      <c r="A3070" s="90">
        <v>3054</v>
      </c>
      <c r="B3070" s="110">
        <v>1.1377663162354685</v>
      </c>
      <c r="C3070" s="110">
        <v>1.0567673553283099</v>
      </c>
      <c r="G3070" s="90">
        <v>3054</v>
      </c>
      <c r="H3070" s="100">
        <v>-7.3852384967620768E-2</v>
      </c>
      <c r="I3070" s="100">
        <v>-4.6505472005991207E-2</v>
      </c>
    </row>
    <row r="3071" spans="1:9">
      <c r="A3071" s="90">
        <v>3055</v>
      </c>
      <c r="B3071" s="110">
        <v>1.0909258231756784</v>
      </c>
      <c r="C3071" s="110">
        <v>1.058647986993116</v>
      </c>
      <c r="G3071" s="90">
        <v>3055</v>
      </c>
      <c r="H3071" s="100">
        <v>-3.0034104749843804E-2</v>
      </c>
      <c r="I3071" s="100">
        <v>-4.6503624294561598E-2</v>
      </c>
    </row>
    <row r="3072" spans="1:9">
      <c r="A3072" s="90">
        <v>3056</v>
      </c>
      <c r="B3072" s="110">
        <v>1.1063647735234414</v>
      </c>
      <c r="C3072" s="110">
        <v>1.0531510426984179</v>
      </c>
      <c r="G3072" s="90">
        <v>3056</v>
      </c>
      <c r="H3072" s="100">
        <v>-4.9292998811397364E-2</v>
      </c>
      <c r="I3072" s="100">
        <v>-4.6495832977242559E-2</v>
      </c>
    </row>
    <row r="3073" spans="1:9">
      <c r="A3073" s="90">
        <v>3057</v>
      </c>
      <c r="B3073" s="110">
        <v>1.100310261267555</v>
      </c>
      <c r="C3073" s="110">
        <v>1.0379081627397493</v>
      </c>
      <c r="G3073" s="90">
        <v>3057</v>
      </c>
      <c r="H3073" s="100">
        <v>-5.8384890104890293E-2</v>
      </c>
      <c r="I3073" s="100">
        <v>-4.6491842975744456E-2</v>
      </c>
    </row>
    <row r="3074" spans="1:9">
      <c r="A3074" s="90">
        <v>3058</v>
      </c>
      <c r="B3074" s="110">
        <v>1.1061953415315595</v>
      </c>
      <c r="C3074" s="110">
        <v>1.0613180089595002</v>
      </c>
      <c r="G3074" s="90">
        <v>3058</v>
      </c>
      <c r="H3074" s="100">
        <v>-4.1414966918971272E-2</v>
      </c>
      <c r="I3074" s="100">
        <v>-4.6490544413925437E-2</v>
      </c>
    </row>
    <row r="3075" spans="1:9">
      <c r="A3075" s="90">
        <v>3059</v>
      </c>
      <c r="B3075" s="110">
        <v>1.1167975687368488</v>
      </c>
      <c r="C3075" s="110">
        <v>1.0552416892415439</v>
      </c>
      <c r="G3075" s="90">
        <v>3059</v>
      </c>
      <c r="H3075" s="100">
        <v>-5.6695446013403018E-2</v>
      </c>
      <c r="I3075" s="100">
        <v>-4.6482037952342174E-2</v>
      </c>
    </row>
    <row r="3076" spans="1:9">
      <c r="A3076" s="90">
        <v>3060</v>
      </c>
      <c r="B3076" s="110">
        <v>1.0988991529909073</v>
      </c>
      <c r="C3076" s="110">
        <v>1.0477576151742254</v>
      </c>
      <c r="G3076" s="90">
        <v>3060</v>
      </c>
      <c r="H3076" s="100">
        <v>-4.7656632773340757E-2</v>
      </c>
      <c r="I3076" s="100">
        <v>-4.6481468637143371E-2</v>
      </c>
    </row>
    <row r="3077" spans="1:9">
      <c r="A3077" s="90">
        <v>3061</v>
      </c>
      <c r="B3077" s="110">
        <v>1.1299951987628605</v>
      </c>
      <c r="C3077" s="110">
        <v>1.0528764855629236</v>
      </c>
      <c r="G3077" s="90">
        <v>3061</v>
      </c>
      <c r="H3077" s="100">
        <v>-7.0687455221909792E-2</v>
      </c>
      <c r="I3077" s="100">
        <v>-4.6471792204620464E-2</v>
      </c>
    </row>
    <row r="3078" spans="1:9">
      <c r="A3078" s="90">
        <v>3062</v>
      </c>
      <c r="B3078" s="110">
        <v>1.1324403182727725</v>
      </c>
      <c r="C3078" s="110">
        <v>1.0561193990176758</v>
      </c>
      <c r="G3078" s="90">
        <v>3062</v>
      </c>
      <c r="H3078" s="100">
        <v>-6.9773631745479431E-2</v>
      </c>
      <c r="I3078" s="100">
        <v>-4.6470503204869895E-2</v>
      </c>
    </row>
    <row r="3079" spans="1:9">
      <c r="A3079" s="90">
        <v>3063</v>
      </c>
      <c r="B3079" s="110">
        <v>1.1211584521681743</v>
      </c>
      <c r="C3079" s="110">
        <v>1.0660725337640311</v>
      </c>
      <c r="G3079" s="90">
        <v>3063</v>
      </c>
      <c r="H3079" s="100">
        <v>-5.0381116687493295E-2</v>
      </c>
      <c r="I3079" s="100">
        <v>-4.6470325320519243E-2</v>
      </c>
    </row>
    <row r="3080" spans="1:9">
      <c r="A3080" s="90">
        <v>3064</v>
      </c>
      <c r="B3080" s="110">
        <v>1.0866674858765928</v>
      </c>
      <c r="C3080" s="110">
        <v>1.0537263564391322</v>
      </c>
      <c r="G3080" s="90">
        <v>3064</v>
      </c>
      <c r="H3080" s="100">
        <v>-3.0782868045119885E-2</v>
      </c>
      <c r="I3080" s="100">
        <v>-4.6464137995195116E-2</v>
      </c>
    </row>
    <row r="3081" spans="1:9">
      <c r="A3081" s="90">
        <v>3065</v>
      </c>
      <c r="B3081" s="110">
        <v>1.1405130824914884</v>
      </c>
      <c r="C3081" s="110">
        <v>1.083281595997569</v>
      </c>
      <c r="G3081" s="90">
        <v>3065</v>
      </c>
      <c r="H3081" s="100">
        <v>-5.1483284522769991E-2</v>
      </c>
      <c r="I3081" s="100">
        <v>-4.6461482643333045E-2</v>
      </c>
    </row>
    <row r="3082" spans="1:9">
      <c r="A3082" s="90">
        <v>3066</v>
      </c>
      <c r="B3082" s="110">
        <v>1.107728492116288</v>
      </c>
      <c r="C3082" s="110">
        <v>1.0372025327918442</v>
      </c>
      <c r="G3082" s="90">
        <v>3066</v>
      </c>
      <c r="H3082" s="100">
        <v>-6.5784298450102918E-2</v>
      </c>
      <c r="I3082" s="100">
        <v>-4.6452123049145762E-2</v>
      </c>
    </row>
    <row r="3083" spans="1:9">
      <c r="A3083" s="90">
        <v>3067</v>
      </c>
      <c r="B3083" s="110">
        <v>1.1319733989406353</v>
      </c>
      <c r="C3083" s="110">
        <v>1.0519457837849586</v>
      </c>
      <c r="G3083" s="90">
        <v>3067</v>
      </c>
      <c r="H3083" s="100">
        <v>-7.3320903674440302E-2</v>
      </c>
      <c r="I3083" s="100">
        <v>-4.6439391689641153E-2</v>
      </c>
    </row>
    <row r="3084" spans="1:9">
      <c r="A3084" s="90">
        <v>3068</v>
      </c>
      <c r="B3084" s="110">
        <v>1.0784973682581982</v>
      </c>
      <c r="C3084" s="110">
        <v>1.0708646667397972</v>
      </c>
      <c r="G3084" s="90">
        <v>3068</v>
      </c>
      <c r="H3084" s="100">
        <v>-7.102324763160632E-3</v>
      </c>
      <c r="I3084" s="100">
        <v>-4.6421670920569903E-2</v>
      </c>
    </row>
    <row r="3085" spans="1:9">
      <c r="A3085" s="90">
        <v>3069</v>
      </c>
      <c r="B3085" s="110">
        <v>1.1148307890744771</v>
      </c>
      <c r="C3085" s="110">
        <v>1.0500437113381242</v>
      </c>
      <c r="G3085" s="90">
        <v>3069</v>
      </c>
      <c r="H3085" s="100">
        <v>-5.9870841569203144E-2</v>
      </c>
      <c r="I3085" s="100">
        <v>-4.6399440628578967E-2</v>
      </c>
    </row>
    <row r="3086" spans="1:9">
      <c r="A3086" s="90">
        <v>3070</v>
      </c>
      <c r="B3086" s="110">
        <v>1.0861803518670212</v>
      </c>
      <c r="C3086" s="110">
        <v>1.0486661814244391</v>
      </c>
      <c r="G3086" s="90">
        <v>3070</v>
      </c>
      <c r="H3086" s="100">
        <v>-3.5148224337977027E-2</v>
      </c>
      <c r="I3086" s="100">
        <v>-4.6397066016394324E-2</v>
      </c>
    </row>
    <row r="3087" spans="1:9">
      <c r="A3087" s="90">
        <v>3071</v>
      </c>
      <c r="B3087" s="110">
        <v>1.1101834774709958</v>
      </c>
      <c r="C3087" s="110">
        <v>1.0670877052539693</v>
      </c>
      <c r="G3087" s="90">
        <v>3071</v>
      </c>
      <c r="H3087" s="100">
        <v>-3.9592129753169919E-2</v>
      </c>
      <c r="I3087" s="100">
        <v>-4.6394753137241222E-2</v>
      </c>
    </row>
    <row r="3088" spans="1:9">
      <c r="A3088" s="90">
        <v>3072</v>
      </c>
      <c r="B3088" s="110">
        <v>1.1098998924894239</v>
      </c>
      <c r="C3088" s="110">
        <v>1.0509958300954736</v>
      </c>
      <c r="G3088" s="90">
        <v>3072</v>
      </c>
      <c r="H3088" s="100">
        <v>-5.453169998276388E-2</v>
      </c>
      <c r="I3088" s="100">
        <v>-4.6366825062991765E-2</v>
      </c>
    </row>
    <row r="3089" spans="1:9">
      <c r="A3089" s="90">
        <v>3073</v>
      </c>
      <c r="B3089" s="110">
        <v>1.1231419693446305</v>
      </c>
      <c r="C3089" s="110">
        <v>1.055377459147312</v>
      </c>
      <c r="G3089" s="90">
        <v>3073</v>
      </c>
      <c r="H3089" s="100">
        <v>-6.2231603363288264E-2</v>
      </c>
      <c r="I3089" s="100">
        <v>-4.6340938993927161E-2</v>
      </c>
    </row>
    <row r="3090" spans="1:9">
      <c r="A3090" s="90">
        <v>3074</v>
      </c>
      <c r="B3090" s="110">
        <v>1.0982871279693707</v>
      </c>
      <c r="C3090" s="110">
        <v>1.0605512228268252</v>
      </c>
      <c r="G3090" s="90">
        <v>3074</v>
      </c>
      <c r="H3090" s="100">
        <v>-3.4963015290418648E-2</v>
      </c>
      <c r="I3090" s="100">
        <v>-4.6338986917906583E-2</v>
      </c>
    </row>
    <row r="3091" spans="1:9">
      <c r="A3091" s="90">
        <v>3075</v>
      </c>
      <c r="B3091" s="110">
        <v>1.1200137642569563</v>
      </c>
      <c r="C3091" s="110">
        <v>1.0512187701406117</v>
      </c>
      <c r="G3091" s="90">
        <v>3075</v>
      </c>
      <c r="H3091" s="100">
        <v>-6.3390750240204102E-2</v>
      </c>
      <c r="I3091" s="100">
        <v>-4.6335788363704826E-2</v>
      </c>
    </row>
    <row r="3092" spans="1:9">
      <c r="A3092" s="90">
        <v>3076</v>
      </c>
      <c r="B3092" s="110">
        <v>1.1116316745330397</v>
      </c>
      <c r="C3092" s="110">
        <v>1.0427216876725118</v>
      </c>
      <c r="G3092" s="90">
        <v>3076</v>
      </c>
      <c r="H3092" s="100">
        <v>-6.3994610892808751E-2</v>
      </c>
      <c r="I3092" s="100">
        <v>-4.6324068243369543E-2</v>
      </c>
    </row>
    <row r="3093" spans="1:9">
      <c r="A3093" s="90">
        <v>3077</v>
      </c>
      <c r="B3093" s="110">
        <v>1.1165070823055345</v>
      </c>
      <c r="C3093" s="110">
        <v>1.0331070916405454</v>
      </c>
      <c r="G3093" s="90">
        <v>3077</v>
      </c>
      <c r="H3093" s="100">
        <v>-7.7634280310202905E-2</v>
      </c>
      <c r="I3093" s="100">
        <v>-4.6316271526930117E-2</v>
      </c>
    </row>
    <row r="3094" spans="1:9">
      <c r="A3094" s="90">
        <v>3078</v>
      </c>
      <c r="B3094" s="110">
        <v>1.1021548745317122</v>
      </c>
      <c r="C3094" s="110">
        <v>1.0653062330195855</v>
      </c>
      <c r="G3094" s="90">
        <v>3078</v>
      </c>
      <c r="H3094" s="100">
        <v>-3.4004939788141023E-2</v>
      </c>
      <c r="I3094" s="100">
        <v>-4.630999610797655E-2</v>
      </c>
    </row>
    <row r="3095" spans="1:9">
      <c r="A3095" s="90">
        <v>3079</v>
      </c>
      <c r="B3095" s="110">
        <v>1.1112600533370214</v>
      </c>
      <c r="C3095" s="110">
        <v>1.0677052224274954</v>
      </c>
      <c r="G3095" s="90">
        <v>3079</v>
      </c>
      <c r="H3095" s="100">
        <v>-3.9982861200015103E-2</v>
      </c>
      <c r="I3095" s="100">
        <v>-4.6283858067391714E-2</v>
      </c>
    </row>
    <row r="3096" spans="1:9">
      <c r="A3096" s="90">
        <v>3080</v>
      </c>
      <c r="B3096" s="110">
        <v>1.1090721586267427</v>
      </c>
      <c r="C3096" s="110">
        <v>1.0831817025751307</v>
      </c>
      <c r="G3096" s="90">
        <v>3080</v>
      </c>
      <c r="H3096" s="100">
        <v>-2.362104161817738E-2</v>
      </c>
      <c r="I3096" s="100">
        <v>-4.6269014458706778E-2</v>
      </c>
    </row>
    <row r="3097" spans="1:9">
      <c r="A3097" s="90">
        <v>3081</v>
      </c>
      <c r="B3097" s="110">
        <v>1.0982409109072553</v>
      </c>
      <c r="C3097" s="110">
        <v>1.0507087108841402</v>
      </c>
      <c r="G3097" s="90">
        <v>3081</v>
      </c>
      <c r="H3097" s="100">
        <v>-4.4244828630266991E-2</v>
      </c>
      <c r="I3097" s="100">
        <v>-4.6255772066448798E-2</v>
      </c>
    </row>
    <row r="3098" spans="1:9">
      <c r="A3098" s="90">
        <v>3082</v>
      </c>
      <c r="B3098" s="110">
        <v>1.1171022501031651</v>
      </c>
      <c r="C3098" s="110">
        <v>1.0400191571421582</v>
      </c>
      <c r="G3098" s="90">
        <v>3082</v>
      </c>
      <c r="H3098" s="100">
        <v>-7.1498922516125621E-2</v>
      </c>
      <c r="I3098" s="100">
        <v>-4.6246783957934683E-2</v>
      </c>
    </row>
    <row r="3099" spans="1:9">
      <c r="A3099" s="90">
        <v>3083</v>
      </c>
      <c r="B3099" s="110">
        <v>1.118353092509726</v>
      </c>
      <c r="C3099" s="110">
        <v>1.0555230381196836</v>
      </c>
      <c r="G3099" s="90">
        <v>3083</v>
      </c>
      <c r="H3099" s="100">
        <v>-5.782073520963011E-2</v>
      </c>
      <c r="I3099" s="100">
        <v>-4.6242270670508123E-2</v>
      </c>
    </row>
    <row r="3100" spans="1:9">
      <c r="A3100" s="90">
        <v>3084</v>
      </c>
      <c r="B3100" s="110">
        <v>1.0944603574367406</v>
      </c>
      <c r="C3100" s="110">
        <v>1.0294968715720789</v>
      </c>
      <c r="G3100" s="90">
        <v>3084</v>
      </c>
      <c r="H3100" s="100">
        <v>-6.1191208834700722E-2</v>
      </c>
      <c r="I3100" s="100">
        <v>-4.6233843554626557E-2</v>
      </c>
    </row>
    <row r="3101" spans="1:9">
      <c r="A3101" s="90">
        <v>3085</v>
      </c>
      <c r="B3101" s="110">
        <v>1.0926040699227058</v>
      </c>
      <c r="C3101" s="110">
        <v>1.0446642772875103</v>
      </c>
      <c r="G3101" s="90">
        <v>3085</v>
      </c>
      <c r="H3101" s="100">
        <v>-4.4868333914992106E-2</v>
      </c>
      <c r="I3101" s="100">
        <v>-4.6231069856742558E-2</v>
      </c>
    </row>
    <row r="3102" spans="1:9">
      <c r="A3102" s="90">
        <v>3086</v>
      </c>
      <c r="B3102" s="110">
        <v>1.1087017912280686</v>
      </c>
      <c r="C3102" s="110">
        <v>1.0448441436999343</v>
      </c>
      <c r="G3102" s="90">
        <v>3086</v>
      </c>
      <c r="H3102" s="100">
        <v>-5.9322043897168608E-2</v>
      </c>
      <c r="I3102" s="100">
        <v>-4.6228571048493636E-2</v>
      </c>
    </row>
    <row r="3103" spans="1:9">
      <c r="A3103" s="90">
        <v>3087</v>
      </c>
      <c r="B3103" s="110">
        <v>1.1226754090354203</v>
      </c>
      <c r="C3103" s="110">
        <v>1.0627250162642277</v>
      </c>
      <c r="G3103" s="90">
        <v>3087</v>
      </c>
      <c r="H3103" s="100">
        <v>-5.4878215419611076E-2</v>
      </c>
      <c r="I3103" s="100">
        <v>-4.6220728481420524E-2</v>
      </c>
    </row>
    <row r="3104" spans="1:9">
      <c r="A3104" s="90">
        <v>3088</v>
      </c>
      <c r="B3104" s="110">
        <v>1.1431351376606123</v>
      </c>
      <c r="C3104" s="110">
        <v>1.0713112114913546</v>
      </c>
      <c r="G3104" s="90">
        <v>3088</v>
      </c>
      <c r="H3104" s="100">
        <v>-6.4891278952130024E-2</v>
      </c>
      <c r="I3104" s="100">
        <v>-4.6214932393557277E-2</v>
      </c>
    </row>
    <row r="3105" spans="1:9">
      <c r="A3105" s="90">
        <v>3089</v>
      </c>
      <c r="B3105" s="110">
        <v>1.1050193089309903</v>
      </c>
      <c r="C3105" s="110">
        <v>1.0674449133724151</v>
      </c>
      <c r="G3105" s="90">
        <v>3089</v>
      </c>
      <c r="H3105" s="100">
        <v>-3.4594947571802273E-2</v>
      </c>
      <c r="I3105" s="100">
        <v>-4.6197173440230208E-2</v>
      </c>
    </row>
    <row r="3106" spans="1:9">
      <c r="A3106" s="90">
        <v>3090</v>
      </c>
      <c r="B3106" s="110">
        <v>1.1006747297464565</v>
      </c>
      <c r="C3106" s="110">
        <v>1.0633621422864501</v>
      </c>
      <c r="G3106" s="90">
        <v>3090</v>
      </c>
      <c r="H3106" s="100">
        <v>-3.4487661614762355E-2</v>
      </c>
      <c r="I3106" s="100">
        <v>-4.619297181305284E-2</v>
      </c>
    </row>
    <row r="3107" spans="1:9">
      <c r="A3107" s="90">
        <v>3091</v>
      </c>
      <c r="B3107" s="110">
        <v>1.1160115344179293</v>
      </c>
      <c r="C3107" s="110">
        <v>1.0566228342728978</v>
      </c>
      <c r="G3107" s="90">
        <v>3091</v>
      </c>
      <c r="H3107" s="100">
        <v>-5.4683382805621947E-2</v>
      </c>
      <c r="I3107" s="100">
        <v>-4.6182075395653395E-2</v>
      </c>
    </row>
    <row r="3108" spans="1:9">
      <c r="A3108" s="90">
        <v>3092</v>
      </c>
      <c r="B3108" s="110">
        <v>1.1132824737075038</v>
      </c>
      <c r="C3108" s="110">
        <v>1.0420599406880668</v>
      </c>
      <c r="G3108" s="90">
        <v>3092</v>
      </c>
      <c r="H3108" s="100">
        <v>-6.6113368649031015E-2</v>
      </c>
      <c r="I3108" s="100">
        <v>-4.6180079453386355E-2</v>
      </c>
    </row>
    <row r="3109" spans="1:9">
      <c r="A3109" s="90">
        <v>3093</v>
      </c>
      <c r="B3109" s="110">
        <v>1.0876175842678006</v>
      </c>
      <c r="C3109" s="110">
        <v>1.055138012145953</v>
      </c>
      <c r="G3109" s="90">
        <v>3093</v>
      </c>
      <c r="H3109" s="100">
        <v>-3.0318026028264288E-2</v>
      </c>
      <c r="I3109" s="100">
        <v>-4.616895181491619E-2</v>
      </c>
    </row>
    <row r="3110" spans="1:9">
      <c r="A3110" s="90">
        <v>3094</v>
      </c>
      <c r="B3110" s="110">
        <v>1.1266604155347726</v>
      </c>
      <c r="C3110" s="110">
        <v>1.0454561789654009</v>
      </c>
      <c r="G3110" s="90">
        <v>3094</v>
      </c>
      <c r="H3110" s="100">
        <v>-7.4804547411250297E-2</v>
      </c>
      <c r="I3110" s="100">
        <v>-4.6142809024331023E-2</v>
      </c>
    </row>
    <row r="3111" spans="1:9">
      <c r="A3111" s="90">
        <v>3095</v>
      </c>
      <c r="B3111" s="110">
        <v>1.1130540063209353</v>
      </c>
      <c r="C3111" s="110">
        <v>1.0816905887410939</v>
      </c>
      <c r="G3111" s="90">
        <v>3095</v>
      </c>
      <c r="H3111" s="100">
        <v>-2.8582417132830294E-2</v>
      </c>
      <c r="I3111" s="100">
        <v>-4.6124064206976879E-2</v>
      </c>
    </row>
    <row r="3112" spans="1:9">
      <c r="A3112" s="90">
        <v>3096</v>
      </c>
      <c r="B3112" s="110">
        <v>1.098764424872551</v>
      </c>
      <c r="C3112" s="110">
        <v>1.0615077992223194</v>
      </c>
      <c r="G3112" s="90">
        <v>3096</v>
      </c>
      <c r="H3112" s="100">
        <v>-3.4495948876374305E-2</v>
      </c>
      <c r="I3112" s="100">
        <v>-4.6122550875893592E-2</v>
      </c>
    </row>
    <row r="3113" spans="1:9">
      <c r="A3113" s="90">
        <v>3097</v>
      </c>
      <c r="B3113" s="110">
        <v>1.1560959190852744</v>
      </c>
      <c r="C3113" s="110">
        <v>1.072287771765259</v>
      </c>
      <c r="G3113" s="90">
        <v>3097</v>
      </c>
      <c r="H3113" s="100">
        <v>-7.5254271360320132E-2</v>
      </c>
      <c r="I3113" s="100">
        <v>-4.6108453335379072E-2</v>
      </c>
    </row>
    <row r="3114" spans="1:9">
      <c r="A3114" s="90">
        <v>3098</v>
      </c>
      <c r="B3114" s="110">
        <v>1.1108781298890271</v>
      </c>
      <c r="C3114" s="110">
        <v>1.0676314605445321</v>
      </c>
      <c r="G3114" s="90">
        <v>3098</v>
      </c>
      <c r="H3114" s="100">
        <v>-3.9708203981748284E-2</v>
      </c>
      <c r="I3114" s="100">
        <v>-4.6105457326087187E-2</v>
      </c>
    </row>
    <row r="3115" spans="1:9">
      <c r="A3115" s="90">
        <v>3099</v>
      </c>
      <c r="B3115" s="110">
        <v>1.1160190971390336</v>
      </c>
      <c r="C3115" s="110">
        <v>1.0523743975922151</v>
      </c>
      <c r="G3115" s="90">
        <v>3099</v>
      </c>
      <c r="H3115" s="100">
        <v>-5.8719033695856397E-2</v>
      </c>
      <c r="I3115" s="100">
        <v>-4.6088291627025199E-2</v>
      </c>
    </row>
    <row r="3116" spans="1:9">
      <c r="A3116" s="90">
        <v>3100</v>
      </c>
      <c r="B3116" s="110">
        <v>1.1480197868434685</v>
      </c>
      <c r="C3116" s="110">
        <v>1.0421145616447642</v>
      </c>
      <c r="G3116" s="90">
        <v>3100</v>
      </c>
      <c r="H3116" s="100">
        <v>-9.6786652390532482E-2</v>
      </c>
      <c r="I3116" s="100">
        <v>-4.6084262599095129E-2</v>
      </c>
    </row>
    <row r="3117" spans="1:9">
      <c r="A3117" s="90">
        <v>3101</v>
      </c>
      <c r="B3117" s="110">
        <v>1.0923023462746768</v>
      </c>
      <c r="C3117" s="110">
        <v>1.055786914916824</v>
      </c>
      <c r="G3117" s="90">
        <v>3101</v>
      </c>
      <c r="H3117" s="100">
        <v>-3.4001333072053871E-2</v>
      </c>
      <c r="I3117" s="100">
        <v>-4.6063041867770819E-2</v>
      </c>
    </row>
    <row r="3118" spans="1:9">
      <c r="A3118" s="90">
        <v>3102</v>
      </c>
      <c r="B3118" s="110">
        <v>1.0964747328578461</v>
      </c>
      <c r="C3118" s="110">
        <v>1.0218462261697674</v>
      </c>
      <c r="G3118" s="90">
        <v>3102</v>
      </c>
      <c r="H3118" s="100">
        <v>-7.0489228330644277E-2</v>
      </c>
      <c r="I3118" s="100">
        <v>-4.6053759406440076E-2</v>
      </c>
    </row>
    <row r="3119" spans="1:9">
      <c r="A3119" s="90">
        <v>3103</v>
      </c>
      <c r="B3119" s="110">
        <v>1.1323469660441945</v>
      </c>
      <c r="C3119" s="110">
        <v>1.050582210030695</v>
      </c>
      <c r="G3119" s="90">
        <v>3103</v>
      </c>
      <c r="H3119" s="100">
        <v>-7.4947943680929371E-2</v>
      </c>
      <c r="I3119" s="100">
        <v>-4.6052161910523595E-2</v>
      </c>
    </row>
    <row r="3120" spans="1:9">
      <c r="A3120" s="90">
        <v>3104</v>
      </c>
      <c r="B3120" s="110">
        <v>1.1229350480941542</v>
      </c>
      <c r="C3120" s="110">
        <v>1.0417867711348563</v>
      </c>
      <c r="G3120" s="90">
        <v>3104</v>
      </c>
      <c r="H3120" s="100">
        <v>-7.500854807022006E-2</v>
      </c>
      <c r="I3120" s="100">
        <v>-4.603621174682844E-2</v>
      </c>
    </row>
    <row r="3121" spans="1:9">
      <c r="A3121" s="90">
        <v>3105</v>
      </c>
      <c r="B3121" s="110">
        <v>1.1157564048758266</v>
      </c>
      <c r="C3121" s="110">
        <v>1.0624629981211919</v>
      </c>
      <c r="G3121" s="90">
        <v>3105</v>
      </c>
      <c r="H3121" s="100">
        <v>-4.8942769020429829E-2</v>
      </c>
      <c r="I3121" s="100">
        <v>-4.6032076129956224E-2</v>
      </c>
    </row>
    <row r="3122" spans="1:9">
      <c r="A3122" s="90">
        <v>3106</v>
      </c>
      <c r="B3122" s="110">
        <v>1.095680918831881</v>
      </c>
      <c r="C3122" s="110">
        <v>1.0489564451036106</v>
      </c>
      <c r="G3122" s="90">
        <v>3106</v>
      </c>
      <c r="H3122" s="100">
        <v>-4.3580205530655655E-2</v>
      </c>
      <c r="I3122" s="100">
        <v>-4.60298121064582E-2</v>
      </c>
    </row>
    <row r="3123" spans="1:9">
      <c r="A3123" s="90">
        <v>3107</v>
      </c>
      <c r="B3123" s="110">
        <v>1.1213724859935779</v>
      </c>
      <c r="C3123" s="110">
        <v>1.0581772033488561</v>
      </c>
      <c r="G3123" s="90">
        <v>3107</v>
      </c>
      <c r="H3123" s="100">
        <v>-5.8005560599564458E-2</v>
      </c>
      <c r="I3123" s="100">
        <v>-4.6009408439491917E-2</v>
      </c>
    </row>
    <row r="3124" spans="1:9">
      <c r="A3124" s="90">
        <v>3108</v>
      </c>
      <c r="B3124" s="110">
        <v>1.1160732104607154</v>
      </c>
      <c r="C3124" s="110">
        <v>1.0540378692062555</v>
      </c>
      <c r="G3124" s="90">
        <v>3108</v>
      </c>
      <c r="H3124" s="100">
        <v>-5.7188084066801786E-2</v>
      </c>
      <c r="I3124" s="100">
        <v>-4.5999248231204701E-2</v>
      </c>
    </row>
    <row r="3125" spans="1:9">
      <c r="A3125" s="90">
        <v>3109</v>
      </c>
      <c r="B3125" s="110">
        <v>1.1040075904722706</v>
      </c>
      <c r="C3125" s="110">
        <v>1.049785664122155</v>
      </c>
      <c r="G3125" s="90">
        <v>3109</v>
      </c>
      <c r="H3125" s="100">
        <v>-5.0360809334331853E-2</v>
      </c>
      <c r="I3125" s="100">
        <v>-4.5992123849633339E-2</v>
      </c>
    </row>
    <row r="3126" spans="1:9">
      <c r="A3126" s="90">
        <v>3110</v>
      </c>
      <c r="B3126" s="110">
        <v>1.0969434124171626</v>
      </c>
      <c r="C3126" s="110">
        <v>1.038963183756878</v>
      </c>
      <c r="G3126" s="90">
        <v>3110</v>
      </c>
      <c r="H3126" s="100">
        <v>-5.4304318837934677E-2</v>
      </c>
      <c r="I3126" s="100">
        <v>-4.596267744258796E-2</v>
      </c>
    </row>
    <row r="3127" spans="1:9">
      <c r="A3127" s="90">
        <v>3111</v>
      </c>
      <c r="B3127" s="110">
        <v>1.0841303997695195</v>
      </c>
      <c r="C3127" s="110">
        <v>1.05810529000256</v>
      </c>
      <c r="G3127" s="90">
        <v>3111</v>
      </c>
      <c r="H3127" s="100">
        <v>-2.4298344327568302E-2</v>
      </c>
      <c r="I3127" s="100">
        <v>-4.5959773415859301E-2</v>
      </c>
    </row>
    <row r="3128" spans="1:9">
      <c r="A3128" s="90">
        <v>3112</v>
      </c>
      <c r="B3128" s="110">
        <v>1.1188531378559683</v>
      </c>
      <c r="C3128" s="110">
        <v>1.0553650669593626</v>
      </c>
      <c r="G3128" s="90">
        <v>3112</v>
      </c>
      <c r="H3128" s="100">
        <v>-5.8417434515698072E-2</v>
      </c>
      <c r="I3128" s="100">
        <v>-4.5954499178014765E-2</v>
      </c>
    </row>
    <row r="3129" spans="1:9">
      <c r="A3129" s="90">
        <v>3113</v>
      </c>
      <c r="B3129" s="110">
        <v>1.1184191435079391</v>
      </c>
      <c r="C3129" s="110">
        <v>1.0521376898136303</v>
      </c>
      <c r="G3129" s="90">
        <v>3113</v>
      </c>
      <c r="H3129" s="100">
        <v>-6.1092219617157092E-2</v>
      </c>
      <c r="I3129" s="100">
        <v>-4.5945243098702807E-2</v>
      </c>
    </row>
    <row r="3130" spans="1:9">
      <c r="A3130" s="90">
        <v>3114</v>
      </c>
      <c r="B3130" s="110">
        <v>1.1009534341509801</v>
      </c>
      <c r="C3130" s="110">
        <v>1.0605421317001333</v>
      </c>
      <c r="G3130" s="90">
        <v>3114</v>
      </c>
      <c r="H3130" s="100">
        <v>-3.7396340324637012E-2</v>
      </c>
      <c r="I3130" s="100">
        <v>-4.5941489843574192E-2</v>
      </c>
    </row>
    <row r="3131" spans="1:9">
      <c r="A3131" s="90">
        <v>3115</v>
      </c>
      <c r="B3131" s="110">
        <v>1.1273658262243105</v>
      </c>
      <c r="C3131" s="110">
        <v>1.0349655369349275</v>
      </c>
      <c r="G3131" s="90">
        <v>3115</v>
      </c>
      <c r="H3131" s="100">
        <v>-8.5515655666527537E-2</v>
      </c>
      <c r="I3131" s="100">
        <v>-4.5940624769891775E-2</v>
      </c>
    </row>
    <row r="3132" spans="1:9">
      <c r="A3132" s="90">
        <v>3116</v>
      </c>
      <c r="B3132" s="110">
        <v>1.1174671436354817</v>
      </c>
      <c r="C3132" s="110">
        <v>1.0513833576702911</v>
      </c>
      <c r="G3132" s="90">
        <v>3116</v>
      </c>
      <c r="H3132" s="100">
        <v>-6.0957864859782482E-2</v>
      </c>
      <c r="I3132" s="100">
        <v>-4.5930728465963362E-2</v>
      </c>
    </row>
    <row r="3133" spans="1:9">
      <c r="A3133" s="90">
        <v>3117</v>
      </c>
      <c r="B3133" s="110">
        <v>1.1298653412409072</v>
      </c>
      <c r="C3133" s="110">
        <v>1.0313075632226179</v>
      </c>
      <c r="G3133" s="90">
        <v>3117</v>
      </c>
      <c r="H3133" s="100">
        <v>-9.1270982588371657E-2</v>
      </c>
      <c r="I3133" s="100">
        <v>-4.592662934406528E-2</v>
      </c>
    </row>
    <row r="3134" spans="1:9">
      <c r="A3134" s="90">
        <v>3118</v>
      </c>
      <c r="B3134" s="110">
        <v>1.1021372466763233</v>
      </c>
      <c r="C3134" s="110">
        <v>1.0520806528690672</v>
      </c>
      <c r="G3134" s="90">
        <v>3118</v>
      </c>
      <c r="H3134" s="100">
        <v>-4.6481468637143371E-2</v>
      </c>
      <c r="I3134" s="100">
        <v>-4.5908072104548038E-2</v>
      </c>
    </row>
    <row r="3135" spans="1:9">
      <c r="A3135" s="90">
        <v>3119</v>
      </c>
      <c r="B3135" s="110">
        <v>1.1142329497703214</v>
      </c>
      <c r="C3135" s="110">
        <v>1.0445847891846949</v>
      </c>
      <c r="G3135" s="90">
        <v>3119</v>
      </c>
      <c r="H3135" s="100">
        <v>-6.4546755212640028E-2</v>
      </c>
      <c r="I3135" s="100">
        <v>-4.5903095363252371E-2</v>
      </c>
    </row>
    <row r="3136" spans="1:9">
      <c r="A3136" s="90">
        <v>3120</v>
      </c>
      <c r="B3136" s="110">
        <v>1.0967963793639333</v>
      </c>
      <c r="C3136" s="110">
        <v>1.0359729762346943</v>
      </c>
      <c r="G3136" s="90">
        <v>3120</v>
      </c>
      <c r="H3136" s="100">
        <v>-5.7052489388479996E-2</v>
      </c>
      <c r="I3136" s="100">
        <v>-4.5896059291707349E-2</v>
      </c>
    </row>
    <row r="3137" spans="1:9">
      <c r="A3137" s="90">
        <v>3121</v>
      </c>
      <c r="B3137" s="110">
        <v>1.1182745086433108</v>
      </c>
      <c r="C3137" s="110">
        <v>1.0582122788845498</v>
      </c>
      <c r="G3137" s="90">
        <v>3121</v>
      </c>
      <c r="H3137" s="100">
        <v>-5.5205925075066303E-2</v>
      </c>
      <c r="I3137" s="100">
        <v>-4.5892460380060299E-2</v>
      </c>
    </row>
    <row r="3138" spans="1:9">
      <c r="A3138" s="90">
        <v>3122</v>
      </c>
      <c r="B3138" s="110">
        <v>1.1165992290158979</v>
      </c>
      <c r="C3138" s="110">
        <v>1.0686273916227462</v>
      </c>
      <c r="G3138" s="90">
        <v>3122</v>
      </c>
      <c r="H3138" s="100">
        <v>-4.391265001995396E-2</v>
      </c>
      <c r="I3138" s="100">
        <v>-4.5886975835816059E-2</v>
      </c>
    </row>
    <row r="3139" spans="1:9">
      <c r="A3139" s="90">
        <v>3123</v>
      </c>
      <c r="B3139" s="110">
        <v>1.1193930951541029</v>
      </c>
      <c r="C3139" s="110">
        <v>1.0463100373541854</v>
      </c>
      <c r="G3139" s="90">
        <v>3123</v>
      </c>
      <c r="H3139" s="100">
        <v>-6.7516934562286329E-2</v>
      </c>
      <c r="I3139" s="100">
        <v>-4.5867602244267502E-2</v>
      </c>
    </row>
    <row r="3140" spans="1:9">
      <c r="A3140" s="90">
        <v>3124</v>
      </c>
      <c r="B3140" s="110">
        <v>1.1209791440392591</v>
      </c>
      <c r="C3140" s="110">
        <v>1.0642966821686581</v>
      </c>
      <c r="G3140" s="90">
        <v>3124</v>
      </c>
      <c r="H3140" s="100">
        <v>-5.1888350458421065E-2</v>
      </c>
      <c r="I3140" s="100">
        <v>-4.5852849266415696E-2</v>
      </c>
    </row>
    <row r="3141" spans="1:9">
      <c r="A3141" s="90">
        <v>3125</v>
      </c>
      <c r="B3141" s="110">
        <v>1.1003372032729237</v>
      </c>
      <c r="C3141" s="110">
        <v>1.0417222280506868</v>
      </c>
      <c r="G3141" s="90">
        <v>3125</v>
      </c>
      <c r="H3141" s="100">
        <v>-5.4741349231441284E-2</v>
      </c>
      <c r="I3141" s="100">
        <v>-4.5845882780323574E-2</v>
      </c>
    </row>
    <row r="3142" spans="1:9">
      <c r="A3142" s="90">
        <v>3126</v>
      </c>
      <c r="B3142" s="110">
        <v>1.1133121103052757</v>
      </c>
      <c r="C3142" s="110">
        <v>1.0593869259302351</v>
      </c>
      <c r="G3142" s="90">
        <v>3126</v>
      </c>
      <c r="H3142" s="100">
        <v>-4.9649086500175077E-2</v>
      </c>
      <c r="I3142" s="100">
        <v>-4.5837702590817139E-2</v>
      </c>
    </row>
    <row r="3143" spans="1:9">
      <c r="A3143" s="90">
        <v>3127</v>
      </c>
      <c r="B3143" s="110">
        <v>1.126660594007884</v>
      </c>
      <c r="C3143" s="110">
        <v>1.05555630225922</v>
      </c>
      <c r="G3143" s="90">
        <v>3127</v>
      </c>
      <c r="H3143" s="100">
        <v>-6.5190102204963976E-2</v>
      </c>
      <c r="I3143" s="100">
        <v>-4.5834950614233955E-2</v>
      </c>
    </row>
    <row r="3144" spans="1:9">
      <c r="A3144" s="90">
        <v>3128</v>
      </c>
      <c r="B3144" s="110">
        <v>1.1187440007461003</v>
      </c>
      <c r="C3144" s="110">
        <v>1.0499069650870541</v>
      </c>
      <c r="G3144" s="90">
        <v>3128</v>
      </c>
      <c r="H3144" s="100">
        <v>-6.3505072566154216E-2</v>
      </c>
      <c r="I3144" s="100">
        <v>-4.5833376531554594E-2</v>
      </c>
    </row>
    <row r="3145" spans="1:9">
      <c r="A3145" s="90">
        <v>3129</v>
      </c>
      <c r="B3145" s="110">
        <v>1.1044379978773973</v>
      </c>
      <c r="C3145" s="110">
        <v>1.0542095266440301</v>
      </c>
      <c r="G3145" s="90">
        <v>3129</v>
      </c>
      <c r="H3145" s="100">
        <v>-4.6545384138230179E-2</v>
      </c>
      <c r="I3145" s="100">
        <v>-4.5827943960220219E-2</v>
      </c>
    </row>
    <row r="3146" spans="1:9">
      <c r="A3146" s="90">
        <v>3130</v>
      </c>
      <c r="B3146" s="110">
        <v>1.0789500729553787</v>
      </c>
      <c r="C3146" s="110">
        <v>1.0507208950875784</v>
      </c>
      <c r="G3146" s="90">
        <v>3130</v>
      </c>
      <c r="H3146" s="100">
        <v>-2.6511918275974371E-2</v>
      </c>
      <c r="I3146" s="100">
        <v>-4.5826947536653569E-2</v>
      </c>
    </row>
    <row r="3147" spans="1:9">
      <c r="A3147" s="90">
        <v>3131</v>
      </c>
      <c r="B3147" s="110">
        <v>1.133460153719219</v>
      </c>
      <c r="C3147" s="110">
        <v>1.0616599978474446</v>
      </c>
      <c r="G3147" s="90">
        <v>3131</v>
      </c>
      <c r="H3147" s="100">
        <v>-6.5441318160204376E-2</v>
      </c>
      <c r="I3147" s="100">
        <v>-4.5820984438517773E-2</v>
      </c>
    </row>
    <row r="3148" spans="1:9">
      <c r="A3148" s="90">
        <v>3132</v>
      </c>
      <c r="B3148" s="110">
        <v>1.0931292910381645</v>
      </c>
      <c r="C3148" s="110">
        <v>1.047964027411763</v>
      </c>
      <c r="G3148" s="90">
        <v>3132</v>
      </c>
      <c r="H3148" s="100">
        <v>-4.2195231940089652E-2</v>
      </c>
      <c r="I3148" s="100">
        <v>-4.5810966258609198E-2</v>
      </c>
    </row>
    <row r="3149" spans="1:9">
      <c r="A3149" s="90">
        <v>3133</v>
      </c>
      <c r="B3149" s="110">
        <v>1.0873253806343026</v>
      </c>
      <c r="C3149" s="110">
        <v>1.0440537776624554</v>
      </c>
      <c r="G3149" s="90">
        <v>3133</v>
      </c>
      <c r="H3149" s="100">
        <v>-4.0609902251632447E-2</v>
      </c>
      <c r="I3149" s="100">
        <v>-4.5810445689169935E-2</v>
      </c>
    </row>
    <row r="3150" spans="1:9">
      <c r="A3150" s="90">
        <v>3134</v>
      </c>
      <c r="B3150" s="110">
        <v>1.1398662033099105</v>
      </c>
      <c r="C3150" s="110">
        <v>1.0288656462083139</v>
      </c>
      <c r="G3150" s="90">
        <v>3134</v>
      </c>
      <c r="H3150" s="100">
        <v>-0.10245400901251411</v>
      </c>
      <c r="I3150" s="100">
        <v>-4.5785240060699374E-2</v>
      </c>
    </row>
    <row r="3151" spans="1:9">
      <c r="A3151" s="90">
        <v>3135</v>
      </c>
      <c r="B3151" s="110">
        <v>1.0960838310191761</v>
      </c>
      <c r="C3151" s="110">
        <v>1.0611201023664723</v>
      </c>
      <c r="G3151" s="90">
        <v>3135</v>
      </c>
      <c r="H3151" s="100">
        <v>-3.2418623202044576E-2</v>
      </c>
      <c r="I3151" s="100">
        <v>-4.5750398932017863E-2</v>
      </c>
    </row>
    <row r="3152" spans="1:9">
      <c r="A3152" s="90">
        <v>3136</v>
      </c>
      <c r="B3152" s="110">
        <v>1.1293425261780987</v>
      </c>
      <c r="C3152" s="110">
        <v>1.0568606976706576</v>
      </c>
      <c r="G3152" s="90">
        <v>3136</v>
      </c>
      <c r="H3152" s="100">
        <v>-6.6332720232021497E-2</v>
      </c>
      <c r="I3152" s="100">
        <v>-4.5734427040521802E-2</v>
      </c>
    </row>
    <row r="3153" spans="1:9">
      <c r="A3153" s="90">
        <v>3137</v>
      </c>
      <c r="B3153" s="110">
        <v>1.0841372692768918</v>
      </c>
      <c r="C3153" s="110">
        <v>1.0628008419743664</v>
      </c>
      <c r="G3153" s="90">
        <v>3137</v>
      </c>
      <c r="H3153" s="100">
        <v>-1.9876800048548315E-2</v>
      </c>
      <c r="I3153" s="100">
        <v>-4.5729941469065685E-2</v>
      </c>
    </row>
    <row r="3154" spans="1:9">
      <c r="A3154" s="90">
        <v>3138</v>
      </c>
      <c r="B3154" s="110">
        <v>1.1148528052350546</v>
      </c>
      <c r="C3154" s="110">
        <v>1.0723870617497639</v>
      </c>
      <c r="G3154" s="90">
        <v>3138</v>
      </c>
      <c r="H3154" s="100">
        <v>-3.8835320410079456E-2</v>
      </c>
      <c r="I3154" s="100">
        <v>-4.5711430513862228E-2</v>
      </c>
    </row>
    <row r="3155" spans="1:9">
      <c r="A3155" s="90">
        <v>3139</v>
      </c>
      <c r="B3155" s="110">
        <v>1.083006170828628</v>
      </c>
      <c r="C3155" s="110">
        <v>1.0544001441130286</v>
      </c>
      <c r="G3155" s="90">
        <v>3139</v>
      </c>
      <c r="H3155" s="100">
        <v>-2.676864446146926E-2</v>
      </c>
      <c r="I3155" s="100">
        <v>-4.5705555060344322E-2</v>
      </c>
    </row>
    <row r="3156" spans="1:9">
      <c r="A3156" s="90">
        <v>3140</v>
      </c>
      <c r="B3156" s="110">
        <v>1.0863140750402203</v>
      </c>
      <c r="C3156" s="110">
        <v>1.0617360597360743</v>
      </c>
      <c r="G3156" s="90">
        <v>3140</v>
      </c>
      <c r="H3156" s="100">
        <v>-2.2885022627820467E-2</v>
      </c>
      <c r="I3156" s="100">
        <v>-4.5689469166396282E-2</v>
      </c>
    </row>
    <row r="3157" spans="1:9">
      <c r="A3157" s="90">
        <v>3141</v>
      </c>
      <c r="B3157" s="110">
        <v>1.1018246581140756</v>
      </c>
      <c r="C3157" s="110">
        <v>1.0391332352713576</v>
      </c>
      <c r="G3157" s="90">
        <v>3141</v>
      </c>
      <c r="H3157" s="100">
        <v>-5.8580647616132402E-2</v>
      </c>
      <c r="I3157" s="100">
        <v>-4.5665060570974997E-2</v>
      </c>
    </row>
    <row r="3158" spans="1:9">
      <c r="A3158" s="90">
        <v>3142</v>
      </c>
      <c r="B3158" s="110">
        <v>1.1384351432383222</v>
      </c>
      <c r="C3158" s="110">
        <v>1.0463403162266263</v>
      </c>
      <c r="G3158" s="90">
        <v>3142</v>
      </c>
      <c r="H3158" s="100">
        <v>-8.4355975197475827E-2</v>
      </c>
      <c r="I3158" s="100">
        <v>-4.5663150810670391E-2</v>
      </c>
    </row>
    <row r="3159" spans="1:9">
      <c r="A3159" s="90">
        <v>3143</v>
      </c>
      <c r="B3159" s="110">
        <v>1.1485277458874514</v>
      </c>
      <c r="C3159" s="110">
        <v>1.0488766241271932</v>
      </c>
      <c r="G3159" s="90">
        <v>3143</v>
      </c>
      <c r="H3159" s="100">
        <v>-9.0761191571026661E-2</v>
      </c>
      <c r="I3159" s="100">
        <v>-4.5657949471479879E-2</v>
      </c>
    </row>
    <row r="3160" spans="1:9">
      <c r="A3160" s="90">
        <v>3144</v>
      </c>
      <c r="B3160" s="110">
        <v>1.1436773276984831</v>
      </c>
      <c r="C3160" s="110">
        <v>1.0605027264635236</v>
      </c>
      <c r="G3160" s="90">
        <v>3144</v>
      </c>
      <c r="H3160" s="100">
        <v>-7.5505731022657466E-2</v>
      </c>
      <c r="I3160" s="100">
        <v>-4.5649731442084944E-2</v>
      </c>
    </row>
    <row r="3161" spans="1:9">
      <c r="A3161" s="90">
        <v>3145</v>
      </c>
      <c r="B3161" s="110">
        <v>1.1006069087364667</v>
      </c>
      <c r="C3161" s="110">
        <v>1.0529570200137413</v>
      </c>
      <c r="G3161" s="90">
        <v>3145</v>
      </c>
      <c r="H3161" s="100">
        <v>-4.4259347251668822E-2</v>
      </c>
      <c r="I3161" s="100">
        <v>-4.5627578371953935E-2</v>
      </c>
    </row>
    <row r="3162" spans="1:9">
      <c r="A3162" s="90">
        <v>3146</v>
      </c>
      <c r="B3162" s="110">
        <v>1.1018937304970085</v>
      </c>
      <c r="C3162" s="110">
        <v>1.0509176177292683</v>
      </c>
      <c r="G3162" s="90">
        <v>3146</v>
      </c>
      <c r="H3162" s="100">
        <v>-4.7366568605763958E-2</v>
      </c>
      <c r="I3162" s="100">
        <v>-4.5625503698383092E-2</v>
      </c>
    </row>
    <row r="3163" spans="1:9">
      <c r="A3163" s="90">
        <v>3147</v>
      </c>
      <c r="B3163" s="110">
        <v>1.1412338044617378</v>
      </c>
      <c r="C3163" s="110">
        <v>1.0509866410499122</v>
      </c>
      <c r="G3163" s="90">
        <v>3147</v>
      </c>
      <c r="H3163" s="100">
        <v>-8.2380580664343186E-2</v>
      </c>
      <c r="I3163" s="100">
        <v>-4.5586805842463704E-2</v>
      </c>
    </row>
    <row r="3164" spans="1:9">
      <c r="A3164" s="90">
        <v>3148</v>
      </c>
      <c r="B3164" s="110">
        <v>1.0851586447983643</v>
      </c>
      <c r="C3164" s="110">
        <v>1.0636676066649371</v>
      </c>
      <c r="G3164" s="90">
        <v>3148</v>
      </c>
      <c r="H3164" s="100">
        <v>-2.0003250346382423E-2</v>
      </c>
      <c r="I3164" s="100">
        <v>-4.5584318621534801E-2</v>
      </c>
    </row>
    <row r="3165" spans="1:9">
      <c r="A3165" s="90">
        <v>3149</v>
      </c>
      <c r="B3165" s="110">
        <v>1.1166278073789242</v>
      </c>
      <c r="C3165" s="110">
        <v>1.0656609496377125</v>
      </c>
      <c r="G3165" s="90">
        <v>3149</v>
      </c>
      <c r="H3165" s="100">
        <v>-4.6718040550083724E-2</v>
      </c>
      <c r="I3165" s="100">
        <v>-4.5580604596462147E-2</v>
      </c>
    </row>
    <row r="3166" spans="1:9">
      <c r="A3166" s="90">
        <v>3150</v>
      </c>
      <c r="B3166" s="110">
        <v>1.1017950529122726</v>
      </c>
      <c r="C3166" s="110">
        <v>1.0567682144343364</v>
      </c>
      <c r="G3166" s="90">
        <v>3150</v>
      </c>
      <c r="H3166" s="100">
        <v>-4.1725319449290553E-2</v>
      </c>
      <c r="I3166" s="100">
        <v>-4.5574230319228332E-2</v>
      </c>
    </row>
    <row r="3167" spans="1:9">
      <c r="A3167" s="90">
        <v>3151</v>
      </c>
      <c r="B3167" s="110">
        <v>1.1073478914134633</v>
      </c>
      <c r="C3167" s="110">
        <v>1.0598468428569172</v>
      </c>
      <c r="G3167" s="90">
        <v>3151</v>
      </c>
      <c r="H3167" s="100">
        <v>-4.3843459594629042E-2</v>
      </c>
      <c r="I3167" s="100">
        <v>-4.5551365816778613E-2</v>
      </c>
    </row>
    <row r="3168" spans="1:9">
      <c r="A3168" s="90">
        <v>3152</v>
      </c>
      <c r="B3168" s="110">
        <v>1.0864700991547895</v>
      </c>
      <c r="C3168" s="110">
        <v>1.0597857933889985</v>
      </c>
      <c r="G3168" s="90">
        <v>3152</v>
      </c>
      <c r="H3168" s="100">
        <v>-2.4867194005296998E-2</v>
      </c>
      <c r="I3168" s="100">
        <v>-4.5548900051813349E-2</v>
      </c>
    </row>
    <row r="3169" spans="1:9">
      <c r="A3169" s="90">
        <v>3153</v>
      </c>
      <c r="B3169" s="110">
        <v>1.1175685461618767</v>
      </c>
      <c r="C3169" s="110">
        <v>1.0552147986560019</v>
      </c>
      <c r="G3169" s="90">
        <v>3153</v>
      </c>
      <c r="H3169" s="100">
        <v>-5.7411037645714889E-2</v>
      </c>
      <c r="I3169" s="100">
        <v>-4.5545086221731146E-2</v>
      </c>
    </row>
    <row r="3170" spans="1:9">
      <c r="A3170" s="90">
        <v>3154</v>
      </c>
      <c r="B3170" s="110">
        <v>1.1172796754570982</v>
      </c>
      <c r="C3170" s="110">
        <v>1.0711123162530378</v>
      </c>
      <c r="G3170" s="90">
        <v>3154</v>
      </c>
      <c r="H3170" s="100">
        <v>-4.2199213221550305E-2</v>
      </c>
      <c r="I3170" s="100">
        <v>-4.55234484081211E-2</v>
      </c>
    </row>
    <row r="3171" spans="1:9">
      <c r="A3171" s="90">
        <v>3155</v>
      </c>
      <c r="B3171" s="110">
        <v>1.070173814600176</v>
      </c>
      <c r="C3171" s="110">
        <v>1.064028417352761</v>
      </c>
      <c r="G3171" s="90">
        <v>3155</v>
      </c>
      <c r="H3171" s="100">
        <v>-5.758980231747644E-3</v>
      </c>
      <c r="I3171" s="100">
        <v>-4.5478468167591837E-2</v>
      </c>
    </row>
    <row r="3172" spans="1:9">
      <c r="A3172" s="90">
        <v>3156</v>
      </c>
      <c r="B3172" s="110">
        <v>1.0954420234458582</v>
      </c>
      <c r="C3172" s="110">
        <v>1.0452877823961426</v>
      </c>
      <c r="G3172" s="90">
        <v>3156</v>
      </c>
      <c r="H3172" s="100">
        <v>-4.6865718836943605E-2</v>
      </c>
      <c r="I3172" s="100">
        <v>-4.5475685445606102E-2</v>
      </c>
    </row>
    <row r="3173" spans="1:9">
      <c r="A3173" s="90">
        <v>3157</v>
      </c>
      <c r="B3173" s="110">
        <v>1.1372777987294806</v>
      </c>
      <c r="C3173" s="110">
        <v>1.0378292638033404</v>
      </c>
      <c r="G3173" s="90">
        <v>3157</v>
      </c>
      <c r="H3173" s="100">
        <v>-9.1506225509156713E-2</v>
      </c>
      <c r="I3173" s="100">
        <v>-4.5439716696275383E-2</v>
      </c>
    </row>
    <row r="3174" spans="1:9">
      <c r="A3174" s="90">
        <v>3158</v>
      </c>
      <c r="B3174" s="110">
        <v>1.1075275549644863</v>
      </c>
      <c r="C3174" s="110">
        <v>1.0598812250425815</v>
      </c>
      <c r="G3174" s="90">
        <v>3158</v>
      </c>
      <c r="H3174" s="100">
        <v>-4.3973252957673237E-2</v>
      </c>
      <c r="I3174" s="100">
        <v>-4.5428374173116223E-2</v>
      </c>
    </row>
    <row r="3175" spans="1:9">
      <c r="A3175" s="90">
        <v>3159</v>
      </c>
      <c r="B3175" s="110">
        <v>1.125923020111814</v>
      </c>
      <c r="C3175" s="110">
        <v>1.0369028618550431</v>
      </c>
      <c r="G3175" s="90">
        <v>3159</v>
      </c>
      <c r="H3175" s="100">
        <v>-8.2364908993835764E-2</v>
      </c>
      <c r="I3175" s="100">
        <v>-4.5426558062836304E-2</v>
      </c>
    </row>
    <row r="3176" spans="1:9">
      <c r="A3176" s="90">
        <v>3160</v>
      </c>
      <c r="B3176" s="110">
        <v>1.1103782655765446</v>
      </c>
      <c r="C3176" s="110">
        <v>1.0588403302649139</v>
      </c>
      <c r="G3176" s="90">
        <v>3160</v>
      </c>
      <c r="H3176" s="100">
        <v>-4.7526455884204101E-2</v>
      </c>
      <c r="I3176" s="100">
        <v>-4.5403387243171008E-2</v>
      </c>
    </row>
    <row r="3177" spans="1:9">
      <c r="A3177" s="90">
        <v>3161</v>
      </c>
      <c r="B3177" s="110">
        <v>1.110316490410364</v>
      </c>
      <c r="C3177" s="110">
        <v>1.0444745935665145</v>
      </c>
      <c r="G3177" s="90">
        <v>3161</v>
      </c>
      <c r="H3177" s="100">
        <v>-6.1131123475407861E-2</v>
      </c>
      <c r="I3177" s="100">
        <v>-4.5395473888529186E-2</v>
      </c>
    </row>
    <row r="3178" spans="1:9">
      <c r="A3178" s="90">
        <v>3162</v>
      </c>
      <c r="B3178" s="110">
        <v>1.130058559898987</v>
      </c>
      <c r="C3178" s="110">
        <v>1.0700138017909973</v>
      </c>
      <c r="G3178" s="90">
        <v>3162</v>
      </c>
      <c r="H3178" s="100">
        <v>-5.4597907040229612E-2</v>
      </c>
      <c r="I3178" s="100">
        <v>-4.53912881565127E-2</v>
      </c>
    </row>
    <row r="3179" spans="1:9">
      <c r="A3179" s="90">
        <v>3163</v>
      </c>
      <c r="B3179" s="110">
        <v>1.1220824001882879</v>
      </c>
      <c r="C3179" s="110">
        <v>1.0513590299295177</v>
      </c>
      <c r="G3179" s="90">
        <v>3163</v>
      </c>
      <c r="H3179" s="100">
        <v>-6.5102603371468518E-2</v>
      </c>
      <c r="I3179" s="100">
        <v>-4.5387243147727886E-2</v>
      </c>
    </row>
    <row r="3180" spans="1:9">
      <c r="A3180" s="90">
        <v>3164</v>
      </c>
      <c r="B3180" s="110">
        <v>1.1170755275844284</v>
      </c>
      <c r="C3180" s="110">
        <v>1.0811457102571003</v>
      </c>
      <c r="G3180" s="90">
        <v>3164</v>
      </c>
      <c r="H3180" s="100">
        <v>-3.2692812589270363E-2</v>
      </c>
      <c r="I3180" s="100">
        <v>-4.5385945889507846E-2</v>
      </c>
    </row>
    <row r="3181" spans="1:9">
      <c r="A3181" s="90">
        <v>3165</v>
      </c>
      <c r="B3181" s="110">
        <v>1.0948157167845762</v>
      </c>
      <c r="C3181" s="110">
        <v>1.0663219447192205</v>
      </c>
      <c r="G3181" s="90">
        <v>3165</v>
      </c>
      <c r="H3181" s="100">
        <v>-2.6370761852383146E-2</v>
      </c>
      <c r="I3181" s="100">
        <v>-4.5382175482007681E-2</v>
      </c>
    </row>
    <row r="3182" spans="1:9">
      <c r="A3182" s="90">
        <v>3166</v>
      </c>
      <c r="B3182" s="110">
        <v>1.1090085014844813</v>
      </c>
      <c r="C3182" s="110">
        <v>1.0516154842058723</v>
      </c>
      <c r="G3182" s="90">
        <v>3166</v>
      </c>
      <c r="H3182" s="100">
        <v>-5.3138836049391229E-2</v>
      </c>
      <c r="I3182" s="100">
        <v>-4.536846902022245E-2</v>
      </c>
    </row>
    <row r="3183" spans="1:9">
      <c r="A3183" s="90">
        <v>3167</v>
      </c>
      <c r="B3183" s="110">
        <v>1.1347014042233932</v>
      </c>
      <c r="C3183" s="110">
        <v>1.0488273565053492</v>
      </c>
      <c r="G3183" s="90">
        <v>3167</v>
      </c>
      <c r="H3183" s="100">
        <v>-7.869679959071231E-2</v>
      </c>
      <c r="I3183" s="100">
        <v>-4.5368441225320959E-2</v>
      </c>
    </row>
    <row r="3184" spans="1:9">
      <c r="A3184" s="90">
        <v>3168</v>
      </c>
      <c r="B3184" s="110">
        <v>1.098071382653226</v>
      </c>
      <c r="C3184" s="110">
        <v>1.0660875271717138</v>
      </c>
      <c r="G3184" s="90">
        <v>3168</v>
      </c>
      <c r="H3184" s="100">
        <v>-2.9559922084087139E-2</v>
      </c>
      <c r="I3184" s="100">
        <v>-4.5344759946146833E-2</v>
      </c>
    </row>
    <row r="3185" spans="1:9">
      <c r="A3185" s="90">
        <v>3169</v>
      </c>
      <c r="B3185" s="110">
        <v>1.0683158890581663</v>
      </c>
      <c r="C3185" s="110">
        <v>1.0494059714295463</v>
      </c>
      <c r="G3185" s="90">
        <v>3169</v>
      </c>
      <c r="H3185" s="100">
        <v>-1.7859210494857707E-2</v>
      </c>
      <c r="I3185" s="100">
        <v>-4.5337844521347849E-2</v>
      </c>
    </row>
    <row r="3186" spans="1:9">
      <c r="A3186" s="90">
        <v>3170</v>
      </c>
      <c r="B3186" s="110">
        <v>1.1106639574902077</v>
      </c>
      <c r="C3186" s="110">
        <v>1.0423390426651802</v>
      </c>
      <c r="G3186" s="90">
        <v>3170</v>
      </c>
      <c r="H3186" s="100">
        <v>-6.3490729153408337E-2</v>
      </c>
      <c r="I3186" s="100">
        <v>-4.5312887993017623E-2</v>
      </c>
    </row>
    <row r="3187" spans="1:9">
      <c r="A3187" s="90">
        <v>3171</v>
      </c>
      <c r="B3187" s="110">
        <v>1.1324209823128399</v>
      </c>
      <c r="C3187" s="110">
        <v>1.0405461512802701</v>
      </c>
      <c r="G3187" s="90">
        <v>3171</v>
      </c>
      <c r="H3187" s="100">
        <v>-8.4612082374166314E-2</v>
      </c>
      <c r="I3187" s="100">
        <v>-4.5312009629468908E-2</v>
      </c>
    </row>
    <row r="3188" spans="1:9">
      <c r="A3188" s="90">
        <v>3172</v>
      </c>
      <c r="B3188" s="110">
        <v>1.1082638514057042</v>
      </c>
      <c r="C3188" s="110">
        <v>1.0622472576983473</v>
      </c>
      <c r="G3188" s="90">
        <v>3172</v>
      </c>
      <c r="H3188" s="100">
        <v>-4.2407974601333789E-2</v>
      </c>
      <c r="I3188" s="100">
        <v>-4.530526879441963E-2</v>
      </c>
    </row>
    <row r="3189" spans="1:9">
      <c r="A3189" s="90">
        <v>3173</v>
      </c>
      <c r="B3189" s="110">
        <v>1.0940633531548867</v>
      </c>
      <c r="C3189" s="110">
        <v>1.0472020763753327</v>
      </c>
      <c r="G3189" s="90">
        <v>3173</v>
      </c>
      <c r="H3189" s="100">
        <v>-4.3776693571729142E-2</v>
      </c>
      <c r="I3189" s="100">
        <v>-4.5263083738127596E-2</v>
      </c>
    </row>
    <row r="3190" spans="1:9">
      <c r="A3190" s="90">
        <v>3174</v>
      </c>
      <c r="B3190" s="110">
        <v>1.1278595580871826</v>
      </c>
      <c r="C3190" s="110">
        <v>1.073295623344894</v>
      </c>
      <c r="G3190" s="90">
        <v>3174</v>
      </c>
      <c r="H3190" s="100">
        <v>-4.9587703341178208E-2</v>
      </c>
      <c r="I3190" s="100">
        <v>-4.5255958547901209E-2</v>
      </c>
    </row>
    <row r="3191" spans="1:9">
      <c r="A3191" s="90">
        <v>3175</v>
      </c>
      <c r="B3191" s="110">
        <v>1.0953099254218419</v>
      </c>
      <c r="C3191" s="110">
        <v>1.0480474659630137</v>
      </c>
      <c r="G3191" s="90">
        <v>3175</v>
      </c>
      <c r="H3191" s="100">
        <v>-4.4108483313355526E-2</v>
      </c>
      <c r="I3191" s="100">
        <v>-4.5253089280380368E-2</v>
      </c>
    </row>
    <row r="3192" spans="1:9">
      <c r="A3192" s="90">
        <v>3176</v>
      </c>
      <c r="B3192" s="110">
        <v>1.1196058858041522</v>
      </c>
      <c r="C3192" s="110">
        <v>1.0785723357191763</v>
      </c>
      <c r="G3192" s="90">
        <v>3176</v>
      </c>
      <c r="H3192" s="100">
        <v>-3.7338480435739924E-2</v>
      </c>
      <c r="I3192" s="100">
        <v>-4.5250144604026057E-2</v>
      </c>
    </row>
    <row r="3193" spans="1:9">
      <c r="A3193" s="90">
        <v>3177</v>
      </c>
      <c r="B3193" s="110">
        <v>1.1179208140886339</v>
      </c>
      <c r="C3193" s="110">
        <v>1.0594019782674768</v>
      </c>
      <c r="G3193" s="90">
        <v>3177</v>
      </c>
      <c r="H3193" s="100">
        <v>-5.3765966565386313E-2</v>
      </c>
      <c r="I3193" s="100">
        <v>-4.5241232058980271E-2</v>
      </c>
    </row>
    <row r="3194" spans="1:9">
      <c r="A3194" s="90">
        <v>3178</v>
      </c>
      <c r="B3194" s="110">
        <v>1.1220124596481111</v>
      </c>
      <c r="C3194" s="110">
        <v>1.0772497009759889</v>
      </c>
      <c r="G3194" s="90">
        <v>3178</v>
      </c>
      <c r="H3194" s="100">
        <v>-4.0712691961675797E-2</v>
      </c>
      <c r="I3194" s="100">
        <v>-4.5239766461795242E-2</v>
      </c>
    </row>
    <row r="3195" spans="1:9">
      <c r="A3195" s="90">
        <v>3179</v>
      </c>
      <c r="B3195" s="110">
        <v>1.1006988513007083</v>
      </c>
      <c r="C3195" s="110">
        <v>1.0549963661247879</v>
      </c>
      <c r="G3195" s="90">
        <v>3179</v>
      </c>
      <c r="H3195" s="100">
        <v>-4.2407974948078235E-2</v>
      </c>
      <c r="I3195" s="100">
        <v>-4.5229355710452633E-2</v>
      </c>
    </row>
    <row r="3196" spans="1:9">
      <c r="A3196" s="90">
        <v>3180</v>
      </c>
      <c r="B3196" s="110">
        <v>1.0639683797756039</v>
      </c>
      <c r="C3196" s="110">
        <v>1.0490899549327968</v>
      </c>
      <c r="G3196" s="90">
        <v>3180</v>
      </c>
      <c r="H3196" s="100">
        <v>-1.40825934501416E-2</v>
      </c>
      <c r="I3196" s="100">
        <v>-4.5210561545055379E-2</v>
      </c>
    </row>
    <row r="3197" spans="1:9">
      <c r="A3197" s="90">
        <v>3181</v>
      </c>
      <c r="B3197" s="110">
        <v>1.0771423820271095</v>
      </c>
      <c r="C3197" s="110">
        <v>1.028706495521603</v>
      </c>
      <c r="G3197" s="90">
        <v>3181</v>
      </c>
      <c r="H3197" s="100">
        <v>-4.6009408439491917E-2</v>
      </c>
      <c r="I3197" s="100">
        <v>-4.5202820742118462E-2</v>
      </c>
    </row>
    <row r="3198" spans="1:9">
      <c r="A3198" s="90">
        <v>3182</v>
      </c>
      <c r="B3198" s="110">
        <v>1.1092876047796163</v>
      </c>
      <c r="C3198" s="110">
        <v>1.0299261874365337</v>
      </c>
      <c r="G3198" s="90">
        <v>3182</v>
      </c>
      <c r="H3198" s="100">
        <v>-7.4230874797551971E-2</v>
      </c>
      <c r="I3198" s="100">
        <v>-4.5187976125784513E-2</v>
      </c>
    </row>
    <row r="3199" spans="1:9">
      <c r="A3199" s="90">
        <v>3183</v>
      </c>
      <c r="B3199" s="110">
        <v>1.1525916378253533</v>
      </c>
      <c r="C3199" s="110">
        <v>1.038331862463862</v>
      </c>
      <c r="G3199" s="90">
        <v>3183</v>
      </c>
      <c r="H3199" s="100">
        <v>-0.10439755793803175</v>
      </c>
      <c r="I3199" s="100">
        <v>-4.5186011012117548E-2</v>
      </c>
    </row>
    <row r="3200" spans="1:9">
      <c r="A3200" s="90">
        <v>3184</v>
      </c>
      <c r="B3200" s="110">
        <v>1.0966550795540273</v>
      </c>
      <c r="C3200" s="110">
        <v>1.0568439092162116</v>
      </c>
      <c r="G3200" s="90">
        <v>3184</v>
      </c>
      <c r="H3200" s="100">
        <v>-3.6977687713825258E-2</v>
      </c>
      <c r="I3200" s="100">
        <v>-4.5184502293819595E-2</v>
      </c>
    </row>
    <row r="3201" spans="1:9">
      <c r="A3201" s="90">
        <v>3185</v>
      </c>
      <c r="B3201" s="110">
        <v>1.1261577067563475</v>
      </c>
      <c r="C3201" s="110">
        <v>1.0636205806421299</v>
      </c>
      <c r="G3201" s="90">
        <v>3185</v>
      </c>
      <c r="H3201" s="100">
        <v>-5.7132849013671549E-2</v>
      </c>
      <c r="I3201" s="100">
        <v>-4.5175265250912977E-2</v>
      </c>
    </row>
    <row r="3202" spans="1:9">
      <c r="A3202" s="90">
        <v>3186</v>
      </c>
      <c r="B3202" s="110">
        <v>1.1207241378754196</v>
      </c>
      <c r="C3202" s="110">
        <v>1.0834857897104562</v>
      </c>
      <c r="G3202" s="90">
        <v>3186</v>
      </c>
      <c r="H3202" s="100">
        <v>-3.3791601321357133E-2</v>
      </c>
      <c r="I3202" s="100">
        <v>-4.5164583807080882E-2</v>
      </c>
    </row>
    <row r="3203" spans="1:9">
      <c r="A3203" s="90">
        <v>3187</v>
      </c>
      <c r="B3203" s="110">
        <v>1.100726970638624</v>
      </c>
      <c r="C3203" s="110">
        <v>1.0577308055593244</v>
      </c>
      <c r="G3203" s="90">
        <v>3187</v>
      </c>
      <c r="H3203" s="100">
        <v>-3.9844979944456342E-2</v>
      </c>
      <c r="I3203" s="100">
        <v>-4.5163066881272119E-2</v>
      </c>
    </row>
    <row r="3204" spans="1:9">
      <c r="A3204" s="90">
        <v>3188</v>
      </c>
      <c r="B3204" s="110">
        <v>1.1055823011288834</v>
      </c>
      <c r="C3204" s="110">
        <v>1.057149325619259</v>
      </c>
      <c r="G3204" s="90">
        <v>3188</v>
      </c>
      <c r="H3204" s="100">
        <v>-4.4796195552415784E-2</v>
      </c>
      <c r="I3204" s="100">
        <v>-4.5160631225413007E-2</v>
      </c>
    </row>
    <row r="3205" spans="1:9">
      <c r="A3205" s="90">
        <v>3189</v>
      </c>
      <c r="B3205" s="110">
        <v>1.1192295276283546</v>
      </c>
      <c r="C3205" s="110">
        <v>1.0619442342128405</v>
      </c>
      <c r="G3205" s="90">
        <v>3189</v>
      </c>
      <c r="H3205" s="100">
        <v>-5.2539115536218907E-2</v>
      </c>
      <c r="I3205" s="100">
        <v>-4.5154804990280295E-2</v>
      </c>
    </row>
    <row r="3206" spans="1:9">
      <c r="A3206" s="90">
        <v>3190</v>
      </c>
      <c r="B3206" s="110">
        <v>1.1197358923806429</v>
      </c>
      <c r="C3206" s="110">
        <v>1.0592693941287641</v>
      </c>
      <c r="G3206" s="90">
        <v>3190</v>
      </c>
      <c r="H3206" s="100">
        <v>-5.5513427465434979E-2</v>
      </c>
      <c r="I3206" s="100">
        <v>-4.51420730859265E-2</v>
      </c>
    </row>
    <row r="3207" spans="1:9">
      <c r="A3207" s="90">
        <v>3191</v>
      </c>
      <c r="B3207" s="110">
        <v>1.0833306853996525</v>
      </c>
      <c r="C3207" s="110">
        <v>1.0524017345060575</v>
      </c>
      <c r="G3207" s="90">
        <v>3191</v>
      </c>
      <c r="H3207" s="100">
        <v>-2.8965345098086126E-2</v>
      </c>
      <c r="I3207" s="100">
        <v>-4.5135399561857643E-2</v>
      </c>
    </row>
    <row r="3208" spans="1:9">
      <c r="A3208" s="90">
        <v>3192</v>
      </c>
      <c r="B3208" s="110">
        <v>1.0744184261354908</v>
      </c>
      <c r="C3208" s="110">
        <v>1.0626307979377896</v>
      </c>
      <c r="G3208" s="90">
        <v>3192</v>
      </c>
      <c r="H3208" s="100">
        <v>-1.1031798061951294E-2</v>
      </c>
      <c r="I3208" s="100">
        <v>-4.5120891595073667E-2</v>
      </c>
    </row>
    <row r="3209" spans="1:9">
      <c r="A3209" s="90">
        <v>3193</v>
      </c>
      <c r="B3209" s="110">
        <v>1.1021826910974211</v>
      </c>
      <c r="C3209" s="110">
        <v>1.0266670050077367</v>
      </c>
      <c r="G3209" s="90">
        <v>3193</v>
      </c>
      <c r="H3209" s="100">
        <v>-7.097484051531544E-2</v>
      </c>
      <c r="I3209" s="100">
        <v>-4.5111977608683511E-2</v>
      </c>
    </row>
    <row r="3210" spans="1:9">
      <c r="A3210" s="90">
        <v>3194</v>
      </c>
      <c r="B3210" s="110">
        <v>1.0877075960221123</v>
      </c>
      <c r="C3210" s="110">
        <v>1.047706221161474</v>
      </c>
      <c r="G3210" s="90">
        <v>3194</v>
      </c>
      <c r="H3210" s="100">
        <v>-3.7469135375148052E-2</v>
      </c>
      <c r="I3210" s="100">
        <v>-4.5105349209008321E-2</v>
      </c>
    </row>
    <row r="3211" spans="1:9">
      <c r="A3211" s="90">
        <v>3195</v>
      </c>
      <c r="B3211" s="110">
        <v>1.1131123943432897</v>
      </c>
      <c r="C3211" s="110">
        <v>1.0188696935597064</v>
      </c>
      <c r="G3211" s="90">
        <v>3195</v>
      </c>
      <c r="H3211" s="100">
        <v>-8.8466181150192003E-2</v>
      </c>
      <c r="I3211" s="100">
        <v>-4.5103163213907747E-2</v>
      </c>
    </row>
    <row r="3212" spans="1:9">
      <c r="A3212" s="90">
        <v>3196</v>
      </c>
      <c r="B3212" s="110">
        <v>1.1034504812973331</v>
      </c>
      <c r="C3212" s="110">
        <v>1.0600445262576437</v>
      </c>
      <c r="G3212" s="90">
        <v>3196</v>
      </c>
      <c r="H3212" s="100">
        <v>-4.0131158341773339E-2</v>
      </c>
      <c r="I3212" s="100">
        <v>-4.5096490995346412E-2</v>
      </c>
    </row>
    <row r="3213" spans="1:9">
      <c r="A3213" s="90">
        <v>3197</v>
      </c>
      <c r="B3213" s="110">
        <v>1.1025404613448477</v>
      </c>
      <c r="C3213" s="110">
        <v>1.0459031118156219</v>
      </c>
      <c r="G3213" s="90">
        <v>3197</v>
      </c>
      <c r="H3213" s="100">
        <v>-5.2736293272729863E-2</v>
      </c>
      <c r="I3213" s="100">
        <v>-4.5077589961611805E-2</v>
      </c>
    </row>
    <row r="3214" spans="1:9">
      <c r="A3214" s="90">
        <v>3198</v>
      </c>
      <c r="B3214" s="110">
        <v>1.0948494613841535</v>
      </c>
      <c r="C3214" s="110">
        <v>1.0533130959352142</v>
      </c>
      <c r="G3214" s="90">
        <v>3198</v>
      </c>
      <c r="H3214" s="100">
        <v>-3.8676349603073201E-2</v>
      </c>
      <c r="I3214" s="100">
        <v>-4.5065129712185903E-2</v>
      </c>
    </row>
    <row r="3215" spans="1:9">
      <c r="A3215" s="90">
        <v>3199</v>
      </c>
      <c r="B3215" s="110">
        <v>1.1078346939360819</v>
      </c>
      <c r="C3215" s="110">
        <v>1.0494014546982307</v>
      </c>
      <c r="G3215" s="90">
        <v>3199</v>
      </c>
      <c r="H3215" s="100">
        <v>-5.4187425507672735E-2</v>
      </c>
      <c r="I3215" s="100">
        <v>-4.5062240950380895E-2</v>
      </c>
    </row>
    <row r="3216" spans="1:9">
      <c r="A3216" s="90">
        <v>3200</v>
      </c>
      <c r="B3216" s="110">
        <v>1.1279658597226423</v>
      </c>
      <c r="C3216" s="110">
        <v>1.0429179071771448</v>
      </c>
      <c r="G3216" s="90">
        <v>3200</v>
      </c>
      <c r="H3216" s="100">
        <v>-7.839342185677145E-2</v>
      </c>
      <c r="I3216" s="100">
        <v>-4.5031806126478488E-2</v>
      </c>
    </row>
    <row r="3217" spans="1:9">
      <c r="A3217" s="90">
        <v>3201</v>
      </c>
      <c r="B3217" s="110">
        <v>1.118287964786302</v>
      </c>
      <c r="C3217" s="110">
        <v>1.036879607394332</v>
      </c>
      <c r="G3217" s="90">
        <v>3201</v>
      </c>
      <c r="H3217" s="100">
        <v>-7.5583087440768984E-2</v>
      </c>
      <c r="I3217" s="100">
        <v>-4.5026718848839749E-2</v>
      </c>
    </row>
    <row r="3218" spans="1:9">
      <c r="A3218" s="90">
        <v>3202</v>
      </c>
      <c r="B3218" s="110">
        <v>1.1174370398263844</v>
      </c>
      <c r="C3218" s="110">
        <v>1.0606087731967428</v>
      </c>
      <c r="G3218" s="90">
        <v>3202</v>
      </c>
      <c r="H3218" s="100">
        <v>-5.2194648113151471E-2</v>
      </c>
      <c r="I3218" s="100">
        <v>-4.5003209554191646E-2</v>
      </c>
    </row>
    <row r="3219" spans="1:9">
      <c r="A3219" s="90">
        <v>3203</v>
      </c>
      <c r="B3219" s="110">
        <v>1.0939334083929624</v>
      </c>
      <c r="C3219" s="110">
        <v>1.0674262153207132</v>
      </c>
      <c r="G3219" s="90">
        <v>3203</v>
      </c>
      <c r="H3219" s="100">
        <v>-2.4529487710946624E-2</v>
      </c>
      <c r="I3219" s="100">
        <v>-4.4986768637057716E-2</v>
      </c>
    </row>
    <row r="3220" spans="1:9">
      <c r="A3220" s="90">
        <v>3204</v>
      </c>
      <c r="B3220" s="110">
        <v>1.0826204275165694</v>
      </c>
      <c r="C3220" s="110">
        <v>1.0394705497408592</v>
      </c>
      <c r="G3220" s="90">
        <v>3204</v>
      </c>
      <c r="H3220" s="100">
        <v>-4.067292740771699E-2</v>
      </c>
      <c r="I3220" s="100">
        <v>-4.4986572435629368E-2</v>
      </c>
    </row>
    <row r="3221" spans="1:9">
      <c r="A3221" s="90">
        <v>3205</v>
      </c>
      <c r="B3221" s="110">
        <v>1.090153458472221</v>
      </c>
      <c r="C3221" s="110">
        <v>1.0452671835346941</v>
      </c>
      <c r="G3221" s="90">
        <v>3205</v>
      </c>
      <c r="H3221" s="100">
        <v>-4.2045943160254021E-2</v>
      </c>
      <c r="I3221" s="100">
        <v>-4.4959623161026363E-2</v>
      </c>
    </row>
    <row r="3222" spans="1:9">
      <c r="A3222" s="90">
        <v>3206</v>
      </c>
      <c r="B3222" s="110">
        <v>1.0923726028026501</v>
      </c>
      <c r="C3222" s="110">
        <v>1.0607388401719078</v>
      </c>
      <c r="G3222" s="90">
        <v>3206</v>
      </c>
      <c r="H3222" s="100">
        <v>-2.9386346131961456E-2</v>
      </c>
      <c r="I3222" s="100">
        <v>-4.4939158916858582E-2</v>
      </c>
    </row>
    <row r="3223" spans="1:9">
      <c r="A3223" s="90">
        <v>3207</v>
      </c>
      <c r="B3223" s="110">
        <v>1.0957131356596741</v>
      </c>
      <c r="C3223" s="110">
        <v>1.0702670993002437</v>
      </c>
      <c r="G3223" s="90">
        <v>3207</v>
      </c>
      <c r="H3223" s="100">
        <v>-2.3497173892986434E-2</v>
      </c>
      <c r="I3223" s="100">
        <v>-4.4929469128391741E-2</v>
      </c>
    </row>
    <row r="3224" spans="1:9">
      <c r="A3224" s="90">
        <v>3208</v>
      </c>
      <c r="B3224" s="110">
        <v>1.1156897293240911</v>
      </c>
      <c r="C3224" s="110">
        <v>1.0847339853537181</v>
      </c>
      <c r="G3224" s="90">
        <v>3208</v>
      </c>
      <c r="H3224" s="100">
        <v>-2.8138022842419872E-2</v>
      </c>
      <c r="I3224" s="100">
        <v>-4.4919881164327838E-2</v>
      </c>
    </row>
    <row r="3225" spans="1:9">
      <c r="A3225" s="90">
        <v>3209</v>
      </c>
      <c r="B3225" s="110">
        <v>1.1283168968135873</v>
      </c>
      <c r="C3225" s="110">
        <v>1.0441269439796064</v>
      </c>
      <c r="G3225" s="90">
        <v>3209</v>
      </c>
      <c r="H3225" s="100">
        <v>-7.754597459325456E-2</v>
      </c>
      <c r="I3225" s="100">
        <v>-4.4914920019353204E-2</v>
      </c>
    </row>
    <row r="3226" spans="1:9">
      <c r="A3226" s="90">
        <v>3210</v>
      </c>
      <c r="B3226" s="110">
        <v>1.1051882216502706</v>
      </c>
      <c r="C3226" s="110">
        <v>1.0489650388872407</v>
      </c>
      <c r="G3226" s="90">
        <v>3210</v>
      </c>
      <c r="H3226" s="100">
        <v>-5.2211655979303072E-2</v>
      </c>
      <c r="I3226" s="100">
        <v>-4.4898953656719948E-2</v>
      </c>
    </row>
    <row r="3227" spans="1:9">
      <c r="A3227" s="90">
        <v>3211</v>
      </c>
      <c r="B3227" s="110">
        <v>1.1285091055034762</v>
      </c>
      <c r="C3227" s="110">
        <v>1.0453154045594324</v>
      </c>
      <c r="G3227" s="90">
        <v>3211</v>
      </c>
      <c r="H3227" s="100">
        <v>-7.6578723498790344E-2</v>
      </c>
      <c r="I3227" s="100">
        <v>-4.4895576054906496E-2</v>
      </c>
    </row>
    <row r="3228" spans="1:9">
      <c r="A3228" s="90">
        <v>3212</v>
      </c>
      <c r="B3228" s="110">
        <v>1.1170598594331096</v>
      </c>
      <c r="C3228" s="110">
        <v>1.0410573763506248</v>
      </c>
      <c r="G3228" s="90">
        <v>3212</v>
      </c>
      <c r="H3228" s="100">
        <v>-7.0463203431655574E-2</v>
      </c>
      <c r="I3228" s="100">
        <v>-4.4888274056286939E-2</v>
      </c>
    </row>
    <row r="3229" spans="1:9">
      <c r="A3229" s="90">
        <v>3213</v>
      </c>
      <c r="B3229" s="110">
        <v>1.0833173176875404</v>
      </c>
      <c r="C3229" s="110">
        <v>1.0330652427766063</v>
      </c>
      <c r="G3229" s="90">
        <v>3213</v>
      </c>
      <c r="H3229" s="100">
        <v>-4.7497577203499175E-2</v>
      </c>
      <c r="I3229" s="100">
        <v>-4.4870489240563721E-2</v>
      </c>
    </row>
    <row r="3230" spans="1:9">
      <c r="A3230" s="90">
        <v>3214</v>
      </c>
      <c r="B3230" s="110">
        <v>1.1259662750764903</v>
      </c>
      <c r="C3230" s="110">
        <v>1.0601957183684023</v>
      </c>
      <c r="G3230" s="90">
        <v>3214</v>
      </c>
      <c r="H3230" s="100">
        <v>-6.0188047132052211E-2</v>
      </c>
      <c r="I3230" s="100">
        <v>-4.4868333914992106E-2</v>
      </c>
    </row>
    <row r="3231" spans="1:9">
      <c r="A3231" s="90">
        <v>3215</v>
      </c>
      <c r="B3231" s="110">
        <v>1.0968452725083659</v>
      </c>
      <c r="C3231" s="110">
        <v>1.033357486202547</v>
      </c>
      <c r="G3231" s="90">
        <v>3215</v>
      </c>
      <c r="H3231" s="100">
        <v>-5.9624929023923696E-2</v>
      </c>
      <c r="I3231" s="100">
        <v>-4.4863733821224619E-2</v>
      </c>
    </row>
    <row r="3232" spans="1:9">
      <c r="A3232" s="90">
        <v>3216</v>
      </c>
      <c r="B3232" s="110">
        <v>1.1168926151111618</v>
      </c>
      <c r="C3232" s="110">
        <v>1.0473633213937894</v>
      </c>
      <c r="G3232" s="90">
        <v>3216</v>
      </c>
      <c r="H3232" s="100">
        <v>-6.4274495059951225E-2</v>
      </c>
      <c r="I3232" s="100">
        <v>-4.486327652041458E-2</v>
      </c>
    </row>
    <row r="3233" spans="1:9">
      <c r="A3233" s="90">
        <v>3217</v>
      </c>
      <c r="B3233" s="110">
        <v>1.0791729337603611</v>
      </c>
      <c r="C3233" s="110">
        <v>1.0399247694790628</v>
      </c>
      <c r="G3233" s="90">
        <v>3217</v>
      </c>
      <c r="H3233" s="100">
        <v>-3.7046572188723481E-2</v>
      </c>
      <c r="I3233" s="100">
        <v>-4.4856206580578852E-2</v>
      </c>
    </row>
    <row r="3234" spans="1:9">
      <c r="A3234" s="90">
        <v>3218</v>
      </c>
      <c r="B3234" s="110">
        <v>1.1273197862500646</v>
      </c>
      <c r="C3234" s="110">
        <v>1.0509208798198695</v>
      </c>
      <c r="G3234" s="90">
        <v>3218</v>
      </c>
      <c r="H3234" s="100">
        <v>-7.0176136603662287E-2</v>
      </c>
      <c r="I3234" s="100">
        <v>-4.4843740864298959E-2</v>
      </c>
    </row>
    <row r="3235" spans="1:9">
      <c r="A3235" s="90">
        <v>3219</v>
      </c>
      <c r="B3235" s="110">
        <v>1.101280056058515</v>
      </c>
      <c r="C3235" s="110">
        <v>1.0679970345626573</v>
      </c>
      <c r="G3235" s="90">
        <v>3219</v>
      </c>
      <c r="H3235" s="100">
        <v>-3.0688226663546585E-2</v>
      </c>
      <c r="I3235" s="100">
        <v>-4.484248748429568E-2</v>
      </c>
    </row>
    <row r="3236" spans="1:9">
      <c r="A3236" s="90">
        <v>3220</v>
      </c>
      <c r="B3236" s="110">
        <v>1.0814292232865306</v>
      </c>
      <c r="C3236" s="110">
        <v>1.0285167397437611</v>
      </c>
      <c r="G3236" s="90">
        <v>3220</v>
      </c>
      <c r="H3236" s="100">
        <v>-5.0165815309153053E-2</v>
      </c>
      <c r="I3236" s="100">
        <v>-4.4822662599556119E-2</v>
      </c>
    </row>
    <row r="3237" spans="1:9">
      <c r="A3237" s="90">
        <v>3221</v>
      </c>
      <c r="B3237" s="110">
        <v>1.0988818147837216</v>
      </c>
      <c r="C3237" s="110">
        <v>1.0579221259308931</v>
      </c>
      <c r="G3237" s="90">
        <v>3221</v>
      </c>
      <c r="H3237" s="100">
        <v>-3.7986405023574629E-2</v>
      </c>
      <c r="I3237" s="100">
        <v>-4.4820173383229377E-2</v>
      </c>
    </row>
    <row r="3238" spans="1:9">
      <c r="A3238" s="90">
        <v>3222</v>
      </c>
      <c r="B3238" s="110">
        <v>1.1202501384918822</v>
      </c>
      <c r="C3238" s="110">
        <v>1.0567965518880893</v>
      </c>
      <c r="G3238" s="90">
        <v>3222</v>
      </c>
      <c r="H3238" s="100">
        <v>-5.8309786875007069E-2</v>
      </c>
      <c r="I3238" s="100">
        <v>-4.4819946800857907E-2</v>
      </c>
    </row>
    <row r="3239" spans="1:9">
      <c r="A3239" s="90">
        <v>3223</v>
      </c>
      <c r="B3239" s="110">
        <v>1.0965012286058711</v>
      </c>
      <c r="C3239" s="110">
        <v>1.0502012510656882</v>
      </c>
      <c r="G3239" s="90">
        <v>3223</v>
      </c>
      <c r="H3239" s="100">
        <v>-4.3142595869632296E-2</v>
      </c>
      <c r="I3239" s="100">
        <v>-4.4796195552415784E-2</v>
      </c>
    </row>
    <row r="3240" spans="1:9">
      <c r="A3240" s="90">
        <v>3224</v>
      </c>
      <c r="B3240" s="110">
        <v>1.1313090283355205</v>
      </c>
      <c r="C3240" s="110">
        <v>1.0485186589252202</v>
      </c>
      <c r="G3240" s="90">
        <v>3224</v>
      </c>
      <c r="H3240" s="100">
        <v>-7.5997027385713678E-2</v>
      </c>
      <c r="I3240" s="100">
        <v>-4.4781895643555288E-2</v>
      </c>
    </row>
    <row r="3241" spans="1:9">
      <c r="A3241" s="90">
        <v>3225</v>
      </c>
      <c r="B3241" s="110">
        <v>1.1124024137150497</v>
      </c>
      <c r="C3241" s="110">
        <v>1.0617454669349535</v>
      </c>
      <c r="G3241" s="90">
        <v>3225</v>
      </c>
      <c r="H3241" s="100">
        <v>-4.660779242761031E-2</v>
      </c>
      <c r="I3241" s="100">
        <v>-4.476360462161999E-2</v>
      </c>
    </row>
    <row r="3242" spans="1:9">
      <c r="A3242" s="90">
        <v>3226</v>
      </c>
      <c r="B3242" s="110">
        <v>1.1391257042539529</v>
      </c>
      <c r="C3242" s="110">
        <v>1.0641710073243684</v>
      </c>
      <c r="G3242" s="90">
        <v>3226</v>
      </c>
      <c r="H3242" s="100">
        <v>-6.8064942900406891E-2</v>
      </c>
      <c r="I3242" s="100">
        <v>-4.4763169194213269E-2</v>
      </c>
    </row>
    <row r="3243" spans="1:9">
      <c r="A3243" s="90">
        <v>3227</v>
      </c>
      <c r="B3243" s="110">
        <v>1.1137384091166449</v>
      </c>
      <c r="C3243" s="110">
        <v>1.0736549079486573</v>
      </c>
      <c r="G3243" s="90">
        <v>3227</v>
      </c>
      <c r="H3243" s="100">
        <v>-3.6653662975658481E-2</v>
      </c>
      <c r="I3243" s="100">
        <v>-4.4762816416236362E-2</v>
      </c>
    </row>
    <row r="3244" spans="1:9">
      <c r="A3244" s="90">
        <v>3228</v>
      </c>
      <c r="B3244" s="110">
        <v>1.1216621031773266</v>
      </c>
      <c r="C3244" s="110">
        <v>1.0623168662245885</v>
      </c>
      <c r="G3244" s="90">
        <v>3228</v>
      </c>
      <c r="H3244" s="100">
        <v>-5.4359360170402972E-2</v>
      </c>
      <c r="I3244" s="100">
        <v>-4.4758312399111516E-2</v>
      </c>
    </row>
    <row r="3245" spans="1:9">
      <c r="A3245" s="90">
        <v>3229</v>
      </c>
      <c r="B3245" s="110">
        <v>1.0868209320313735</v>
      </c>
      <c r="C3245" s="110">
        <v>1.0738851882183746</v>
      </c>
      <c r="G3245" s="90">
        <v>3229</v>
      </c>
      <c r="H3245" s="100">
        <v>-1.1973769354784848E-2</v>
      </c>
      <c r="I3245" s="100">
        <v>-4.4755194610311494E-2</v>
      </c>
    </row>
    <row r="3246" spans="1:9">
      <c r="A3246" s="90">
        <v>3230</v>
      </c>
      <c r="B3246" s="110">
        <v>1.1278564986819939</v>
      </c>
      <c r="C3246" s="110">
        <v>1.0416047116189453</v>
      </c>
      <c r="G3246" s="90">
        <v>3230</v>
      </c>
      <c r="H3246" s="100">
        <v>-7.9556411596910306E-2</v>
      </c>
      <c r="I3246" s="100">
        <v>-4.4717381768930024E-2</v>
      </c>
    </row>
    <row r="3247" spans="1:9">
      <c r="A3247" s="90">
        <v>3231</v>
      </c>
      <c r="B3247" s="110">
        <v>1.1214518830274871</v>
      </c>
      <c r="C3247" s="110">
        <v>1.0499149780405113</v>
      </c>
      <c r="G3247" s="90">
        <v>3231</v>
      </c>
      <c r="H3247" s="100">
        <v>-6.5914982339827705E-2</v>
      </c>
      <c r="I3247" s="100">
        <v>-4.4713340296400457E-2</v>
      </c>
    </row>
    <row r="3248" spans="1:9">
      <c r="A3248" s="90">
        <v>3232</v>
      </c>
      <c r="B3248" s="110">
        <v>1.1131288041481697</v>
      </c>
      <c r="C3248" s="110">
        <v>1.0525879809425345</v>
      </c>
      <c r="G3248" s="90">
        <v>3232</v>
      </c>
      <c r="H3248" s="100">
        <v>-5.5922917169807546E-2</v>
      </c>
      <c r="I3248" s="100">
        <v>-4.4710464838456601E-2</v>
      </c>
    </row>
    <row r="3249" spans="1:9">
      <c r="A3249" s="90">
        <v>3233</v>
      </c>
      <c r="B3249" s="110">
        <v>1.1165940968797192</v>
      </c>
      <c r="C3249" s="110">
        <v>1.0366050726095406</v>
      </c>
      <c r="G3249" s="90">
        <v>3233</v>
      </c>
      <c r="H3249" s="100">
        <v>-7.4332046919480338E-2</v>
      </c>
      <c r="I3249" s="100">
        <v>-4.4698443718791121E-2</v>
      </c>
    </row>
    <row r="3250" spans="1:9">
      <c r="A3250" s="90">
        <v>3234</v>
      </c>
      <c r="B3250" s="110">
        <v>1.1257256891702383</v>
      </c>
      <c r="C3250" s="110">
        <v>1.043643366902415</v>
      </c>
      <c r="G3250" s="90">
        <v>3234</v>
      </c>
      <c r="H3250" s="100">
        <v>-7.5710056219628799E-2</v>
      </c>
      <c r="I3250" s="100">
        <v>-4.4677664020375936E-2</v>
      </c>
    </row>
    <row r="3251" spans="1:9">
      <c r="A3251" s="90">
        <v>3235</v>
      </c>
      <c r="B3251" s="110">
        <v>1.1172173936140393</v>
      </c>
      <c r="C3251" s="110">
        <v>1.0639039449901575</v>
      </c>
      <c r="G3251" s="90">
        <v>3235</v>
      </c>
      <c r="H3251" s="100">
        <v>-4.8896014323236703E-2</v>
      </c>
      <c r="I3251" s="100">
        <v>-4.466207231930374E-2</v>
      </c>
    </row>
    <row r="3252" spans="1:9">
      <c r="A3252" s="90">
        <v>3236</v>
      </c>
      <c r="B3252" s="110">
        <v>1.0908793123325757</v>
      </c>
      <c r="C3252" s="110">
        <v>1.0443449661313988</v>
      </c>
      <c r="G3252" s="90">
        <v>3236</v>
      </c>
      <c r="H3252" s="100">
        <v>-4.3594217378301083E-2</v>
      </c>
      <c r="I3252" s="100">
        <v>-4.4651969411413091E-2</v>
      </c>
    </row>
    <row r="3253" spans="1:9">
      <c r="A3253" s="90">
        <v>3237</v>
      </c>
      <c r="B3253" s="110">
        <v>1.0997102561241248</v>
      </c>
      <c r="C3253" s="110">
        <v>1.0396975194086688</v>
      </c>
      <c r="G3253" s="90">
        <v>3237</v>
      </c>
      <c r="H3253" s="100">
        <v>-5.6116917457264152E-2</v>
      </c>
      <c r="I3253" s="100">
        <v>-4.4651846771270896E-2</v>
      </c>
    </row>
    <row r="3254" spans="1:9">
      <c r="A3254" s="90">
        <v>3238</v>
      </c>
      <c r="B3254" s="110">
        <v>1.0902577111595546</v>
      </c>
      <c r="C3254" s="110">
        <v>1.0674044654024344</v>
      </c>
      <c r="G3254" s="90">
        <v>3238</v>
      </c>
      <c r="H3254" s="100">
        <v>-2.1184132204198305E-2</v>
      </c>
      <c r="I3254" s="100">
        <v>-4.4637282965690681E-2</v>
      </c>
    </row>
    <row r="3255" spans="1:9">
      <c r="A3255" s="90">
        <v>3239</v>
      </c>
      <c r="B3255" s="110">
        <v>1.1064570485290632</v>
      </c>
      <c r="C3255" s="110">
        <v>1.0588641245280377</v>
      </c>
      <c r="G3255" s="90">
        <v>3239</v>
      </c>
      <c r="H3255" s="100">
        <v>-4.3966309402400247E-2</v>
      </c>
      <c r="I3255" s="100">
        <v>-4.4623864341614472E-2</v>
      </c>
    </row>
    <row r="3256" spans="1:9">
      <c r="A3256" s="90">
        <v>3240</v>
      </c>
      <c r="B3256" s="110">
        <v>1.096900124344707</v>
      </c>
      <c r="C3256" s="110">
        <v>1.0590416031300844</v>
      </c>
      <c r="G3256" s="90">
        <v>3240</v>
      </c>
      <c r="H3256" s="100">
        <v>-3.5123781650104609E-2</v>
      </c>
      <c r="I3256" s="100">
        <v>-4.459431229520066E-2</v>
      </c>
    </row>
    <row r="3257" spans="1:9">
      <c r="A3257" s="90">
        <v>3241</v>
      </c>
      <c r="B3257" s="110">
        <v>1.1174062781240894</v>
      </c>
      <c r="C3257" s="110">
        <v>1.0603278821793636</v>
      </c>
      <c r="G3257" s="90">
        <v>3241</v>
      </c>
      <c r="H3257" s="100">
        <v>-5.2431993433777753E-2</v>
      </c>
      <c r="I3257" s="100">
        <v>-4.4578406920560594E-2</v>
      </c>
    </row>
    <row r="3258" spans="1:9">
      <c r="A3258" s="90">
        <v>3242</v>
      </c>
      <c r="B3258" s="110">
        <v>1.10621324864054</v>
      </c>
      <c r="C3258" s="110">
        <v>1.056246902075697</v>
      </c>
      <c r="G3258" s="90">
        <v>3242</v>
      </c>
      <c r="H3258" s="100">
        <v>-4.6220728481420524E-2</v>
      </c>
      <c r="I3258" s="100">
        <v>-4.4577333532963788E-2</v>
      </c>
    </row>
    <row r="3259" spans="1:9">
      <c r="A3259" s="90">
        <v>3243</v>
      </c>
      <c r="B3259" s="110">
        <v>1.0787640961107194</v>
      </c>
      <c r="C3259" s="110">
        <v>1.054041927733995</v>
      </c>
      <c r="G3259" s="90">
        <v>3243</v>
      </c>
      <c r="H3259" s="100">
        <v>-2.3183801446676928E-2</v>
      </c>
      <c r="I3259" s="100">
        <v>-4.4576741905984388E-2</v>
      </c>
    </row>
    <row r="3260" spans="1:9">
      <c r="A3260" s="90">
        <v>3244</v>
      </c>
      <c r="B3260" s="110">
        <v>1.1088694965083086</v>
      </c>
      <c r="C3260" s="110">
        <v>1.0511578754286532</v>
      </c>
      <c r="G3260" s="90">
        <v>3244</v>
      </c>
      <c r="H3260" s="100">
        <v>-5.3448729612047628E-2</v>
      </c>
      <c r="I3260" s="100">
        <v>-4.4567353347064187E-2</v>
      </c>
    </row>
    <row r="3261" spans="1:9">
      <c r="A3261" s="90">
        <v>3245</v>
      </c>
      <c r="B3261" s="110">
        <v>1.105742618443549</v>
      </c>
      <c r="C3261" s="110">
        <v>1.0403388470107624</v>
      </c>
      <c r="G3261" s="90">
        <v>3245</v>
      </c>
      <c r="H3261" s="100">
        <v>-6.0970687612679694E-2</v>
      </c>
      <c r="I3261" s="100">
        <v>-4.4562738841206283E-2</v>
      </c>
    </row>
    <row r="3262" spans="1:9">
      <c r="A3262" s="90">
        <v>3246</v>
      </c>
      <c r="B3262" s="110">
        <v>1.1621366601602969</v>
      </c>
      <c r="C3262" s="110">
        <v>1.0479293311094218</v>
      </c>
      <c r="G3262" s="90">
        <v>3246</v>
      </c>
      <c r="H3262" s="100">
        <v>-0.10344410774787108</v>
      </c>
      <c r="I3262" s="100">
        <v>-4.4562135438227665E-2</v>
      </c>
    </row>
    <row r="3263" spans="1:9">
      <c r="A3263" s="90">
        <v>3247</v>
      </c>
      <c r="B3263" s="110">
        <v>1.1149970415078208</v>
      </c>
      <c r="C3263" s="110">
        <v>1.0469862967148083</v>
      </c>
      <c r="G3263" s="90">
        <v>3247</v>
      </c>
      <c r="H3263" s="100">
        <v>-6.2935907892092594E-2</v>
      </c>
      <c r="I3263" s="100">
        <v>-4.454526099718991E-2</v>
      </c>
    </row>
    <row r="3264" spans="1:9">
      <c r="A3264" s="90">
        <v>3248</v>
      </c>
      <c r="B3264" s="110">
        <v>1.0971702740061027</v>
      </c>
      <c r="C3264" s="110">
        <v>1.0627569832850621</v>
      </c>
      <c r="G3264" s="90">
        <v>3248</v>
      </c>
      <c r="H3264" s="100">
        <v>-3.1867927927864428E-2</v>
      </c>
      <c r="I3264" s="100">
        <v>-4.4542170739463996E-2</v>
      </c>
    </row>
    <row r="3265" spans="1:9">
      <c r="A3265" s="90">
        <v>3249</v>
      </c>
      <c r="B3265" s="110">
        <v>1.1319574908033387</v>
      </c>
      <c r="C3265" s="110">
        <v>1.0766038714524928</v>
      </c>
      <c r="G3265" s="90">
        <v>3249</v>
      </c>
      <c r="H3265" s="100">
        <v>-5.0136903644789878E-2</v>
      </c>
      <c r="I3265" s="100">
        <v>-4.4534584873519197E-2</v>
      </c>
    </row>
    <row r="3266" spans="1:9">
      <c r="A3266" s="90">
        <v>3250</v>
      </c>
      <c r="B3266" s="110">
        <v>1.1076498984307759</v>
      </c>
      <c r="C3266" s="110">
        <v>1.0478397757680098</v>
      </c>
      <c r="G3266" s="90">
        <v>3250</v>
      </c>
      <c r="H3266" s="100">
        <v>-5.5509873755512543E-2</v>
      </c>
      <c r="I3266" s="100">
        <v>-4.4531149032655669E-2</v>
      </c>
    </row>
    <row r="3267" spans="1:9">
      <c r="A3267" s="90">
        <v>3251</v>
      </c>
      <c r="B3267" s="110">
        <v>1.108953956523054</v>
      </c>
      <c r="C3267" s="110">
        <v>1.0542014327781655</v>
      </c>
      <c r="G3267" s="90">
        <v>3251</v>
      </c>
      <c r="H3267" s="100">
        <v>-5.0633644940633375E-2</v>
      </c>
      <c r="I3267" s="100">
        <v>-4.4522724039880501E-2</v>
      </c>
    </row>
    <row r="3268" spans="1:9">
      <c r="A3268" s="90">
        <v>3252</v>
      </c>
      <c r="B3268" s="110">
        <v>1.1386773649093942</v>
      </c>
      <c r="C3268" s="110">
        <v>1.0659262343694893</v>
      </c>
      <c r="G3268" s="90">
        <v>3252</v>
      </c>
      <c r="H3268" s="100">
        <v>-6.602325780466789E-2</v>
      </c>
      <c r="I3268" s="100">
        <v>-4.450821345903417E-2</v>
      </c>
    </row>
    <row r="3269" spans="1:9">
      <c r="A3269" s="90">
        <v>3253</v>
      </c>
      <c r="B3269" s="110">
        <v>1.115312169233508</v>
      </c>
      <c r="C3269" s="110">
        <v>1.0764972452561872</v>
      </c>
      <c r="G3269" s="90">
        <v>3253</v>
      </c>
      <c r="H3269" s="100">
        <v>-3.5421859296560464E-2</v>
      </c>
      <c r="I3269" s="100">
        <v>-4.4495342281740409E-2</v>
      </c>
    </row>
    <row r="3270" spans="1:9">
      <c r="A3270" s="90">
        <v>3254</v>
      </c>
      <c r="B3270" s="110">
        <v>1.098348053952755</v>
      </c>
      <c r="C3270" s="110">
        <v>1.0658464797873988</v>
      </c>
      <c r="G3270" s="90">
        <v>3254</v>
      </c>
      <c r="H3270" s="100">
        <v>-3.0037981721294033E-2</v>
      </c>
      <c r="I3270" s="100">
        <v>-4.4479922817721389E-2</v>
      </c>
    </row>
    <row r="3271" spans="1:9">
      <c r="A3271" s="90">
        <v>3255</v>
      </c>
      <c r="B3271" s="110">
        <v>1.0920488974102671</v>
      </c>
      <c r="C3271" s="110">
        <v>1.0706732271340131</v>
      </c>
      <c r="G3271" s="90">
        <v>3255</v>
      </c>
      <c r="H3271" s="100">
        <v>-1.9768019310650829E-2</v>
      </c>
      <c r="I3271" s="100">
        <v>-4.447480351394064E-2</v>
      </c>
    </row>
    <row r="3272" spans="1:9">
      <c r="A3272" s="90">
        <v>3256</v>
      </c>
      <c r="B3272" s="110">
        <v>1.1269439698694323</v>
      </c>
      <c r="C3272" s="110">
        <v>1.0356761630028268</v>
      </c>
      <c r="G3272" s="90">
        <v>3256</v>
      </c>
      <c r="H3272" s="100">
        <v>-8.4455006646925512E-2</v>
      </c>
      <c r="I3272" s="100">
        <v>-4.4473798963261667E-2</v>
      </c>
    </row>
    <row r="3273" spans="1:9">
      <c r="A3273" s="90">
        <v>3257</v>
      </c>
      <c r="B3273" s="110">
        <v>1.129409613068284</v>
      </c>
      <c r="C3273" s="110">
        <v>1.0551347852474617</v>
      </c>
      <c r="G3273" s="90">
        <v>3257</v>
      </c>
      <c r="H3273" s="100">
        <v>-6.8026512583911111E-2</v>
      </c>
      <c r="I3273" s="100">
        <v>-4.4468218869248302E-2</v>
      </c>
    </row>
    <row r="3274" spans="1:9">
      <c r="A3274" s="90">
        <v>3258</v>
      </c>
      <c r="B3274" s="110">
        <v>1.1291959053557865</v>
      </c>
      <c r="C3274" s="110">
        <v>1.0472492583784447</v>
      </c>
      <c r="G3274" s="90">
        <v>3258</v>
      </c>
      <c r="H3274" s="100">
        <v>-7.5338818560683571E-2</v>
      </c>
      <c r="I3274" s="100">
        <v>-4.4466758651386308E-2</v>
      </c>
    </row>
    <row r="3275" spans="1:9">
      <c r="A3275" s="90">
        <v>3259</v>
      </c>
      <c r="B3275" s="110">
        <v>1.1304752502698017</v>
      </c>
      <c r="C3275" s="110">
        <v>1.0488616381612321</v>
      </c>
      <c r="G3275" s="90">
        <v>3259</v>
      </c>
      <c r="H3275" s="100">
        <v>-7.4932697850114527E-2</v>
      </c>
      <c r="I3275" s="100">
        <v>-4.4437950217408255E-2</v>
      </c>
    </row>
    <row r="3276" spans="1:9">
      <c r="A3276" s="90">
        <v>3260</v>
      </c>
      <c r="B3276" s="110">
        <v>1.152990023227165</v>
      </c>
      <c r="C3276" s="110">
        <v>1.0514368611730824</v>
      </c>
      <c r="G3276" s="90">
        <v>3260</v>
      </c>
      <c r="H3276" s="100">
        <v>-9.2200920445313736E-2</v>
      </c>
      <c r="I3276" s="100">
        <v>-4.4433262397235343E-2</v>
      </c>
    </row>
    <row r="3277" spans="1:9">
      <c r="A3277" s="90">
        <v>3261</v>
      </c>
      <c r="B3277" s="110">
        <v>1.1111585668200754</v>
      </c>
      <c r="C3277" s="110">
        <v>1.0559869516091629</v>
      </c>
      <c r="G3277" s="90">
        <v>3261</v>
      </c>
      <c r="H3277" s="100">
        <v>-5.092739610683069E-2</v>
      </c>
      <c r="I3277" s="100">
        <v>-4.4419796528521995E-2</v>
      </c>
    </row>
    <row r="3278" spans="1:9">
      <c r="A3278" s="90">
        <v>3262</v>
      </c>
      <c r="B3278" s="110">
        <v>1.1266357021473685</v>
      </c>
      <c r="C3278" s="110">
        <v>1.0592391820922222</v>
      </c>
      <c r="G3278" s="90">
        <v>3262</v>
      </c>
      <c r="H3278" s="100">
        <v>-6.1685039475024746E-2</v>
      </c>
      <c r="I3278" s="100">
        <v>-4.4415009588162108E-2</v>
      </c>
    </row>
    <row r="3279" spans="1:9">
      <c r="A3279" s="90">
        <v>3263</v>
      </c>
      <c r="B3279" s="110">
        <v>1.1150265890344273</v>
      </c>
      <c r="C3279" s="110">
        <v>1.0537718534151173</v>
      </c>
      <c r="G3279" s="90">
        <v>3263</v>
      </c>
      <c r="H3279" s="100">
        <v>-5.650228246703598E-2</v>
      </c>
      <c r="I3279" s="100">
        <v>-4.4413699800459755E-2</v>
      </c>
    </row>
    <row r="3280" spans="1:9">
      <c r="A3280" s="90">
        <v>3264</v>
      </c>
      <c r="B3280" s="110">
        <v>1.1109174162654063</v>
      </c>
      <c r="C3280" s="110">
        <v>1.032962306007323</v>
      </c>
      <c r="G3280" s="90">
        <v>3264</v>
      </c>
      <c r="H3280" s="100">
        <v>-7.2755475456870389E-2</v>
      </c>
      <c r="I3280" s="100">
        <v>-4.4409059088651295E-2</v>
      </c>
    </row>
    <row r="3281" spans="1:9">
      <c r="A3281" s="90">
        <v>3265</v>
      </c>
      <c r="B3281" s="110">
        <v>1.1156460049444308</v>
      </c>
      <c r="C3281" s="110">
        <v>1.0724456622640566</v>
      </c>
      <c r="G3281" s="90">
        <v>3265</v>
      </c>
      <c r="H3281" s="100">
        <v>-3.9491907789132752E-2</v>
      </c>
      <c r="I3281" s="100">
        <v>-4.436934734908702E-2</v>
      </c>
    </row>
    <row r="3282" spans="1:9">
      <c r="A3282" s="90">
        <v>3266</v>
      </c>
      <c r="B3282" s="110">
        <v>1.1169281819995098</v>
      </c>
      <c r="C3282" s="110">
        <v>1.0601191269157419</v>
      </c>
      <c r="G3282" s="90">
        <v>3266</v>
      </c>
      <c r="H3282" s="100">
        <v>-5.2200936893230222E-2</v>
      </c>
      <c r="I3282" s="100">
        <v>-4.4359592288752296E-2</v>
      </c>
    </row>
    <row r="3283" spans="1:9">
      <c r="A3283" s="90">
        <v>3267</v>
      </c>
      <c r="B3283" s="110">
        <v>1.1186279543805173</v>
      </c>
      <c r="C3283" s="110">
        <v>1.0462892360699485</v>
      </c>
      <c r="G3283" s="90">
        <v>3267</v>
      </c>
      <c r="H3283" s="100">
        <v>-6.6853049861142863E-2</v>
      </c>
      <c r="I3283" s="100">
        <v>-4.4353349835866314E-2</v>
      </c>
    </row>
    <row r="3284" spans="1:9">
      <c r="A3284" s="90">
        <v>3268</v>
      </c>
      <c r="B3284" s="110">
        <v>1.0884408305386626</v>
      </c>
      <c r="C3284" s="110">
        <v>1.0584808730017545</v>
      </c>
      <c r="G3284" s="90">
        <v>3268</v>
      </c>
      <c r="H3284" s="100">
        <v>-2.7911499978994336E-2</v>
      </c>
      <c r="I3284" s="100">
        <v>-4.4348244309716574E-2</v>
      </c>
    </row>
    <row r="3285" spans="1:9">
      <c r="A3285" s="90">
        <v>3269</v>
      </c>
      <c r="B3285" s="110">
        <v>1.0992539583218974</v>
      </c>
      <c r="C3285" s="110">
        <v>1.0458623472277513</v>
      </c>
      <c r="G3285" s="90">
        <v>3269</v>
      </c>
      <c r="H3285" s="100">
        <v>-4.9789972227785889E-2</v>
      </c>
      <c r="I3285" s="100">
        <v>-4.4342669735526342E-2</v>
      </c>
    </row>
    <row r="3286" spans="1:9">
      <c r="A3286" s="90">
        <v>3270</v>
      </c>
      <c r="B3286" s="110">
        <v>1.0659261547092809</v>
      </c>
      <c r="C3286" s="110">
        <v>1.0637425453685756</v>
      </c>
      <c r="G3286" s="90">
        <v>3270</v>
      </c>
      <c r="H3286" s="100">
        <v>-2.0506570865542919E-3</v>
      </c>
      <c r="I3286" s="100">
        <v>-4.4342068514649675E-2</v>
      </c>
    </row>
    <row r="3287" spans="1:9">
      <c r="A3287" s="90">
        <v>3271</v>
      </c>
      <c r="B3287" s="110">
        <v>1.0927712604536899</v>
      </c>
      <c r="C3287" s="110">
        <v>1.034477808477354</v>
      </c>
      <c r="G3287" s="90">
        <v>3271</v>
      </c>
      <c r="H3287" s="100">
        <v>-5.4820143963703362E-2</v>
      </c>
      <c r="I3287" s="100">
        <v>-4.4330311966439412E-2</v>
      </c>
    </row>
    <row r="3288" spans="1:9">
      <c r="A3288" s="90">
        <v>3272</v>
      </c>
      <c r="B3288" s="110">
        <v>1.1257659368761366</v>
      </c>
      <c r="C3288" s="110">
        <v>1.0499945717297143</v>
      </c>
      <c r="G3288" s="90">
        <v>3272</v>
      </c>
      <c r="H3288" s="100">
        <v>-6.9678642398833576E-2</v>
      </c>
      <c r="I3288" s="100">
        <v>-4.4327581168545876E-2</v>
      </c>
    </row>
    <row r="3289" spans="1:9">
      <c r="A3289" s="90">
        <v>3273</v>
      </c>
      <c r="B3289" s="110">
        <v>1.0664624395220101</v>
      </c>
      <c r="C3289" s="110">
        <v>1.0285159934114867</v>
      </c>
      <c r="G3289" s="90">
        <v>3273</v>
      </c>
      <c r="H3289" s="100">
        <v>-3.6230059638180663E-2</v>
      </c>
      <c r="I3289" s="100">
        <v>-4.4322202309612008E-2</v>
      </c>
    </row>
    <row r="3290" spans="1:9">
      <c r="A3290" s="90">
        <v>3274</v>
      </c>
      <c r="B3290" s="110">
        <v>1.1213185998727782</v>
      </c>
      <c r="C3290" s="110">
        <v>1.039579778907934</v>
      </c>
      <c r="G3290" s="90">
        <v>3274</v>
      </c>
      <c r="H3290" s="100">
        <v>-7.568874136554006E-2</v>
      </c>
      <c r="I3290" s="100">
        <v>-4.4316804135886803E-2</v>
      </c>
    </row>
    <row r="3291" spans="1:9">
      <c r="A3291" s="90">
        <v>3275</v>
      </c>
      <c r="B3291" s="110">
        <v>1.1358017058260974</v>
      </c>
      <c r="C3291" s="110">
        <v>1.0540475644388545</v>
      </c>
      <c r="G3291" s="90">
        <v>3275</v>
      </c>
      <c r="H3291" s="100">
        <v>-7.470117367991283E-2</v>
      </c>
      <c r="I3291" s="100">
        <v>-4.4308379188158276E-2</v>
      </c>
    </row>
    <row r="3292" spans="1:9">
      <c r="A3292" s="90">
        <v>3276</v>
      </c>
      <c r="B3292" s="110">
        <v>1.1137488192598302</v>
      </c>
      <c r="C3292" s="110">
        <v>1.0523728659880487</v>
      </c>
      <c r="G3292" s="90">
        <v>3276</v>
      </c>
      <c r="H3292" s="100">
        <v>-5.668415278601574E-2</v>
      </c>
      <c r="I3292" s="100">
        <v>-4.4306097029661665E-2</v>
      </c>
    </row>
    <row r="3293" spans="1:9">
      <c r="A3293" s="90">
        <v>3277</v>
      </c>
      <c r="B3293" s="110">
        <v>1.1122027361470321</v>
      </c>
      <c r="C3293" s="110">
        <v>1.0324313416189681</v>
      </c>
      <c r="G3293" s="90">
        <v>3277</v>
      </c>
      <c r="H3293" s="100">
        <v>-7.4425949469036301E-2</v>
      </c>
      <c r="I3293" s="100">
        <v>-4.4292484243275247E-2</v>
      </c>
    </row>
    <row r="3294" spans="1:9">
      <c r="A3294" s="90">
        <v>3278</v>
      </c>
      <c r="B3294" s="110">
        <v>1.0994214498403392</v>
      </c>
      <c r="C3294" s="110">
        <v>1.0511182711941036</v>
      </c>
      <c r="G3294" s="90">
        <v>3278</v>
      </c>
      <c r="H3294" s="100">
        <v>-4.4929469128391741E-2</v>
      </c>
      <c r="I3294" s="100">
        <v>-4.4284193144899883E-2</v>
      </c>
    </row>
    <row r="3295" spans="1:9">
      <c r="A3295" s="90">
        <v>3279</v>
      </c>
      <c r="B3295" s="110">
        <v>1.1131880461721335</v>
      </c>
      <c r="C3295" s="110">
        <v>1.0632390327376846</v>
      </c>
      <c r="G3295" s="90">
        <v>3279</v>
      </c>
      <c r="H3295" s="100">
        <v>-4.5908072104548038E-2</v>
      </c>
      <c r="I3295" s="100">
        <v>-4.4278581938023177E-2</v>
      </c>
    </row>
    <row r="3296" spans="1:9">
      <c r="A3296" s="90">
        <v>3280</v>
      </c>
      <c r="B3296" s="110">
        <v>1.1003158818348788</v>
      </c>
      <c r="C3296" s="110">
        <v>1.0522653690702761</v>
      </c>
      <c r="G3296" s="90">
        <v>3280</v>
      </c>
      <c r="H3296" s="100">
        <v>-4.4651969411413091E-2</v>
      </c>
      <c r="I3296" s="100">
        <v>-4.4277513936727103E-2</v>
      </c>
    </row>
    <row r="3297" spans="1:9">
      <c r="A3297" s="90">
        <v>3281</v>
      </c>
      <c r="B3297" s="110">
        <v>1.154443770866207</v>
      </c>
      <c r="C3297" s="110">
        <v>1.0598471655092143</v>
      </c>
      <c r="G3297" s="90">
        <v>3281</v>
      </c>
      <c r="H3297" s="100">
        <v>-8.5493930062813084E-2</v>
      </c>
      <c r="I3297" s="100">
        <v>-4.4266458259950646E-2</v>
      </c>
    </row>
    <row r="3298" spans="1:9">
      <c r="A3298" s="90">
        <v>3282</v>
      </c>
      <c r="B3298" s="110">
        <v>1.1282203879280026</v>
      </c>
      <c r="C3298" s="110">
        <v>1.0622811380111266</v>
      </c>
      <c r="G3298" s="90">
        <v>3282</v>
      </c>
      <c r="H3298" s="100">
        <v>-6.0222900516790988E-2</v>
      </c>
      <c r="I3298" s="100">
        <v>-4.4264954507360683E-2</v>
      </c>
    </row>
    <row r="3299" spans="1:9">
      <c r="A3299" s="90">
        <v>3283</v>
      </c>
      <c r="B3299" s="110">
        <v>1.1217923265018799</v>
      </c>
      <c r="C3299" s="110">
        <v>1.0533112859605267</v>
      </c>
      <c r="G3299" s="90">
        <v>3283</v>
      </c>
      <c r="H3299" s="100">
        <v>-6.2988890062986608E-2</v>
      </c>
      <c r="I3299" s="100">
        <v>-4.4259347251668822E-2</v>
      </c>
    </row>
    <row r="3300" spans="1:9">
      <c r="A3300" s="90">
        <v>3284</v>
      </c>
      <c r="B3300" s="110">
        <v>1.1054468203281482</v>
      </c>
      <c r="C3300" s="110">
        <v>1.0404469723260605</v>
      </c>
      <c r="G3300" s="90">
        <v>3284</v>
      </c>
      <c r="H3300" s="100">
        <v>-6.0599213618639777E-2</v>
      </c>
      <c r="I3300" s="100">
        <v>-4.4244828630266991E-2</v>
      </c>
    </row>
    <row r="3301" spans="1:9">
      <c r="A3301" s="90">
        <v>3285</v>
      </c>
      <c r="B3301" s="110">
        <v>1.122726743168406</v>
      </c>
      <c r="C3301" s="110">
        <v>1.0665659641692185</v>
      </c>
      <c r="G3301" s="90">
        <v>3285</v>
      </c>
      <c r="H3301" s="100">
        <v>-5.1316210514197401E-2</v>
      </c>
      <c r="I3301" s="100">
        <v>-4.4195387554291574E-2</v>
      </c>
    </row>
    <row r="3302" spans="1:9">
      <c r="A3302" s="90">
        <v>3286</v>
      </c>
      <c r="B3302" s="110">
        <v>1.1073604248004156</v>
      </c>
      <c r="C3302" s="110">
        <v>1.0332104529138142</v>
      </c>
      <c r="G3302" s="90">
        <v>3286</v>
      </c>
      <c r="H3302" s="100">
        <v>-6.9308288509961874E-2</v>
      </c>
      <c r="I3302" s="100">
        <v>-4.4171965049268222E-2</v>
      </c>
    </row>
    <row r="3303" spans="1:9">
      <c r="A3303" s="90">
        <v>3287</v>
      </c>
      <c r="B3303" s="110">
        <v>1.1091858121286937</v>
      </c>
      <c r="C3303" s="110">
        <v>1.0358425504843669</v>
      </c>
      <c r="G3303" s="90">
        <v>3287</v>
      </c>
      <c r="H3303" s="100">
        <v>-6.8411089602361141E-2</v>
      </c>
      <c r="I3303" s="100">
        <v>-4.4168599788643605E-2</v>
      </c>
    </row>
    <row r="3304" spans="1:9">
      <c r="A3304" s="90">
        <v>3288</v>
      </c>
      <c r="B3304" s="110">
        <v>1.1167080160981753</v>
      </c>
      <c r="C3304" s="110">
        <v>1.0451856970431295</v>
      </c>
      <c r="G3304" s="90">
        <v>3288</v>
      </c>
      <c r="H3304" s="100">
        <v>-6.6190515675297434E-2</v>
      </c>
      <c r="I3304" s="100">
        <v>-4.4151668017624601E-2</v>
      </c>
    </row>
    <row r="3305" spans="1:9">
      <c r="A3305" s="90">
        <v>3289</v>
      </c>
      <c r="B3305" s="110">
        <v>1.1227697752763968</v>
      </c>
      <c r="C3305" s="110">
        <v>1.0604817042610137</v>
      </c>
      <c r="G3305" s="90">
        <v>3289</v>
      </c>
      <c r="H3305" s="100">
        <v>-5.707540320016629E-2</v>
      </c>
      <c r="I3305" s="100">
        <v>-4.4120575542850871E-2</v>
      </c>
    </row>
    <row r="3306" spans="1:9">
      <c r="A3306" s="90">
        <v>3290</v>
      </c>
      <c r="B3306" s="110">
        <v>1.1365495122951745</v>
      </c>
      <c r="C3306" s="110">
        <v>1.0571446779900415</v>
      </c>
      <c r="G3306" s="90">
        <v>3290</v>
      </c>
      <c r="H3306" s="100">
        <v>-7.2425355377050915E-2</v>
      </c>
      <c r="I3306" s="100">
        <v>-4.4115534433237173E-2</v>
      </c>
    </row>
    <row r="3307" spans="1:9">
      <c r="A3307" s="90">
        <v>3291</v>
      </c>
      <c r="B3307" s="110">
        <v>1.1030511992450458</v>
      </c>
      <c r="C3307" s="110">
        <v>1.0511081306274479</v>
      </c>
      <c r="G3307" s="90">
        <v>3291</v>
      </c>
      <c r="H3307" s="100">
        <v>-4.8235187199015754E-2</v>
      </c>
      <c r="I3307" s="100">
        <v>-4.4114058875946938E-2</v>
      </c>
    </row>
    <row r="3308" spans="1:9">
      <c r="A3308" s="90">
        <v>3292</v>
      </c>
      <c r="B3308" s="110">
        <v>1.0943374503003218</v>
      </c>
      <c r="C3308" s="110">
        <v>1.0321459398526385</v>
      </c>
      <c r="G3308" s="90">
        <v>3292</v>
      </c>
      <c r="H3308" s="100">
        <v>-5.850904027477067E-2</v>
      </c>
      <c r="I3308" s="100">
        <v>-4.4109377234133586E-2</v>
      </c>
    </row>
    <row r="3309" spans="1:9">
      <c r="A3309" s="90">
        <v>3293</v>
      </c>
      <c r="B3309" s="110">
        <v>1.1562342987158201</v>
      </c>
      <c r="C3309" s="110">
        <v>1.080198610373023</v>
      </c>
      <c r="G3309" s="90">
        <v>3293</v>
      </c>
      <c r="H3309" s="100">
        <v>-6.8023507540862324E-2</v>
      </c>
      <c r="I3309" s="100">
        <v>-4.4108483313355526E-2</v>
      </c>
    </row>
    <row r="3310" spans="1:9">
      <c r="A3310" s="90">
        <v>3294</v>
      </c>
      <c r="B3310" s="110">
        <v>1.1015035164776235</v>
      </c>
      <c r="C3310" s="110">
        <v>1.0493195571948846</v>
      </c>
      <c r="G3310" s="90">
        <v>3294</v>
      </c>
      <c r="H3310" s="100">
        <v>-4.8534166366193801E-2</v>
      </c>
      <c r="I3310" s="100">
        <v>-4.4104978161407189E-2</v>
      </c>
    </row>
    <row r="3311" spans="1:9">
      <c r="A3311" s="90">
        <v>3295</v>
      </c>
      <c r="B3311" s="110">
        <v>1.118254894428975</v>
      </c>
      <c r="C3311" s="110">
        <v>1.0578283866398517</v>
      </c>
      <c r="G3311" s="90">
        <v>3295</v>
      </c>
      <c r="H3311" s="100">
        <v>-5.5551225350956364E-2</v>
      </c>
      <c r="I3311" s="100">
        <v>-4.4100868103421322E-2</v>
      </c>
    </row>
    <row r="3312" spans="1:9">
      <c r="A3312" s="90">
        <v>3296</v>
      </c>
      <c r="B3312" s="110">
        <v>1.109629913144752</v>
      </c>
      <c r="C3312" s="110">
        <v>1.0830372419159733</v>
      </c>
      <c r="G3312" s="90">
        <v>3296</v>
      </c>
      <c r="H3312" s="100">
        <v>-2.4257192987283214E-2</v>
      </c>
      <c r="I3312" s="100">
        <v>-4.4099261358684458E-2</v>
      </c>
    </row>
    <row r="3313" spans="1:9">
      <c r="A3313" s="90">
        <v>3297</v>
      </c>
      <c r="B3313" s="110">
        <v>1.1211520962347308</v>
      </c>
      <c r="C3313" s="110">
        <v>1.0479019205534719</v>
      </c>
      <c r="G3313" s="90">
        <v>3297</v>
      </c>
      <c r="H3313" s="100">
        <v>-6.7566819692854885E-2</v>
      </c>
      <c r="I3313" s="100">
        <v>-4.4098396369441503E-2</v>
      </c>
    </row>
    <row r="3314" spans="1:9">
      <c r="A3314" s="90">
        <v>3298</v>
      </c>
      <c r="B3314" s="110">
        <v>1.1104501012385513</v>
      </c>
      <c r="C3314" s="110">
        <v>1.0625451486215611</v>
      </c>
      <c r="G3314" s="90">
        <v>3298</v>
      </c>
      <c r="H3314" s="100">
        <v>-4.409831601008414E-2</v>
      </c>
      <c r="I3314" s="100">
        <v>-4.409831601008414E-2</v>
      </c>
    </row>
    <row r="3315" spans="1:9">
      <c r="A3315" s="90">
        <v>3299</v>
      </c>
      <c r="B3315" s="110">
        <v>1.0979301281509837</v>
      </c>
      <c r="C3315" s="110">
        <v>1.0749180461445669</v>
      </c>
      <c r="G3315" s="90">
        <v>3299</v>
      </c>
      <c r="H3315" s="100">
        <v>-2.1182282969828787E-2</v>
      </c>
      <c r="I3315" s="100">
        <v>-4.4077330260877408E-2</v>
      </c>
    </row>
    <row r="3316" spans="1:9">
      <c r="A3316" s="90">
        <v>3300</v>
      </c>
      <c r="B3316" s="110">
        <v>1.0990184116230493</v>
      </c>
      <c r="C3316" s="110">
        <v>1.0527793525672393</v>
      </c>
      <c r="G3316" s="90">
        <v>3300</v>
      </c>
      <c r="H3316" s="100">
        <v>-4.2983758876967364E-2</v>
      </c>
      <c r="I3316" s="100">
        <v>-4.4071848377531087E-2</v>
      </c>
    </row>
    <row r="3317" spans="1:9">
      <c r="A3317" s="90">
        <v>3301</v>
      </c>
      <c r="B3317" s="110">
        <v>1.1140258915572383</v>
      </c>
      <c r="C3317" s="110">
        <v>1.0620174622812781</v>
      </c>
      <c r="G3317" s="90">
        <v>3301</v>
      </c>
      <c r="H3317" s="100">
        <v>-4.7810017696760465E-2</v>
      </c>
      <c r="I3317" s="100">
        <v>-4.4065947623472525E-2</v>
      </c>
    </row>
    <row r="3318" spans="1:9">
      <c r="A3318" s="90">
        <v>3302</v>
      </c>
      <c r="B3318" s="110">
        <v>1.1001997891377693</v>
      </c>
      <c r="C3318" s="110">
        <v>1.0532279805252398</v>
      </c>
      <c r="G3318" s="90">
        <v>3302</v>
      </c>
      <c r="H3318" s="100">
        <v>-4.3632074361280131E-2</v>
      </c>
      <c r="I3318" s="100">
        <v>-4.4056356009440127E-2</v>
      </c>
    </row>
    <row r="3319" spans="1:9">
      <c r="A3319" s="90">
        <v>3303</v>
      </c>
      <c r="B3319" s="110">
        <v>1.1094931581687493</v>
      </c>
      <c r="C3319" s="110">
        <v>1.0469596544354065</v>
      </c>
      <c r="G3319" s="90">
        <v>3303</v>
      </c>
      <c r="H3319" s="100">
        <v>-5.8012900081536381E-2</v>
      </c>
      <c r="I3319" s="100">
        <v>-4.404851726347693E-2</v>
      </c>
    </row>
    <row r="3320" spans="1:9">
      <c r="A3320" s="90">
        <v>3304</v>
      </c>
      <c r="B3320" s="110">
        <v>1.1386376419414386</v>
      </c>
      <c r="C3320" s="110">
        <v>1.0588268035021473</v>
      </c>
      <c r="G3320" s="90">
        <v>3304</v>
      </c>
      <c r="H3320" s="100">
        <v>-7.2670990803427246E-2</v>
      </c>
      <c r="I3320" s="100">
        <v>-4.4040939724097491E-2</v>
      </c>
    </row>
    <row r="3321" spans="1:9">
      <c r="A3321" s="90">
        <v>3305</v>
      </c>
      <c r="B3321" s="110">
        <v>1.122577733628499</v>
      </c>
      <c r="C3321" s="110">
        <v>1.0743018697150875</v>
      </c>
      <c r="G3321" s="90">
        <v>3305</v>
      </c>
      <c r="H3321" s="100">
        <v>-4.3956561593142422E-2</v>
      </c>
      <c r="I3321" s="100">
        <v>-4.4036278634303053E-2</v>
      </c>
    </row>
    <row r="3322" spans="1:9">
      <c r="A3322" s="90">
        <v>3306</v>
      </c>
      <c r="B3322" s="110">
        <v>1.1124413832949553</v>
      </c>
      <c r="C3322" s="110">
        <v>1.0527768397860433</v>
      </c>
      <c r="G3322" s="90">
        <v>3306</v>
      </c>
      <c r="H3322" s="100">
        <v>-5.5125761833589519E-2</v>
      </c>
      <c r="I3322" s="100">
        <v>-4.4032339694332137E-2</v>
      </c>
    </row>
    <row r="3323" spans="1:9">
      <c r="A3323" s="90">
        <v>3307</v>
      </c>
      <c r="B3323" s="110">
        <v>1.0856562230598736</v>
      </c>
      <c r="C3323" s="110">
        <v>1.0641225157797478</v>
      </c>
      <c r="G3323" s="90">
        <v>3307</v>
      </c>
      <c r="H3323" s="100">
        <v>-2.0034087346138336E-2</v>
      </c>
      <c r="I3323" s="100">
        <v>-4.3996550778110266E-2</v>
      </c>
    </row>
    <row r="3324" spans="1:9">
      <c r="A3324" s="90">
        <v>3308</v>
      </c>
      <c r="B3324" s="110">
        <v>1.0972222913135405</v>
      </c>
      <c r="C3324" s="110">
        <v>1.0751762584035158</v>
      </c>
      <c r="G3324" s="90">
        <v>3308</v>
      </c>
      <c r="H3324" s="100">
        <v>-2.0297186975230509E-2</v>
      </c>
      <c r="I3324" s="100">
        <v>-4.3987391116430768E-2</v>
      </c>
    </row>
    <row r="3325" spans="1:9">
      <c r="A3325" s="90">
        <v>3309</v>
      </c>
      <c r="B3325" s="110">
        <v>1.1073500026588077</v>
      </c>
      <c r="C3325" s="110">
        <v>1.0443364522940481</v>
      </c>
      <c r="G3325" s="90">
        <v>3309</v>
      </c>
      <c r="H3325" s="100">
        <v>-5.8588066130585419E-2</v>
      </c>
      <c r="I3325" s="100">
        <v>-4.3983851873314078E-2</v>
      </c>
    </row>
    <row r="3326" spans="1:9">
      <c r="A3326" s="90">
        <v>3310</v>
      </c>
      <c r="B3326" s="110">
        <v>1.1146254910882045</v>
      </c>
      <c r="C3326" s="110">
        <v>1.0572323223453952</v>
      </c>
      <c r="G3326" s="90">
        <v>3310</v>
      </c>
      <c r="H3326" s="100">
        <v>-5.2863989239237789E-2</v>
      </c>
      <c r="I3326" s="100">
        <v>-4.3979365108846237E-2</v>
      </c>
    </row>
    <row r="3327" spans="1:9">
      <c r="A3327" s="90">
        <v>3311</v>
      </c>
      <c r="B3327" s="110">
        <v>1.1217422094000011</v>
      </c>
      <c r="C3327" s="110">
        <v>1.0577920147851028</v>
      </c>
      <c r="G3327" s="90">
        <v>3311</v>
      </c>
      <c r="H3327" s="100">
        <v>-5.8699290076466931E-2</v>
      </c>
      <c r="I3327" s="100">
        <v>-4.3973252957673237E-2</v>
      </c>
    </row>
    <row r="3328" spans="1:9">
      <c r="A3328" s="90">
        <v>3312</v>
      </c>
      <c r="B3328" s="110">
        <v>1.0998981763578746</v>
      </c>
      <c r="C3328" s="110">
        <v>1.0761363459034381</v>
      </c>
      <c r="G3328" s="90">
        <v>3312</v>
      </c>
      <c r="H3328" s="100">
        <v>-2.1840439336853607E-2</v>
      </c>
      <c r="I3328" s="100">
        <v>-4.3966309402400247E-2</v>
      </c>
    </row>
    <row r="3329" spans="1:9">
      <c r="A3329" s="90">
        <v>3313</v>
      </c>
      <c r="B3329" s="110">
        <v>1.0798926466661425</v>
      </c>
      <c r="C3329" s="110">
        <v>1.0580569918412839</v>
      </c>
      <c r="G3329" s="90">
        <v>3313</v>
      </c>
      <c r="H3329" s="100">
        <v>-2.0427435450297338E-2</v>
      </c>
      <c r="I3329" s="100">
        <v>-4.3966023545904009E-2</v>
      </c>
    </row>
    <row r="3330" spans="1:9">
      <c r="A3330" s="90">
        <v>3314</v>
      </c>
      <c r="B3330" s="110">
        <v>1.1126109206242567</v>
      </c>
      <c r="C3330" s="110">
        <v>1.052927510655651</v>
      </c>
      <c r="G3330" s="90">
        <v>3314</v>
      </c>
      <c r="H3330" s="100">
        <v>-5.5135044020722161E-2</v>
      </c>
      <c r="I3330" s="100">
        <v>-4.3956561593142422E-2</v>
      </c>
    </row>
    <row r="3331" spans="1:9">
      <c r="A3331" s="90">
        <v>3315</v>
      </c>
      <c r="B3331" s="110">
        <v>1.114503346637161</v>
      </c>
      <c r="C3331" s="110">
        <v>1.0664051745463718</v>
      </c>
      <c r="G3331" s="90">
        <v>3315</v>
      </c>
      <c r="H3331" s="100">
        <v>-4.4115534433237173E-2</v>
      </c>
      <c r="I3331" s="100">
        <v>-4.3956397598773261E-2</v>
      </c>
    </row>
    <row r="3332" spans="1:9">
      <c r="A3332" s="90">
        <v>3316</v>
      </c>
      <c r="B3332" s="110">
        <v>1.0654114639638725</v>
      </c>
      <c r="C3332" s="110">
        <v>1.0529066932357516</v>
      </c>
      <c r="G3332" s="90">
        <v>3316</v>
      </c>
      <c r="H3332" s="100">
        <v>-1.1806456873478607E-2</v>
      </c>
      <c r="I3332" s="100">
        <v>-4.3953190758213967E-2</v>
      </c>
    </row>
    <row r="3333" spans="1:9">
      <c r="A3333" s="90">
        <v>3317</v>
      </c>
      <c r="B3333" s="110">
        <v>1.0984028604408773</v>
      </c>
      <c r="C3333" s="110">
        <v>1.0545903876879767</v>
      </c>
      <c r="G3333" s="90">
        <v>3317</v>
      </c>
      <c r="H3333" s="100">
        <v>-4.0704746236270864E-2</v>
      </c>
      <c r="I3333" s="100">
        <v>-4.393780776952904E-2</v>
      </c>
    </row>
    <row r="3334" spans="1:9">
      <c r="A3334" s="90">
        <v>3318</v>
      </c>
      <c r="B3334" s="110">
        <v>1.1197843688767142</v>
      </c>
      <c r="C3334" s="110">
        <v>1.0486464022858843</v>
      </c>
      <c r="G3334" s="90">
        <v>3318</v>
      </c>
      <c r="H3334" s="100">
        <v>-6.5635947149851076E-2</v>
      </c>
      <c r="I3334" s="100">
        <v>-4.3923226712378367E-2</v>
      </c>
    </row>
    <row r="3335" spans="1:9">
      <c r="A3335" s="90">
        <v>3319</v>
      </c>
      <c r="B3335" s="110">
        <v>1.1398762264158584</v>
      </c>
      <c r="C3335" s="110">
        <v>1.0486608193117877</v>
      </c>
      <c r="G3335" s="90">
        <v>3319</v>
      </c>
      <c r="H3335" s="100">
        <v>-8.340574323007241E-2</v>
      </c>
      <c r="I3335" s="100">
        <v>-4.391265001995396E-2</v>
      </c>
    </row>
    <row r="3336" spans="1:9">
      <c r="A3336" s="90">
        <v>3320</v>
      </c>
      <c r="B3336" s="110">
        <v>1.1360328103426354</v>
      </c>
      <c r="C3336" s="110">
        <v>1.0422457635116029</v>
      </c>
      <c r="G3336" s="90">
        <v>3320</v>
      </c>
      <c r="H3336" s="100">
        <v>-8.6164429207833501E-2</v>
      </c>
      <c r="I3336" s="100">
        <v>-4.387934571765395E-2</v>
      </c>
    </row>
    <row r="3337" spans="1:9">
      <c r="A3337" s="90">
        <v>3321</v>
      </c>
      <c r="B3337" s="110">
        <v>1.0995280145301969</v>
      </c>
      <c r="C3337" s="110">
        <v>1.0630109576991724</v>
      </c>
      <c r="G3337" s="90">
        <v>3321</v>
      </c>
      <c r="H3337" s="100">
        <v>-3.3775602439967398E-2</v>
      </c>
      <c r="I3337" s="100">
        <v>-4.3858010422305506E-2</v>
      </c>
    </row>
    <row r="3338" spans="1:9">
      <c r="A3338" s="90">
        <v>3322</v>
      </c>
      <c r="B3338" s="110">
        <v>1.0994812468556718</v>
      </c>
      <c r="C3338" s="110">
        <v>1.0516183479182692</v>
      </c>
      <c r="G3338" s="90">
        <v>3322</v>
      </c>
      <c r="H3338" s="100">
        <v>-4.450821345903417E-2</v>
      </c>
      <c r="I3338" s="100">
        <v>-4.3844894701996075E-2</v>
      </c>
    </row>
    <row r="3339" spans="1:9">
      <c r="A3339" s="90">
        <v>3323</v>
      </c>
      <c r="B3339" s="110">
        <v>1.1169560739105571</v>
      </c>
      <c r="C3339" s="110">
        <v>1.0468371160180658</v>
      </c>
      <c r="G3339" s="90">
        <v>3323</v>
      </c>
      <c r="H3339" s="100">
        <v>-6.4833846563851841E-2</v>
      </c>
      <c r="I3339" s="100">
        <v>-4.3843459594629042E-2</v>
      </c>
    </row>
    <row r="3340" spans="1:9">
      <c r="A3340" s="90">
        <v>3324</v>
      </c>
      <c r="B3340" s="110">
        <v>1.1412058386131907</v>
      </c>
      <c r="C3340" s="110">
        <v>1.0426918450002425</v>
      </c>
      <c r="G3340" s="90">
        <v>3324</v>
      </c>
      <c r="H3340" s="100">
        <v>-9.027977480762768E-2</v>
      </c>
      <c r="I3340" s="100">
        <v>-4.3827509366571482E-2</v>
      </c>
    </row>
    <row r="3341" spans="1:9">
      <c r="A3341" s="90">
        <v>3325</v>
      </c>
      <c r="B3341" s="110">
        <v>1.0969896961039913</v>
      </c>
      <c r="C3341" s="110">
        <v>1.0478514655345579</v>
      </c>
      <c r="G3341" s="90">
        <v>3325</v>
      </c>
      <c r="H3341" s="100">
        <v>-4.5827943960220219E-2</v>
      </c>
      <c r="I3341" s="100">
        <v>-4.3827497373568051E-2</v>
      </c>
    </row>
    <row r="3342" spans="1:9">
      <c r="A3342" s="90">
        <v>3326</v>
      </c>
      <c r="B3342" s="110">
        <v>1.1411361465879173</v>
      </c>
      <c r="C3342" s="110">
        <v>1.0391213300129745</v>
      </c>
      <c r="G3342" s="90">
        <v>3326</v>
      </c>
      <c r="H3342" s="100">
        <v>-9.3648904866828739E-2</v>
      </c>
      <c r="I3342" s="100">
        <v>-4.381361883930647E-2</v>
      </c>
    </row>
    <row r="3343" spans="1:9">
      <c r="A3343" s="90">
        <v>3327</v>
      </c>
      <c r="B3343" s="110">
        <v>1.1218393735084504</v>
      </c>
      <c r="C3343" s="110">
        <v>1.0627916287717387</v>
      </c>
      <c r="G3343" s="90">
        <v>3327</v>
      </c>
      <c r="H3343" s="100">
        <v>-5.4070577692694209E-2</v>
      </c>
      <c r="I3343" s="100">
        <v>-4.3797532342388514E-2</v>
      </c>
    </row>
    <row r="3344" spans="1:9">
      <c r="A3344" s="90">
        <v>3328</v>
      </c>
      <c r="B3344" s="110">
        <v>1.0993401540479317</v>
      </c>
      <c r="C3344" s="110">
        <v>1.0608006711888622</v>
      </c>
      <c r="G3344" s="90">
        <v>3328</v>
      </c>
      <c r="H3344" s="100">
        <v>-3.5686166691157012E-2</v>
      </c>
      <c r="I3344" s="100">
        <v>-4.3793801939714536E-2</v>
      </c>
    </row>
    <row r="3345" spans="1:9">
      <c r="A3345" s="90">
        <v>3329</v>
      </c>
      <c r="B3345" s="110">
        <v>1.0986924974957994</v>
      </c>
      <c r="C3345" s="110">
        <v>1.0530512280357285</v>
      </c>
      <c r="G3345" s="90">
        <v>3329</v>
      </c>
      <c r="H3345" s="100">
        <v>-4.2428952597875984E-2</v>
      </c>
      <c r="I3345" s="100">
        <v>-4.3787432325611345E-2</v>
      </c>
    </row>
    <row r="3346" spans="1:9">
      <c r="A3346" s="90">
        <v>3330</v>
      </c>
      <c r="B3346" s="110">
        <v>1.1079198831660786</v>
      </c>
      <c r="C3346" s="110">
        <v>1.0634552710238971</v>
      </c>
      <c r="G3346" s="90">
        <v>3330</v>
      </c>
      <c r="H3346" s="100">
        <v>-4.0960981600849607E-2</v>
      </c>
      <c r="I3346" s="100">
        <v>-4.3776693571729142E-2</v>
      </c>
    </row>
    <row r="3347" spans="1:9">
      <c r="A3347" s="90">
        <v>3331</v>
      </c>
      <c r="B3347" s="110">
        <v>1.1217218465633485</v>
      </c>
      <c r="C3347" s="110">
        <v>1.0468362937330917</v>
      </c>
      <c r="G3347" s="90">
        <v>3331</v>
      </c>
      <c r="H3347" s="100">
        <v>-6.9092305579983915E-2</v>
      </c>
      <c r="I3347" s="100">
        <v>-4.3763513336834411E-2</v>
      </c>
    </row>
    <row r="3348" spans="1:9">
      <c r="A3348" s="90">
        <v>3332</v>
      </c>
      <c r="B3348" s="110">
        <v>1.1434594549852335</v>
      </c>
      <c r="C3348" s="110">
        <v>1.0462643021732736</v>
      </c>
      <c r="G3348" s="90">
        <v>3332</v>
      </c>
      <c r="H3348" s="100">
        <v>-8.8832264241968495E-2</v>
      </c>
      <c r="I3348" s="100">
        <v>-4.3760627924777605E-2</v>
      </c>
    </row>
    <row r="3349" spans="1:9">
      <c r="A3349" s="90">
        <v>3333</v>
      </c>
      <c r="B3349" s="110">
        <v>1.1421690531966908</v>
      </c>
      <c r="C3349" s="110">
        <v>1.038484189451466</v>
      </c>
      <c r="G3349" s="90">
        <v>3333</v>
      </c>
      <c r="H3349" s="100">
        <v>-9.5166993040269585E-2</v>
      </c>
      <c r="I3349" s="100">
        <v>-4.375839919353499E-2</v>
      </c>
    </row>
    <row r="3350" spans="1:9">
      <c r="A3350" s="90">
        <v>3334</v>
      </c>
      <c r="B3350" s="110">
        <v>1.1271307156199377</v>
      </c>
      <c r="C3350" s="110">
        <v>1.0468892690833196</v>
      </c>
      <c r="G3350" s="90">
        <v>3334</v>
      </c>
      <c r="H3350" s="100">
        <v>-7.3852047690083036E-2</v>
      </c>
      <c r="I3350" s="100">
        <v>-4.3737917307602646E-2</v>
      </c>
    </row>
    <row r="3351" spans="1:9">
      <c r="A3351" s="90">
        <v>3335</v>
      </c>
      <c r="B3351" s="110">
        <v>1.1043860404607084</v>
      </c>
      <c r="C3351" s="110">
        <v>1.0756195140984026</v>
      </c>
      <c r="G3351" s="90">
        <v>3335</v>
      </c>
      <c r="H3351" s="100">
        <v>-2.6392773291818678E-2</v>
      </c>
      <c r="I3351" s="100">
        <v>-4.3735738541865757E-2</v>
      </c>
    </row>
    <row r="3352" spans="1:9">
      <c r="A3352" s="90">
        <v>3336</v>
      </c>
      <c r="B3352" s="110">
        <v>1.1279096983971257</v>
      </c>
      <c r="C3352" s="110">
        <v>1.0435506640862249</v>
      </c>
      <c r="G3352" s="90">
        <v>3336</v>
      </c>
      <c r="H3352" s="100">
        <v>-7.7737096831213062E-2</v>
      </c>
      <c r="I3352" s="100">
        <v>-4.3713357646221057E-2</v>
      </c>
    </row>
    <row r="3353" spans="1:9">
      <c r="A3353" s="90">
        <v>3337</v>
      </c>
      <c r="B3353" s="110">
        <v>1.1255827122055269</v>
      </c>
      <c r="C3353" s="110">
        <v>1.0399268884545583</v>
      </c>
      <c r="G3353" s="90">
        <v>3337</v>
      </c>
      <c r="H3353" s="100">
        <v>-7.9150456843774988E-2</v>
      </c>
      <c r="I3353" s="100">
        <v>-4.3691145234104917E-2</v>
      </c>
    </row>
    <row r="3354" spans="1:9">
      <c r="A3354" s="90">
        <v>3338</v>
      </c>
      <c r="B3354" s="110">
        <v>1.1381706594725969</v>
      </c>
      <c r="C3354" s="110">
        <v>1.0529324645555551</v>
      </c>
      <c r="G3354" s="90">
        <v>3338</v>
      </c>
      <c r="H3354" s="100">
        <v>-7.7843193977293446E-2</v>
      </c>
      <c r="I3354" s="100">
        <v>-4.3688711910963407E-2</v>
      </c>
    </row>
    <row r="3355" spans="1:9">
      <c r="A3355" s="90">
        <v>3339</v>
      </c>
      <c r="B3355" s="110">
        <v>1.1187680682866616</v>
      </c>
      <c r="C3355" s="110">
        <v>1.0600664509374718</v>
      </c>
      <c r="G3355" s="90">
        <v>3339</v>
      </c>
      <c r="H3355" s="100">
        <v>-5.3896545177623253E-2</v>
      </c>
      <c r="I3355" s="100">
        <v>-4.3680405485104538E-2</v>
      </c>
    </row>
    <row r="3356" spans="1:9">
      <c r="A3356" s="90">
        <v>3340</v>
      </c>
      <c r="B3356" s="110">
        <v>1.1173132372971817</v>
      </c>
      <c r="C3356" s="110">
        <v>1.0559264015611101</v>
      </c>
      <c r="G3356" s="90">
        <v>3340</v>
      </c>
      <c r="H3356" s="100">
        <v>-5.6508420713582808E-2</v>
      </c>
      <c r="I3356" s="100">
        <v>-4.3670142928067118E-2</v>
      </c>
    </row>
    <row r="3357" spans="1:9">
      <c r="A3357" s="90">
        <v>3341</v>
      </c>
      <c r="B3357" s="110">
        <v>1.0947037352639799</v>
      </c>
      <c r="C3357" s="110">
        <v>1.0280587921764521</v>
      </c>
      <c r="G3357" s="90">
        <v>3341</v>
      </c>
      <c r="H3357" s="100">
        <v>-6.2811409026601664E-2</v>
      </c>
      <c r="I3357" s="100">
        <v>-4.3667344343992068E-2</v>
      </c>
    </row>
    <row r="3358" spans="1:9">
      <c r="A3358" s="90">
        <v>3342</v>
      </c>
      <c r="B3358" s="110">
        <v>1.0922415679094315</v>
      </c>
      <c r="C3358" s="110">
        <v>1.0523626201647016</v>
      </c>
      <c r="G3358" s="90">
        <v>3342</v>
      </c>
      <c r="H3358" s="100">
        <v>-3.7194317996772169E-2</v>
      </c>
      <c r="I3358" s="100">
        <v>-4.3665681098228264E-2</v>
      </c>
    </row>
    <row r="3359" spans="1:9">
      <c r="A3359" s="90">
        <v>3343</v>
      </c>
      <c r="B3359" s="110">
        <v>1.0852621621769147</v>
      </c>
      <c r="C3359" s="110">
        <v>1.0519269543207965</v>
      </c>
      <c r="G3359" s="90">
        <v>3343</v>
      </c>
      <c r="H3359" s="100">
        <v>-3.1197905083687839E-2</v>
      </c>
      <c r="I3359" s="100">
        <v>-4.3632074361280131E-2</v>
      </c>
    </row>
    <row r="3360" spans="1:9">
      <c r="A3360" s="90">
        <v>3344</v>
      </c>
      <c r="B3360" s="110">
        <v>1.131298206333923</v>
      </c>
      <c r="C3360" s="110">
        <v>1.0415467493146415</v>
      </c>
      <c r="G3360" s="90">
        <v>3344</v>
      </c>
      <c r="H3360" s="100">
        <v>-8.2658961222511582E-2</v>
      </c>
      <c r="I3360" s="100">
        <v>-4.3625731023612571E-2</v>
      </c>
    </row>
    <row r="3361" spans="1:9">
      <c r="A3361" s="90">
        <v>3345</v>
      </c>
      <c r="B3361" s="110">
        <v>1.0995240587854258</v>
      </c>
      <c r="C3361" s="110">
        <v>1.0593030632591078</v>
      </c>
      <c r="G3361" s="90">
        <v>3345</v>
      </c>
      <c r="H3361" s="100">
        <v>-3.7266207949684077E-2</v>
      </c>
      <c r="I3361" s="100">
        <v>-4.3614459340521571E-2</v>
      </c>
    </row>
    <row r="3362" spans="1:9">
      <c r="A3362" s="90">
        <v>3346</v>
      </c>
      <c r="B3362" s="110">
        <v>1.1032554993409767</v>
      </c>
      <c r="C3362" s="110">
        <v>1.0401364640583624</v>
      </c>
      <c r="G3362" s="90">
        <v>3346</v>
      </c>
      <c r="H3362" s="100">
        <v>-5.8913433842518279E-2</v>
      </c>
      <c r="I3362" s="100">
        <v>-4.3609851183072056E-2</v>
      </c>
    </row>
    <row r="3363" spans="1:9">
      <c r="A3363" s="90">
        <v>3347</v>
      </c>
      <c r="B3363" s="110">
        <v>1.1141044592172618</v>
      </c>
      <c r="C3363" s="110">
        <v>1.0442341374269517</v>
      </c>
      <c r="G3363" s="90">
        <v>3347</v>
      </c>
      <c r="H3363" s="100">
        <v>-6.4767172722024008E-2</v>
      </c>
      <c r="I3363" s="100">
        <v>-4.3607225862155756E-2</v>
      </c>
    </row>
    <row r="3364" spans="1:9">
      <c r="A3364" s="90">
        <v>3348</v>
      </c>
      <c r="B3364" s="110">
        <v>1.1269966840227892</v>
      </c>
      <c r="C3364" s="110">
        <v>1.0660802137139886</v>
      </c>
      <c r="G3364" s="90">
        <v>3348</v>
      </c>
      <c r="H3364" s="100">
        <v>-5.5567722449584668E-2</v>
      </c>
      <c r="I3364" s="100">
        <v>-4.3605134011972871E-2</v>
      </c>
    </row>
    <row r="3365" spans="1:9">
      <c r="A3365" s="90">
        <v>3349</v>
      </c>
      <c r="B3365" s="110">
        <v>1.0994050546699778</v>
      </c>
      <c r="C3365" s="110">
        <v>1.0478627072914828</v>
      </c>
      <c r="G3365" s="90">
        <v>3349</v>
      </c>
      <c r="H3365" s="100">
        <v>-4.8016601272042429E-2</v>
      </c>
      <c r="I3365" s="100">
        <v>-4.3594217378301083E-2</v>
      </c>
    </row>
    <row r="3366" spans="1:9">
      <c r="A3366" s="90">
        <v>3350</v>
      </c>
      <c r="B3366" s="110">
        <v>1.1146341848188512</v>
      </c>
      <c r="C3366" s="110">
        <v>1.0644284347269386</v>
      </c>
      <c r="G3366" s="90">
        <v>3350</v>
      </c>
      <c r="H3366" s="100">
        <v>-4.6088291627025199E-2</v>
      </c>
      <c r="I3366" s="100">
        <v>-4.3581630211035879E-2</v>
      </c>
    </row>
    <row r="3367" spans="1:9">
      <c r="A3367" s="90">
        <v>3351</v>
      </c>
      <c r="B3367" s="110">
        <v>1.1198158486656549</v>
      </c>
      <c r="C3367" s="110">
        <v>1.0695920083131911</v>
      </c>
      <c r="G3367" s="90">
        <v>3351</v>
      </c>
      <c r="H3367" s="100">
        <v>-4.5886975835816059E-2</v>
      </c>
      <c r="I3367" s="100">
        <v>-4.3580205530655655E-2</v>
      </c>
    </row>
    <row r="3368" spans="1:9">
      <c r="A3368" s="90">
        <v>3352</v>
      </c>
      <c r="B3368" s="110">
        <v>1.0825972453974515</v>
      </c>
      <c r="C3368" s="110">
        <v>1.0482843797300458</v>
      </c>
      <c r="G3368" s="90">
        <v>3352</v>
      </c>
      <c r="H3368" s="100">
        <v>-3.2208107152009779E-2</v>
      </c>
      <c r="I3368" s="100">
        <v>-4.3573090160382119E-2</v>
      </c>
    </row>
    <row r="3369" spans="1:9">
      <c r="A3369" s="90">
        <v>3353</v>
      </c>
      <c r="B3369" s="110">
        <v>1.1043933084243382</v>
      </c>
      <c r="C3369" s="110">
        <v>1.079420397288203</v>
      </c>
      <c r="G3369" s="90">
        <v>3353</v>
      </c>
      <c r="H3369" s="100">
        <v>-2.2871914140871009E-2</v>
      </c>
      <c r="I3369" s="100">
        <v>-4.3569177583218273E-2</v>
      </c>
    </row>
    <row r="3370" spans="1:9">
      <c r="A3370" s="90">
        <v>3354</v>
      </c>
      <c r="B3370" s="110">
        <v>1.1047907040153473</v>
      </c>
      <c r="C3370" s="110">
        <v>1.0429720500310729</v>
      </c>
      <c r="G3370" s="90">
        <v>3354</v>
      </c>
      <c r="H3370" s="100">
        <v>-5.7581530908405391E-2</v>
      </c>
      <c r="I3370" s="100">
        <v>-4.3567927972631884E-2</v>
      </c>
    </row>
    <row r="3371" spans="1:9">
      <c r="A3371" s="90">
        <v>3355</v>
      </c>
      <c r="B3371" s="110">
        <v>1.1182516820781443</v>
      </c>
      <c r="C3371" s="110">
        <v>1.0638386960098583</v>
      </c>
      <c r="G3371" s="90">
        <v>3355</v>
      </c>
      <c r="H3371" s="100">
        <v>-4.988268960320625E-2</v>
      </c>
      <c r="I3371" s="100">
        <v>-4.3561630469717789E-2</v>
      </c>
    </row>
    <row r="3372" spans="1:9">
      <c r="A3372" s="90">
        <v>3356</v>
      </c>
      <c r="B3372" s="110">
        <v>1.1026424930843344</v>
      </c>
      <c r="C3372" s="110">
        <v>1.0673675481176177</v>
      </c>
      <c r="G3372" s="90">
        <v>3356</v>
      </c>
      <c r="H3372" s="100">
        <v>-3.2514183697677286E-2</v>
      </c>
      <c r="I3372" s="100">
        <v>-4.3534347472497362E-2</v>
      </c>
    </row>
    <row r="3373" spans="1:9">
      <c r="A3373" s="90">
        <v>3357</v>
      </c>
      <c r="B3373" s="110">
        <v>1.1256847904138623</v>
      </c>
      <c r="C3373" s="110">
        <v>1.0625663109040273</v>
      </c>
      <c r="G3373" s="90">
        <v>3357</v>
      </c>
      <c r="H3373" s="100">
        <v>-5.7704522930596566E-2</v>
      </c>
      <c r="I3373" s="100">
        <v>-4.3531680541091328E-2</v>
      </c>
    </row>
    <row r="3374" spans="1:9">
      <c r="A3374" s="90">
        <v>3358</v>
      </c>
      <c r="B3374" s="110">
        <v>1.0998595306671697</v>
      </c>
      <c r="C3374" s="110">
        <v>1.0515053972949384</v>
      </c>
      <c r="G3374" s="90">
        <v>3358</v>
      </c>
      <c r="H3374" s="100">
        <v>-4.4959623161026363E-2</v>
      </c>
      <c r="I3374" s="100">
        <v>-4.3523297236349609E-2</v>
      </c>
    </row>
    <row r="3375" spans="1:9">
      <c r="A3375" s="90">
        <v>3359</v>
      </c>
      <c r="B3375" s="110">
        <v>1.1293401509937566</v>
      </c>
      <c r="C3375" s="110">
        <v>1.0423894649271666</v>
      </c>
      <c r="G3375" s="90">
        <v>3359</v>
      </c>
      <c r="H3375" s="100">
        <v>-8.0117884770349895E-2</v>
      </c>
      <c r="I3375" s="100">
        <v>-4.3518381243585286E-2</v>
      </c>
    </row>
    <row r="3376" spans="1:9">
      <c r="A3376" s="90">
        <v>3360</v>
      </c>
      <c r="B3376" s="110">
        <v>1.1438991264060976</v>
      </c>
      <c r="C3376" s="110">
        <v>1.0707964622045998</v>
      </c>
      <c r="G3376" s="90">
        <v>3360</v>
      </c>
      <c r="H3376" s="100">
        <v>-6.6039984073456293E-2</v>
      </c>
      <c r="I3376" s="100">
        <v>-4.3518193363009001E-2</v>
      </c>
    </row>
    <row r="3377" spans="1:9">
      <c r="A3377" s="90">
        <v>3361</v>
      </c>
      <c r="B3377" s="110">
        <v>1.1341906796501438</v>
      </c>
      <c r="C3377" s="110">
        <v>1.0557311542926078</v>
      </c>
      <c r="G3377" s="90">
        <v>3361</v>
      </c>
      <c r="H3377" s="100">
        <v>-7.1685774877135178E-2</v>
      </c>
      <c r="I3377" s="100">
        <v>-4.3508128472877057E-2</v>
      </c>
    </row>
    <row r="3378" spans="1:9">
      <c r="A3378" s="90">
        <v>3362</v>
      </c>
      <c r="B3378" s="110">
        <v>1.0819113831544052</v>
      </c>
      <c r="C3378" s="110">
        <v>1.0459639900857767</v>
      </c>
      <c r="G3378" s="90">
        <v>3362</v>
      </c>
      <c r="H3378" s="100">
        <v>-3.3790337357965092E-2</v>
      </c>
      <c r="I3378" s="100">
        <v>-4.3498770535049858E-2</v>
      </c>
    </row>
    <row r="3379" spans="1:9">
      <c r="A3379" s="90">
        <v>3363</v>
      </c>
      <c r="B3379" s="110">
        <v>1.0935270237726538</v>
      </c>
      <c r="C3379" s="110">
        <v>1.0426362398200799</v>
      </c>
      <c r="G3379" s="90">
        <v>3363</v>
      </c>
      <c r="H3379" s="100">
        <v>-4.7655922096389698E-2</v>
      </c>
      <c r="I3379" s="100">
        <v>-4.3494200657276612E-2</v>
      </c>
    </row>
    <row r="3380" spans="1:9">
      <c r="A3380" s="90">
        <v>3364</v>
      </c>
      <c r="B3380" s="110">
        <v>1.1069187288298794</v>
      </c>
      <c r="C3380" s="110">
        <v>1.0549178505564101</v>
      </c>
      <c r="G3380" s="90">
        <v>3364</v>
      </c>
      <c r="H3380" s="100">
        <v>-4.811733821519007E-2</v>
      </c>
      <c r="I3380" s="100">
        <v>-4.3493062579813918E-2</v>
      </c>
    </row>
    <row r="3381" spans="1:9">
      <c r="A3381" s="90">
        <v>3365</v>
      </c>
      <c r="B3381" s="110">
        <v>1.1030659751162557</v>
      </c>
      <c r="C3381" s="110">
        <v>1.028040175779847</v>
      </c>
      <c r="G3381" s="90">
        <v>3365</v>
      </c>
      <c r="H3381" s="100">
        <v>-7.0439304963992699E-2</v>
      </c>
      <c r="I3381" s="100">
        <v>-4.3490155908093485E-2</v>
      </c>
    </row>
    <row r="3382" spans="1:9">
      <c r="A3382" s="90">
        <v>3366</v>
      </c>
      <c r="B3382" s="110">
        <v>1.1246831359057485</v>
      </c>
      <c r="C3382" s="110">
        <v>1.0391874933781176</v>
      </c>
      <c r="G3382" s="90">
        <v>3366</v>
      </c>
      <c r="H3382" s="100">
        <v>-7.9062187564652622E-2</v>
      </c>
      <c r="I3382" s="100">
        <v>-4.3484065322274688E-2</v>
      </c>
    </row>
    <row r="3383" spans="1:9">
      <c r="A3383" s="90">
        <v>3367</v>
      </c>
      <c r="B3383" s="110">
        <v>1.1209489477148307</v>
      </c>
      <c r="C3383" s="110">
        <v>1.05900492853981</v>
      </c>
      <c r="G3383" s="90">
        <v>3367</v>
      </c>
      <c r="H3383" s="100">
        <v>-5.6845880752934307E-2</v>
      </c>
      <c r="I3383" s="100">
        <v>-4.346720982644281E-2</v>
      </c>
    </row>
    <row r="3384" spans="1:9">
      <c r="A3384" s="90">
        <v>3368</v>
      </c>
      <c r="B3384" s="110">
        <v>1.1355482872236631</v>
      </c>
      <c r="C3384" s="110">
        <v>1.0580656363419456</v>
      </c>
      <c r="G3384" s="90">
        <v>3368</v>
      </c>
      <c r="H3384" s="100">
        <v>-7.0673237092986105E-2</v>
      </c>
      <c r="I3384" s="100">
        <v>-4.3439442900539402E-2</v>
      </c>
    </row>
    <row r="3385" spans="1:9">
      <c r="A3385" s="90">
        <v>3369</v>
      </c>
      <c r="B3385" s="110">
        <v>1.113689829021592</v>
      </c>
      <c r="C3385" s="110">
        <v>1.0502930093029395</v>
      </c>
      <c r="G3385" s="90">
        <v>3369</v>
      </c>
      <c r="H3385" s="100">
        <v>-5.8609491054204654E-2</v>
      </c>
      <c r="I3385" s="100">
        <v>-4.3437774972675695E-2</v>
      </c>
    </row>
    <row r="3386" spans="1:9">
      <c r="A3386" s="90">
        <v>3370</v>
      </c>
      <c r="B3386" s="110">
        <v>1.141033357858986</v>
      </c>
      <c r="C3386" s="110">
        <v>1.063142934854119</v>
      </c>
      <c r="G3386" s="90">
        <v>3370</v>
      </c>
      <c r="H3386" s="100">
        <v>-7.0704752122204659E-2</v>
      </c>
      <c r="I3386" s="100">
        <v>-4.3423042604195994E-2</v>
      </c>
    </row>
    <row r="3387" spans="1:9">
      <c r="A3387" s="90">
        <v>3371</v>
      </c>
      <c r="B3387" s="110">
        <v>1.1082612190105345</v>
      </c>
      <c r="C3387" s="110">
        <v>1.0631623435877247</v>
      </c>
      <c r="G3387" s="90">
        <v>3371</v>
      </c>
      <c r="H3387" s="100">
        <v>-4.1544507973773188E-2</v>
      </c>
      <c r="I3387" s="100">
        <v>-4.3412652343791304E-2</v>
      </c>
    </row>
    <row r="3388" spans="1:9">
      <c r="A3388" s="90">
        <v>3372</v>
      </c>
      <c r="B3388" s="110">
        <v>1.1060625415911371</v>
      </c>
      <c r="C3388" s="110">
        <v>1.0522144920125645</v>
      </c>
      <c r="G3388" s="90">
        <v>3372</v>
      </c>
      <c r="H3388" s="100">
        <v>-4.9909465773535083E-2</v>
      </c>
      <c r="I3388" s="100">
        <v>-4.3409367424328438E-2</v>
      </c>
    </row>
    <row r="3389" spans="1:9">
      <c r="A3389" s="90">
        <v>3373</v>
      </c>
      <c r="B3389" s="110">
        <v>1.113602585665644</v>
      </c>
      <c r="C3389" s="110">
        <v>1.0453022533911049</v>
      </c>
      <c r="G3389" s="90">
        <v>3373</v>
      </c>
      <c r="H3389" s="100">
        <v>-6.3294251202896973E-2</v>
      </c>
      <c r="I3389" s="100">
        <v>-4.3408541458415717E-2</v>
      </c>
    </row>
    <row r="3390" spans="1:9">
      <c r="A3390" s="90">
        <v>3374</v>
      </c>
      <c r="B3390" s="110">
        <v>1.1264075602392878</v>
      </c>
      <c r="C3390" s="110">
        <v>1.0475506219202777</v>
      </c>
      <c r="G3390" s="90">
        <v>3374</v>
      </c>
      <c r="H3390" s="100">
        <v>-7.2578720197267896E-2</v>
      </c>
      <c r="I3390" s="100">
        <v>-4.3407438697677214E-2</v>
      </c>
    </row>
    <row r="3391" spans="1:9">
      <c r="A3391" s="90">
        <v>3375</v>
      </c>
      <c r="B3391" s="110">
        <v>1.0958357128590615</v>
      </c>
      <c r="C3391" s="110">
        <v>1.048373343573602</v>
      </c>
      <c r="G3391" s="90">
        <v>3375</v>
      </c>
      <c r="H3391" s="100">
        <v>-4.4277513936727103E-2</v>
      </c>
      <c r="I3391" s="100">
        <v>-4.3394510602401654E-2</v>
      </c>
    </row>
    <row r="3392" spans="1:9">
      <c r="A3392" s="90">
        <v>3376</v>
      </c>
      <c r="B3392" s="110">
        <v>1.0838406336678088</v>
      </c>
      <c r="C3392" s="110">
        <v>1.0504372068880101</v>
      </c>
      <c r="G3392" s="90">
        <v>3376</v>
      </c>
      <c r="H3392" s="100">
        <v>-3.1304410281194392E-2</v>
      </c>
      <c r="I3392" s="100">
        <v>-4.3384822875445324E-2</v>
      </c>
    </row>
    <row r="3393" spans="1:9">
      <c r="A3393" s="90">
        <v>3377</v>
      </c>
      <c r="B3393" s="110">
        <v>1.0944654999578338</v>
      </c>
      <c r="C3393" s="110">
        <v>1.0501842540563389</v>
      </c>
      <c r="G3393" s="90">
        <v>3377</v>
      </c>
      <c r="H3393" s="100">
        <v>-4.1300487374608154E-2</v>
      </c>
      <c r="I3393" s="100">
        <v>-4.3379794412332418E-2</v>
      </c>
    </row>
    <row r="3394" spans="1:9">
      <c r="A3394" s="90">
        <v>3378</v>
      </c>
      <c r="B3394" s="110">
        <v>1.1250472163685621</v>
      </c>
      <c r="C3394" s="110">
        <v>1.0508764232387553</v>
      </c>
      <c r="G3394" s="90">
        <v>3378</v>
      </c>
      <c r="H3394" s="100">
        <v>-6.8200500071777845E-2</v>
      </c>
      <c r="I3394" s="100">
        <v>-4.3377895780943442E-2</v>
      </c>
    </row>
    <row r="3395" spans="1:9">
      <c r="A3395" s="90">
        <v>3379</v>
      </c>
      <c r="B3395" s="110">
        <v>1.115829052543442</v>
      </c>
      <c r="C3395" s="110">
        <v>1.0586142753585148</v>
      </c>
      <c r="G3395" s="90">
        <v>3379</v>
      </c>
      <c r="H3395" s="100">
        <v>-5.2636908020816754E-2</v>
      </c>
      <c r="I3395" s="100">
        <v>-4.3363771059633058E-2</v>
      </c>
    </row>
    <row r="3396" spans="1:9">
      <c r="A3396" s="90">
        <v>3380</v>
      </c>
      <c r="B3396" s="110">
        <v>1.1125588839377369</v>
      </c>
      <c r="C3396" s="110">
        <v>1.0505147168338813</v>
      </c>
      <c r="G3396" s="90">
        <v>3380</v>
      </c>
      <c r="H3396" s="100">
        <v>-5.7382412473851903E-2</v>
      </c>
      <c r="I3396" s="100">
        <v>-4.3361992808004478E-2</v>
      </c>
    </row>
    <row r="3397" spans="1:9">
      <c r="A3397" s="90">
        <v>3381</v>
      </c>
      <c r="B3397" s="110">
        <v>1.1038968298726606</v>
      </c>
      <c r="C3397" s="110">
        <v>1.0530148082742139</v>
      </c>
      <c r="G3397" s="90">
        <v>3381</v>
      </c>
      <c r="H3397" s="100">
        <v>-4.7189196294336745E-2</v>
      </c>
      <c r="I3397" s="100">
        <v>-4.3358292449824837E-2</v>
      </c>
    </row>
    <row r="3398" spans="1:9">
      <c r="A3398" s="90">
        <v>3382</v>
      </c>
      <c r="B3398" s="110">
        <v>1.0734117326937904</v>
      </c>
      <c r="C3398" s="110">
        <v>1.0649631289938672</v>
      </c>
      <c r="G3398" s="90">
        <v>3382</v>
      </c>
      <c r="H3398" s="100">
        <v>-7.9019332040752011E-3</v>
      </c>
      <c r="I3398" s="100">
        <v>-4.3356169428380269E-2</v>
      </c>
    </row>
    <row r="3399" spans="1:9">
      <c r="A3399" s="90">
        <v>3383</v>
      </c>
      <c r="B3399" s="110">
        <v>1.1058402298702643</v>
      </c>
      <c r="C3399" s="110">
        <v>1.0324163202402075</v>
      </c>
      <c r="G3399" s="90">
        <v>3383</v>
      </c>
      <c r="H3399" s="100">
        <v>-6.8703438246844745E-2</v>
      </c>
      <c r="I3399" s="100">
        <v>-4.3348017679410766E-2</v>
      </c>
    </row>
    <row r="3400" spans="1:9">
      <c r="A3400" s="90">
        <v>3384</v>
      </c>
      <c r="B3400" s="110">
        <v>1.0992684126647856</v>
      </c>
      <c r="C3400" s="110">
        <v>1.0574662715682868</v>
      </c>
      <c r="G3400" s="90">
        <v>3384</v>
      </c>
      <c r="H3400" s="100">
        <v>-3.8769142213681863E-2</v>
      </c>
      <c r="I3400" s="100">
        <v>-4.3342118675735598E-2</v>
      </c>
    </row>
    <row r="3401" spans="1:9">
      <c r="A3401" s="90">
        <v>3385</v>
      </c>
      <c r="B3401" s="110">
        <v>1.1092350514109581</v>
      </c>
      <c r="C3401" s="110">
        <v>1.0658864487733428</v>
      </c>
      <c r="G3401" s="90">
        <v>3385</v>
      </c>
      <c r="H3401" s="100">
        <v>-3.9863835663749118E-2</v>
      </c>
      <c r="I3401" s="100">
        <v>-4.3323968884393139E-2</v>
      </c>
    </row>
    <row r="3402" spans="1:9">
      <c r="A3402" s="90">
        <v>3386</v>
      </c>
      <c r="B3402" s="110">
        <v>1.1169206516199497</v>
      </c>
      <c r="C3402" s="110">
        <v>1.0572855365731284</v>
      </c>
      <c r="G3402" s="90">
        <v>3386</v>
      </c>
      <c r="H3402" s="100">
        <v>-5.4870671441894364E-2</v>
      </c>
      <c r="I3402" s="100">
        <v>-4.3322523212203326E-2</v>
      </c>
    </row>
    <row r="3403" spans="1:9">
      <c r="A3403" s="90">
        <v>3387</v>
      </c>
      <c r="B3403" s="110">
        <v>1.111698590476673</v>
      </c>
      <c r="C3403" s="110">
        <v>1.0529204212629826</v>
      </c>
      <c r="G3403" s="90">
        <v>3387</v>
      </c>
      <c r="H3403" s="100">
        <v>-5.4321450411085825E-2</v>
      </c>
      <c r="I3403" s="100">
        <v>-4.3313514879511392E-2</v>
      </c>
    </row>
    <row r="3404" spans="1:9">
      <c r="A3404" s="90">
        <v>3388</v>
      </c>
      <c r="B3404" s="110">
        <v>1.1439908782722616</v>
      </c>
      <c r="C3404" s="110">
        <v>1.0444387597898361</v>
      </c>
      <c r="G3404" s="90">
        <v>3388</v>
      </c>
      <c r="H3404" s="100">
        <v>-9.1043250217069757E-2</v>
      </c>
      <c r="I3404" s="100">
        <v>-4.329432382340076E-2</v>
      </c>
    </row>
    <row r="3405" spans="1:9">
      <c r="A3405" s="90">
        <v>3389</v>
      </c>
      <c r="B3405" s="110">
        <v>1.1098610065270584</v>
      </c>
      <c r="C3405" s="110">
        <v>1.0617351206983205</v>
      </c>
      <c r="G3405" s="90">
        <v>3389</v>
      </c>
      <c r="H3405" s="100">
        <v>-4.4330311966439412E-2</v>
      </c>
      <c r="I3405" s="100">
        <v>-4.3294146393542121E-2</v>
      </c>
    </row>
    <row r="3406" spans="1:9">
      <c r="A3406" s="90">
        <v>3390</v>
      </c>
      <c r="B3406" s="110">
        <v>1.1029450823795235</v>
      </c>
      <c r="C3406" s="110">
        <v>1.0557203411840026</v>
      </c>
      <c r="G3406" s="90">
        <v>3390</v>
      </c>
      <c r="H3406" s="100">
        <v>-4.3760627924777605E-2</v>
      </c>
      <c r="I3406" s="100">
        <v>-4.3276624730366128E-2</v>
      </c>
    </row>
    <row r="3407" spans="1:9">
      <c r="A3407" s="90">
        <v>3391</v>
      </c>
      <c r="B3407" s="110">
        <v>1.1115794083461481</v>
      </c>
      <c r="C3407" s="110">
        <v>1.0767677046229722</v>
      </c>
      <c r="G3407" s="90">
        <v>3391</v>
      </c>
      <c r="H3407" s="100">
        <v>-3.1818206910357465E-2</v>
      </c>
      <c r="I3407" s="100">
        <v>-4.3270931346645281E-2</v>
      </c>
    </row>
    <row r="3408" spans="1:9">
      <c r="A3408" s="90">
        <v>3392</v>
      </c>
      <c r="B3408" s="110">
        <v>1.14101968849739</v>
      </c>
      <c r="C3408" s="110">
        <v>1.0525406332355365</v>
      </c>
      <c r="G3408" s="90">
        <v>3392</v>
      </c>
      <c r="H3408" s="100">
        <v>-8.0715433977677151E-2</v>
      </c>
      <c r="I3408" s="100">
        <v>-4.3248298480559458E-2</v>
      </c>
    </row>
    <row r="3409" spans="1:9">
      <c r="A3409" s="90">
        <v>3393</v>
      </c>
      <c r="B3409" s="110">
        <v>1.1330798870735932</v>
      </c>
      <c r="C3409" s="110">
        <v>1.0446479754913198</v>
      </c>
      <c r="G3409" s="90">
        <v>3393</v>
      </c>
      <c r="H3409" s="100">
        <v>-8.1259525786308046E-2</v>
      </c>
      <c r="I3409" s="100">
        <v>-4.324743271361655E-2</v>
      </c>
    </row>
    <row r="3410" spans="1:9">
      <c r="A3410" s="90">
        <v>3394</v>
      </c>
      <c r="B3410" s="110">
        <v>1.1136745631869518</v>
      </c>
      <c r="C3410" s="110">
        <v>1.0522372407618747</v>
      </c>
      <c r="G3410" s="90">
        <v>3394</v>
      </c>
      <c r="H3410" s="100">
        <v>-5.6746362318089161E-2</v>
      </c>
      <c r="I3410" s="100">
        <v>-4.3242728909614676E-2</v>
      </c>
    </row>
    <row r="3411" spans="1:9">
      <c r="A3411" s="90">
        <v>3395</v>
      </c>
      <c r="B3411" s="110">
        <v>1.1125777974621638</v>
      </c>
      <c r="C3411" s="110">
        <v>1.0699563888362842</v>
      </c>
      <c r="G3411" s="90">
        <v>3395</v>
      </c>
      <c r="H3411" s="100">
        <v>-3.9061773370066832E-2</v>
      </c>
      <c r="I3411" s="100">
        <v>-4.3231659744651763E-2</v>
      </c>
    </row>
    <row r="3412" spans="1:9">
      <c r="A3412" s="90">
        <v>3396</v>
      </c>
      <c r="B3412" s="110">
        <v>1.1151835038935916</v>
      </c>
      <c r="C3412" s="110">
        <v>1.0626573990760462</v>
      </c>
      <c r="G3412" s="90">
        <v>3396</v>
      </c>
      <c r="H3412" s="100">
        <v>-4.8246217702125456E-2</v>
      </c>
      <c r="I3412" s="100">
        <v>-4.3228109895083557E-2</v>
      </c>
    </row>
    <row r="3413" spans="1:9">
      <c r="A3413" s="90">
        <v>3397</v>
      </c>
      <c r="B3413" s="110">
        <v>1.0905474647966422</v>
      </c>
      <c r="C3413" s="110">
        <v>1.053159519115795</v>
      </c>
      <c r="G3413" s="90">
        <v>3397</v>
      </c>
      <c r="H3413" s="100">
        <v>-3.4885119614573863E-2</v>
      </c>
      <c r="I3413" s="100">
        <v>-4.3207890301531916E-2</v>
      </c>
    </row>
    <row r="3414" spans="1:9">
      <c r="A3414" s="90">
        <v>3398</v>
      </c>
      <c r="B3414" s="110">
        <v>1.0737133209688849</v>
      </c>
      <c r="C3414" s="110">
        <v>1.0725044304814586</v>
      </c>
      <c r="G3414" s="90">
        <v>3398</v>
      </c>
      <c r="H3414" s="100">
        <v>-1.1265311867417267E-3</v>
      </c>
      <c r="I3414" s="100">
        <v>-4.3207355296186377E-2</v>
      </c>
    </row>
    <row r="3415" spans="1:9">
      <c r="A3415" s="90">
        <v>3399</v>
      </c>
      <c r="B3415" s="110">
        <v>1.0967019476706179</v>
      </c>
      <c r="C3415" s="110">
        <v>1.0673393242643581</v>
      </c>
      <c r="G3415" s="90">
        <v>3399</v>
      </c>
      <c r="H3415" s="100">
        <v>-2.7138507839536623E-2</v>
      </c>
      <c r="I3415" s="100">
        <v>-4.3204986975592975E-2</v>
      </c>
    </row>
    <row r="3416" spans="1:9">
      <c r="A3416" s="90">
        <v>3400</v>
      </c>
      <c r="B3416" s="110">
        <v>1.1094664636703975</v>
      </c>
      <c r="C3416" s="110">
        <v>1.0590345524171512</v>
      </c>
      <c r="G3416" s="90">
        <v>3400</v>
      </c>
      <c r="H3416" s="100">
        <v>-4.65215429210495E-2</v>
      </c>
      <c r="I3416" s="100">
        <v>-4.3177400142815556E-2</v>
      </c>
    </row>
    <row r="3417" spans="1:9">
      <c r="A3417" s="90">
        <v>3401</v>
      </c>
      <c r="B3417" s="110">
        <v>1.1056646602212643</v>
      </c>
      <c r="C3417" s="110">
        <v>1.0572681286443273</v>
      </c>
      <c r="G3417" s="90">
        <v>3401</v>
      </c>
      <c r="H3417" s="100">
        <v>-4.4758312399111516E-2</v>
      </c>
      <c r="I3417" s="100">
        <v>-4.3173862888338042E-2</v>
      </c>
    </row>
    <row r="3418" spans="1:9">
      <c r="A3418" s="90">
        <v>3402</v>
      </c>
      <c r="B3418" s="110">
        <v>1.1121250953623552</v>
      </c>
      <c r="C3418" s="110">
        <v>1.0641702154697803</v>
      </c>
      <c r="G3418" s="90">
        <v>3402</v>
      </c>
      <c r="H3418" s="100">
        <v>-4.4077330260877408E-2</v>
      </c>
      <c r="I3418" s="100">
        <v>-4.3160976743275112E-2</v>
      </c>
    </row>
    <row r="3419" spans="1:9">
      <c r="A3419" s="90">
        <v>3403</v>
      </c>
      <c r="B3419" s="110">
        <v>1.1096148136447157</v>
      </c>
      <c r="C3419" s="110">
        <v>1.0533908781086565</v>
      </c>
      <c r="G3419" s="90">
        <v>3403</v>
      </c>
      <c r="H3419" s="100">
        <v>-5.1998571811907549E-2</v>
      </c>
      <c r="I3419" s="100">
        <v>-4.3158608113251243E-2</v>
      </c>
    </row>
    <row r="3420" spans="1:9">
      <c r="A3420" s="90">
        <v>3404</v>
      </c>
      <c r="B3420" s="110">
        <v>1.0891411380359792</v>
      </c>
      <c r="C3420" s="110">
        <v>1.0587352346448264</v>
      </c>
      <c r="G3420" s="90">
        <v>3404</v>
      </c>
      <c r="H3420" s="100">
        <v>-2.831441803111779E-2</v>
      </c>
      <c r="I3420" s="100">
        <v>-4.3157718951587182E-2</v>
      </c>
    </row>
    <row r="3421" spans="1:9">
      <c r="A3421" s="90">
        <v>3405</v>
      </c>
      <c r="B3421" s="110">
        <v>1.0950995172862152</v>
      </c>
      <c r="C3421" s="110">
        <v>1.0323594960048728</v>
      </c>
      <c r="G3421" s="90">
        <v>3405</v>
      </c>
      <c r="H3421" s="100">
        <v>-5.8998287263297075E-2</v>
      </c>
      <c r="I3421" s="100">
        <v>-4.3145737187896237E-2</v>
      </c>
    </row>
    <row r="3422" spans="1:9">
      <c r="A3422" s="90">
        <v>3406</v>
      </c>
      <c r="B3422" s="110">
        <v>1.1089551513675027</v>
      </c>
      <c r="C3422" s="110">
        <v>1.0502677640712315</v>
      </c>
      <c r="G3422" s="90">
        <v>3406</v>
      </c>
      <c r="H3422" s="100">
        <v>-5.437312188387243E-2</v>
      </c>
      <c r="I3422" s="100">
        <v>-4.3142595869632296E-2</v>
      </c>
    </row>
    <row r="3423" spans="1:9">
      <c r="A3423" s="90">
        <v>3407</v>
      </c>
      <c r="B3423" s="110">
        <v>1.0993344497516979</v>
      </c>
      <c r="C3423" s="110">
        <v>1.0610606188568479</v>
      </c>
      <c r="G3423" s="90">
        <v>3407</v>
      </c>
      <c r="H3423" s="100">
        <v>-3.543595930918713E-2</v>
      </c>
      <c r="I3423" s="100">
        <v>-4.3141208571175926E-2</v>
      </c>
    </row>
    <row r="3424" spans="1:9">
      <c r="A3424" s="90">
        <v>3408</v>
      </c>
      <c r="B3424" s="110">
        <v>1.1246816548312493</v>
      </c>
      <c r="C3424" s="110">
        <v>1.0543205946231624</v>
      </c>
      <c r="G3424" s="90">
        <v>3408</v>
      </c>
      <c r="H3424" s="100">
        <v>-6.4603448787792464E-2</v>
      </c>
      <c r="I3424" s="100">
        <v>-4.3118667012209858E-2</v>
      </c>
    </row>
    <row r="3425" spans="1:9">
      <c r="A3425" s="90">
        <v>3409</v>
      </c>
      <c r="B3425" s="110">
        <v>1.1093698693440195</v>
      </c>
      <c r="C3425" s="110">
        <v>1.0501336765547595</v>
      </c>
      <c r="G3425" s="90">
        <v>3409</v>
      </c>
      <c r="H3425" s="100">
        <v>-5.4874701783683907E-2</v>
      </c>
      <c r="I3425" s="100">
        <v>-4.3110730118935868E-2</v>
      </c>
    </row>
    <row r="3426" spans="1:9">
      <c r="A3426" s="90">
        <v>3410</v>
      </c>
      <c r="B3426" s="110">
        <v>1.126328664114012</v>
      </c>
      <c r="C3426" s="110">
        <v>1.064827955357724</v>
      </c>
      <c r="G3426" s="90">
        <v>3410</v>
      </c>
      <c r="H3426" s="100">
        <v>-5.6150131704805588E-2</v>
      </c>
      <c r="I3426" s="100">
        <v>-4.3080638037230772E-2</v>
      </c>
    </row>
    <row r="3427" spans="1:9">
      <c r="A3427" s="90">
        <v>3411</v>
      </c>
      <c r="B3427" s="110">
        <v>1.1069627705316054</v>
      </c>
      <c r="C3427" s="110">
        <v>1.0593937340533706</v>
      </c>
      <c r="G3427" s="90">
        <v>3411</v>
      </c>
      <c r="H3427" s="100">
        <v>-4.3923226712378367E-2</v>
      </c>
      <c r="I3427" s="100">
        <v>-4.3078529087089264E-2</v>
      </c>
    </row>
    <row r="3428" spans="1:9">
      <c r="A3428" s="90">
        <v>3412</v>
      </c>
      <c r="B3428" s="110">
        <v>1.1114269284544926</v>
      </c>
      <c r="C3428" s="110">
        <v>1.0405134284702078</v>
      </c>
      <c r="G3428" s="90">
        <v>3412</v>
      </c>
      <c r="H3428" s="100">
        <v>-6.5930438325428942E-2</v>
      </c>
      <c r="I3428" s="100">
        <v>-4.3073551167482522E-2</v>
      </c>
    </row>
    <row r="3429" spans="1:9">
      <c r="A3429" s="90">
        <v>3413</v>
      </c>
      <c r="B3429" s="110">
        <v>1.12360718170473</v>
      </c>
      <c r="C3429" s="110">
        <v>1.0540265023046727</v>
      </c>
      <c r="G3429" s="90">
        <v>3413</v>
      </c>
      <c r="H3429" s="100">
        <v>-6.3926613614527866E-2</v>
      </c>
      <c r="I3429" s="100">
        <v>-4.30467743423011E-2</v>
      </c>
    </row>
    <row r="3430" spans="1:9">
      <c r="A3430" s="90">
        <v>3414</v>
      </c>
      <c r="B3430" s="110">
        <v>1.0832651873625074</v>
      </c>
      <c r="C3430" s="110">
        <v>1.0517978860761656</v>
      </c>
      <c r="G3430" s="90">
        <v>3414</v>
      </c>
      <c r="H3430" s="100">
        <v>-2.9478829366238208E-2</v>
      </c>
      <c r="I3430" s="100">
        <v>-4.303379449396498E-2</v>
      </c>
    </row>
    <row r="3431" spans="1:9">
      <c r="A3431" s="90">
        <v>3415</v>
      </c>
      <c r="B3431" s="110">
        <v>1.0929785904311129</v>
      </c>
      <c r="C3431" s="110">
        <v>1.0513192072781867</v>
      </c>
      <c r="G3431" s="90">
        <v>3415</v>
      </c>
      <c r="H3431" s="100">
        <v>-3.8860857649261067E-2</v>
      </c>
      <c r="I3431" s="100">
        <v>-4.3023262088458518E-2</v>
      </c>
    </row>
    <row r="3432" spans="1:9">
      <c r="A3432" s="90">
        <v>3416</v>
      </c>
      <c r="B3432" s="110">
        <v>1.1260489567720833</v>
      </c>
      <c r="C3432" s="110">
        <v>1.0637082435583824</v>
      </c>
      <c r="G3432" s="90">
        <v>3416</v>
      </c>
      <c r="H3432" s="100">
        <v>-5.6953861119718875E-2</v>
      </c>
      <c r="I3432" s="100">
        <v>-4.3022208831797276E-2</v>
      </c>
    </row>
    <row r="3433" spans="1:9">
      <c r="A3433" s="90">
        <v>3417</v>
      </c>
      <c r="B3433" s="110">
        <v>1.1062719531993592</v>
      </c>
      <c r="C3433" s="110">
        <v>1.0616824781552903</v>
      </c>
      <c r="G3433" s="90">
        <v>3417</v>
      </c>
      <c r="H3433" s="100">
        <v>-4.1140868516062287E-2</v>
      </c>
      <c r="I3433" s="100">
        <v>-4.3020076092864963E-2</v>
      </c>
    </row>
    <row r="3434" spans="1:9">
      <c r="A3434" s="90">
        <v>3418</v>
      </c>
      <c r="B3434" s="110">
        <v>1.115824074263055</v>
      </c>
      <c r="C3434" s="110">
        <v>1.0650540994560367</v>
      </c>
      <c r="G3434" s="90">
        <v>3418</v>
      </c>
      <c r="H3434" s="100">
        <v>-4.6567616500930047E-2</v>
      </c>
      <c r="I3434" s="100">
        <v>-4.3014216068097494E-2</v>
      </c>
    </row>
    <row r="3435" spans="1:9">
      <c r="A3435" s="90">
        <v>3419</v>
      </c>
      <c r="B3435" s="110">
        <v>1.0968245800570755</v>
      </c>
      <c r="C3435" s="110">
        <v>1.073011697913014</v>
      </c>
      <c r="G3435" s="90">
        <v>3419</v>
      </c>
      <c r="H3435" s="100">
        <v>-2.194989406446184E-2</v>
      </c>
      <c r="I3435" s="100">
        <v>-4.2983758876967364E-2</v>
      </c>
    </row>
    <row r="3436" spans="1:9">
      <c r="A3436" s="90">
        <v>3420</v>
      </c>
      <c r="B3436" s="110">
        <v>1.0993180159870413</v>
      </c>
      <c r="C3436" s="110">
        <v>1.0481542337053034</v>
      </c>
      <c r="G3436" s="90">
        <v>3420</v>
      </c>
      <c r="H3436" s="100">
        <v>-4.7659257430934118E-2</v>
      </c>
      <c r="I3436" s="100">
        <v>-4.2974417200102748E-2</v>
      </c>
    </row>
    <row r="3437" spans="1:9">
      <c r="A3437" s="90">
        <v>3421</v>
      </c>
      <c r="B3437" s="110">
        <v>1.1078747830733175</v>
      </c>
      <c r="C3437" s="110">
        <v>1.0513485456339287</v>
      </c>
      <c r="G3437" s="90">
        <v>3421</v>
      </c>
      <c r="H3437" s="100">
        <v>-5.2369900972736506E-2</v>
      </c>
      <c r="I3437" s="100">
        <v>-4.2960274496027621E-2</v>
      </c>
    </row>
    <row r="3438" spans="1:9">
      <c r="A3438" s="90">
        <v>3422</v>
      </c>
      <c r="B3438" s="110">
        <v>1.0858421111381726</v>
      </c>
      <c r="C3438" s="110">
        <v>1.0590293097423187</v>
      </c>
      <c r="G3438" s="90">
        <v>3422</v>
      </c>
      <c r="H3438" s="100">
        <v>-2.5003082203156279E-2</v>
      </c>
      <c r="I3438" s="100">
        <v>-4.2944275965751101E-2</v>
      </c>
    </row>
    <row r="3439" spans="1:9">
      <c r="A3439" s="90">
        <v>3423</v>
      </c>
      <c r="B3439" s="110">
        <v>1.1249102357793617</v>
      </c>
      <c r="C3439" s="110">
        <v>1.0435173910897519</v>
      </c>
      <c r="G3439" s="90">
        <v>3423</v>
      </c>
      <c r="H3439" s="100">
        <v>-7.5106128544571632E-2</v>
      </c>
      <c r="I3439" s="100">
        <v>-4.2929163476437437E-2</v>
      </c>
    </row>
    <row r="3440" spans="1:9">
      <c r="A3440" s="90">
        <v>3424</v>
      </c>
      <c r="B3440" s="110">
        <v>1.1166031071821889</v>
      </c>
      <c r="C3440" s="110">
        <v>1.0559927871634733</v>
      </c>
      <c r="G3440" s="90">
        <v>3424</v>
      </c>
      <c r="H3440" s="100">
        <v>-5.5809781684474723E-2</v>
      </c>
      <c r="I3440" s="100">
        <v>-4.2908385558720855E-2</v>
      </c>
    </row>
    <row r="3441" spans="1:9">
      <c r="A3441" s="90">
        <v>3425</v>
      </c>
      <c r="B3441" s="110">
        <v>1.1033664467178033</v>
      </c>
      <c r="C3441" s="110">
        <v>1.0558926757352118</v>
      </c>
      <c r="G3441" s="90">
        <v>3425</v>
      </c>
      <c r="H3441" s="100">
        <v>-4.3979365108846237E-2</v>
      </c>
      <c r="I3441" s="100">
        <v>-4.2901731958657791E-2</v>
      </c>
    </row>
    <row r="3442" spans="1:9">
      <c r="A3442" s="90">
        <v>3426</v>
      </c>
      <c r="B3442" s="110">
        <v>1.1243812475874966</v>
      </c>
      <c r="C3442" s="110">
        <v>1.0581529320493779</v>
      </c>
      <c r="G3442" s="90">
        <v>3426</v>
      </c>
      <c r="H3442" s="100">
        <v>-6.0708010964429043E-2</v>
      </c>
      <c r="I3442" s="100">
        <v>-4.2882337559472697E-2</v>
      </c>
    </row>
    <row r="3443" spans="1:9">
      <c r="A3443" s="90">
        <v>3427</v>
      </c>
      <c r="B3443" s="110">
        <v>1.1149203133063286</v>
      </c>
      <c r="C3443" s="110">
        <v>1.0485729981449314</v>
      </c>
      <c r="G3443" s="90">
        <v>3427</v>
      </c>
      <c r="H3443" s="100">
        <v>-6.1352744032976303E-2</v>
      </c>
      <c r="I3443" s="100">
        <v>-4.2881212510562157E-2</v>
      </c>
    </row>
    <row r="3444" spans="1:9">
      <c r="A3444" s="90">
        <v>3428</v>
      </c>
      <c r="B3444" s="110">
        <v>1.0903317618832247</v>
      </c>
      <c r="C3444" s="110">
        <v>1.0650250280642903</v>
      </c>
      <c r="G3444" s="90">
        <v>3428</v>
      </c>
      <c r="H3444" s="100">
        <v>-2.3483719215397013E-2</v>
      </c>
      <c r="I3444" s="100">
        <v>-4.2869695454488994E-2</v>
      </c>
    </row>
    <row r="3445" spans="1:9">
      <c r="A3445" s="90">
        <v>3429</v>
      </c>
      <c r="B3445" s="110">
        <v>1.1361663433137155</v>
      </c>
      <c r="C3445" s="110">
        <v>1.0635610655763474</v>
      </c>
      <c r="G3445" s="90">
        <v>3429</v>
      </c>
      <c r="H3445" s="100">
        <v>-6.6036965101109693E-2</v>
      </c>
      <c r="I3445" s="100">
        <v>-4.2863159240358675E-2</v>
      </c>
    </row>
    <row r="3446" spans="1:9">
      <c r="A3446" s="90">
        <v>3430</v>
      </c>
      <c r="B3446" s="110">
        <v>1.1131414766115963</v>
      </c>
      <c r="C3446" s="110">
        <v>1.061140395873696</v>
      </c>
      <c r="G3446" s="90">
        <v>3430</v>
      </c>
      <c r="H3446" s="100">
        <v>-4.7842002092656641E-2</v>
      </c>
      <c r="I3446" s="100">
        <v>-4.2845349308953312E-2</v>
      </c>
    </row>
    <row r="3447" spans="1:9">
      <c r="A3447" s="90">
        <v>3431</v>
      </c>
      <c r="B3447" s="110">
        <v>1.1072792172990291</v>
      </c>
      <c r="C3447" s="110">
        <v>1.0551583280864918</v>
      </c>
      <c r="G3447" s="90">
        <v>3431</v>
      </c>
      <c r="H3447" s="100">
        <v>-4.8215021054221097E-2</v>
      </c>
      <c r="I3447" s="100">
        <v>-4.2844241230111296E-2</v>
      </c>
    </row>
    <row r="3448" spans="1:9">
      <c r="A3448" s="90">
        <v>3432</v>
      </c>
      <c r="B3448" s="110">
        <v>1.1029177101794372</v>
      </c>
      <c r="C3448" s="110">
        <v>1.0620769603283784</v>
      </c>
      <c r="G3448" s="90">
        <v>3432</v>
      </c>
      <c r="H3448" s="100">
        <v>-3.7732744483249953E-2</v>
      </c>
      <c r="I3448" s="100">
        <v>-4.283575134042119E-2</v>
      </c>
    </row>
    <row r="3449" spans="1:9">
      <c r="A3449" s="90">
        <v>3433</v>
      </c>
      <c r="B3449" s="110">
        <v>1.1267563456482075</v>
      </c>
      <c r="C3449" s="110">
        <v>1.0492722943148962</v>
      </c>
      <c r="G3449" s="90">
        <v>3433</v>
      </c>
      <c r="H3449" s="100">
        <v>-7.1246143524618805E-2</v>
      </c>
      <c r="I3449" s="100">
        <v>-4.283099544610805E-2</v>
      </c>
    </row>
    <row r="3450" spans="1:9">
      <c r="A3450" s="90">
        <v>3434</v>
      </c>
      <c r="B3450" s="110">
        <v>1.1145798294364515</v>
      </c>
      <c r="C3450" s="110">
        <v>1.0373914032656846</v>
      </c>
      <c r="G3450" s="90">
        <v>3434</v>
      </c>
      <c r="H3450" s="100">
        <v>-7.1768203212825066E-2</v>
      </c>
      <c r="I3450" s="100">
        <v>-4.2827755255213401E-2</v>
      </c>
    </row>
    <row r="3451" spans="1:9">
      <c r="A3451" s="90">
        <v>3435</v>
      </c>
      <c r="B3451" s="110">
        <v>1.0799738001978898</v>
      </c>
      <c r="C3451" s="110">
        <v>1.0747317771465619</v>
      </c>
      <c r="G3451" s="90">
        <v>3435</v>
      </c>
      <c r="H3451" s="100">
        <v>-4.8656609500300537E-3</v>
      </c>
      <c r="I3451" s="100">
        <v>-4.2805596498829694E-2</v>
      </c>
    </row>
    <row r="3452" spans="1:9">
      <c r="A3452" s="90">
        <v>3436</v>
      </c>
      <c r="B3452" s="110">
        <v>1.1352196243316082</v>
      </c>
      <c r="C3452" s="110">
        <v>1.0553648632359409</v>
      </c>
      <c r="G3452" s="90">
        <v>3436</v>
      </c>
      <c r="H3452" s="100">
        <v>-7.2939584759798975E-2</v>
      </c>
      <c r="I3452" s="100">
        <v>-4.2750148438563125E-2</v>
      </c>
    </row>
    <row r="3453" spans="1:9">
      <c r="A3453" s="90">
        <v>3437</v>
      </c>
      <c r="B3453" s="110">
        <v>1.0965546765082759</v>
      </c>
      <c r="C3453" s="110">
        <v>1.0442814676711887</v>
      </c>
      <c r="G3453" s="90">
        <v>3437</v>
      </c>
      <c r="H3453" s="100">
        <v>-4.8844094036672128E-2</v>
      </c>
      <c r="I3453" s="100">
        <v>-4.274360597261094E-2</v>
      </c>
    </row>
    <row r="3454" spans="1:9">
      <c r="A3454" s="90">
        <v>3438</v>
      </c>
      <c r="B3454" s="110">
        <v>1.1084796058579143</v>
      </c>
      <c r="C3454" s="110">
        <v>1.0695928866991942</v>
      </c>
      <c r="G3454" s="90">
        <v>3438</v>
      </c>
      <c r="H3454" s="100">
        <v>-3.5711255589232688E-2</v>
      </c>
      <c r="I3454" s="100">
        <v>-4.2732821286049959E-2</v>
      </c>
    </row>
    <row r="3455" spans="1:9">
      <c r="A3455" s="90">
        <v>3439</v>
      </c>
      <c r="B3455" s="110">
        <v>1.0944570725916989</v>
      </c>
      <c r="C3455" s="110">
        <v>1.0414091103328122</v>
      </c>
      <c r="G3455" s="90">
        <v>3439</v>
      </c>
      <c r="H3455" s="100">
        <v>-4.9683706322444864E-2</v>
      </c>
      <c r="I3455" s="100">
        <v>-4.2729400877296826E-2</v>
      </c>
    </row>
    <row r="3456" spans="1:9">
      <c r="A3456" s="90">
        <v>3440</v>
      </c>
      <c r="B3456" s="110">
        <v>1.0804994454355397</v>
      </c>
      <c r="C3456" s="110">
        <v>1.0539611509855338</v>
      </c>
      <c r="G3456" s="90">
        <v>3440</v>
      </c>
      <c r="H3456" s="100">
        <v>-2.4867792924302457E-2</v>
      </c>
      <c r="I3456" s="100">
        <v>-4.2717340452060548E-2</v>
      </c>
    </row>
    <row r="3457" spans="1:9">
      <c r="A3457" s="90">
        <v>3441</v>
      </c>
      <c r="B3457" s="110">
        <v>1.1084708740621376</v>
      </c>
      <c r="C3457" s="110">
        <v>1.0469131240599761</v>
      </c>
      <c r="G3457" s="90">
        <v>3441</v>
      </c>
      <c r="H3457" s="100">
        <v>-5.7135522257768669E-2</v>
      </c>
      <c r="I3457" s="100">
        <v>-4.2707996117490071E-2</v>
      </c>
    </row>
    <row r="3458" spans="1:9">
      <c r="A3458" s="90">
        <v>3442</v>
      </c>
      <c r="B3458" s="110">
        <v>1.1145861893232911</v>
      </c>
      <c r="C3458" s="110">
        <v>1.0299710553501156</v>
      </c>
      <c r="G3458" s="90">
        <v>3442</v>
      </c>
      <c r="H3458" s="100">
        <v>-7.8952505129443157E-2</v>
      </c>
      <c r="I3458" s="100">
        <v>-4.2698072825100741E-2</v>
      </c>
    </row>
    <row r="3459" spans="1:9">
      <c r="A3459" s="90">
        <v>3443</v>
      </c>
      <c r="B3459" s="110">
        <v>1.1260907880317574</v>
      </c>
      <c r="C3459" s="110">
        <v>1.045751266299259</v>
      </c>
      <c r="G3459" s="90">
        <v>3443</v>
      </c>
      <c r="H3459" s="100">
        <v>-7.4016613029801934E-2</v>
      </c>
      <c r="I3459" s="100">
        <v>-4.2678316693839896E-2</v>
      </c>
    </row>
    <row r="3460" spans="1:9">
      <c r="A3460" s="90">
        <v>3444</v>
      </c>
      <c r="B3460" s="110">
        <v>1.0935705527995496</v>
      </c>
      <c r="C3460" s="110">
        <v>1.058713071655877</v>
      </c>
      <c r="G3460" s="90">
        <v>3444</v>
      </c>
      <c r="H3460" s="100">
        <v>-3.2393992033328059E-2</v>
      </c>
      <c r="I3460" s="100">
        <v>-4.2675345790398701E-2</v>
      </c>
    </row>
    <row r="3461" spans="1:9">
      <c r="A3461" s="90">
        <v>3445</v>
      </c>
      <c r="B3461" s="110">
        <v>1.1094738370495536</v>
      </c>
      <c r="C3461" s="110">
        <v>1.0546461321262885</v>
      </c>
      <c r="G3461" s="90">
        <v>3445</v>
      </c>
      <c r="H3461" s="100">
        <v>-5.0680591388125265E-2</v>
      </c>
      <c r="I3461" s="100">
        <v>-4.2672690545210792E-2</v>
      </c>
    </row>
    <row r="3462" spans="1:9">
      <c r="A3462" s="90">
        <v>3446</v>
      </c>
      <c r="B3462" s="110">
        <v>1.1053565347292249</v>
      </c>
      <c r="C3462" s="110">
        <v>1.0483534762549058</v>
      </c>
      <c r="G3462" s="90">
        <v>3446</v>
      </c>
      <c r="H3462" s="100">
        <v>-5.2947123257741577E-2</v>
      </c>
      <c r="I3462" s="100">
        <v>-4.2656109838330965E-2</v>
      </c>
    </row>
    <row r="3463" spans="1:9">
      <c r="A3463" s="90">
        <v>3447</v>
      </c>
      <c r="B3463" s="110">
        <v>1.1199226956074662</v>
      </c>
      <c r="C3463" s="110">
        <v>1.058440765150257</v>
      </c>
      <c r="G3463" s="90">
        <v>3447</v>
      </c>
      <c r="H3463" s="100">
        <v>-5.6462812242931461E-2</v>
      </c>
      <c r="I3463" s="100">
        <v>-4.2653225769489274E-2</v>
      </c>
    </row>
    <row r="3464" spans="1:9">
      <c r="A3464" s="90">
        <v>3448</v>
      </c>
      <c r="B3464" s="110">
        <v>1.134930767899444</v>
      </c>
      <c r="C3464" s="110">
        <v>1.0509846420668794</v>
      </c>
      <c r="G3464" s="90">
        <v>3448</v>
      </c>
      <c r="H3464" s="100">
        <v>-7.68441725256028E-2</v>
      </c>
      <c r="I3464" s="100">
        <v>-4.2601470343717182E-2</v>
      </c>
    </row>
    <row r="3465" spans="1:9">
      <c r="A3465" s="90">
        <v>3449</v>
      </c>
      <c r="B3465" s="110">
        <v>1.1129149449834421</v>
      </c>
      <c r="C3465" s="110">
        <v>1.0568479053765212</v>
      </c>
      <c r="G3465" s="90">
        <v>3449</v>
      </c>
      <c r="H3465" s="100">
        <v>-5.169184597459886E-2</v>
      </c>
      <c r="I3465" s="100">
        <v>-4.2600084507559567E-2</v>
      </c>
    </row>
    <row r="3466" spans="1:9">
      <c r="A3466" s="90">
        <v>3450</v>
      </c>
      <c r="B3466" s="110">
        <v>1.1035712752894791</v>
      </c>
      <c r="C3466" s="110">
        <v>1.046850876442275</v>
      </c>
      <c r="G3466" s="90">
        <v>3450</v>
      </c>
      <c r="H3466" s="100">
        <v>-5.2765042464854077E-2</v>
      </c>
      <c r="I3466" s="100">
        <v>-4.2593704439389354E-2</v>
      </c>
    </row>
    <row r="3467" spans="1:9">
      <c r="A3467" s="90">
        <v>3451</v>
      </c>
      <c r="B3467" s="110">
        <v>1.1326498994888565</v>
      </c>
      <c r="C3467" s="110">
        <v>1.0451114248920716</v>
      </c>
      <c r="G3467" s="90">
        <v>3451</v>
      </c>
      <c r="H3467" s="100">
        <v>-8.0436424772064849E-2</v>
      </c>
      <c r="I3467" s="100">
        <v>-4.2538790916570798E-2</v>
      </c>
    </row>
    <row r="3468" spans="1:9">
      <c r="A3468" s="90">
        <v>3452</v>
      </c>
      <c r="B3468" s="110">
        <v>1.0964943073696061</v>
      </c>
      <c r="C3468" s="110">
        <v>1.049307797300445</v>
      </c>
      <c r="G3468" s="90">
        <v>3452</v>
      </c>
      <c r="H3468" s="100">
        <v>-4.3987391116430768E-2</v>
      </c>
      <c r="I3468" s="100">
        <v>-4.249687116372064E-2</v>
      </c>
    </row>
    <row r="3469" spans="1:9">
      <c r="A3469" s="90">
        <v>3453</v>
      </c>
      <c r="B3469" s="110">
        <v>1.1093347873187553</v>
      </c>
      <c r="C3469" s="110">
        <v>1.0592335839298976</v>
      </c>
      <c r="G3469" s="90">
        <v>3453</v>
      </c>
      <c r="H3469" s="100">
        <v>-4.6214932393557277E-2</v>
      </c>
      <c r="I3469" s="100">
        <v>-4.2459722250558156E-2</v>
      </c>
    </row>
    <row r="3470" spans="1:9">
      <c r="A3470" s="90">
        <v>3454</v>
      </c>
      <c r="B3470" s="110">
        <v>1.1041392975384969</v>
      </c>
      <c r="C3470" s="110">
        <v>1.0531063561413165</v>
      </c>
      <c r="G3470" s="90">
        <v>3454</v>
      </c>
      <c r="H3470" s="100">
        <v>-4.7321884167491467E-2</v>
      </c>
      <c r="I3470" s="100">
        <v>-4.2433939640241093E-2</v>
      </c>
    </row>
    <row r="3471" spans="1:9">
      <c r="A3471" s="90">
        <v>3455</v>
      </c>
      <c r="B3471" s="110">
        <v>1.1040882362422031</v>
      </c>
      <c r="C3471" s="110">
        <v>1.0764885065819352</v>
      </c>
      <c r="G3471" s="90">
        <v>3455</v>
      </c>
      <c r="H3471" s="100">
        <v>-2.5315507682317242E-2</v>
      </c>
      <c r="I3471" s="100">
        <v>-4.2428952597875984E-2</v>
      </c>
    </row>
    <row r="3472" spans="1:9">
      <c r="A3472" s="90">
        <v>3456</v>
      </c>
      <c r="B3472" s="110">
        <v>1.1293495750541203</v>
      </c>
      <c r="C3472" s="110">
        <v>1.045410289897714</v>
      </c>
      <c r="G3472" s="90">
        <v>3456</v>
      </c>
      <c r="H3472" s="100">
        <v>-7.7232439434643113E-2</v>
      </c>
      <c r="I3472" s="100">
        <v>-4.240916982921137E-2</v>
      </c>
    </row>
    <row r="3473" spans="1:9">
      <c r="A3473" s="90">
        <v>3457</v>
      </c>
      <c r="B3473" s="110">
        <v>1.1164146095895984</v>
      </c>
      <c r="C3473" s="110">
        <v>1.0448140849518186</v>
      </c>
      <c r="G3473" s="90">
        <v>3457</v>
      </c>
      <c r="H3473" s="100">
        <v>-6.6283348482015544E-2</v>
      </c>
      <c r="I3473" s="100">
        <v>-4.2407974948078235E-2</v>
      </c>
    </row>
    <row r="3474" spans="1:9">
      <c r="A3474" s="90">
        <v>3458</v>
      </c>
      <c r="B3474" s="110">
        <v>1.1315976756360766</v>
      </c>
      <c r="C3474" s="110">
        <v>1.0777717562891496</v>
      </c>
      <c r="G3474" s="90">
        <v>3458</v>
      </c>
      <c r="H3474" s="100">
        <v>-4.8734785183032904E-2</v>
      </c>
      <c r="I3474" s="100">
        <v>-4.2407974601333789E-2</v>
      </c>
    </row>
    <row r="3475" spans="1:9">
      <c r="A3475" s="90">
        <v>3459</v>
      </c>
      <c r="B3475" s="110">
        <v>1.1045849950705791</v>
      </c>
      <c r="C3475" s="110">
        <v>1.0651941721588414</v>
      </c>
      <c r="G3475" s="90">
        <v>3459</v>
      </c>
      <c r="H3475" s="100">
        <v>-3.6312590534947252E-2</v>
      </c>
      <c r="I3475" s="100">
        <v>-4.2400634094219125E-2</v>
      </c>
    </row>
    <row r="3476" spans="1:9">
      <c r="A3476" s="90">
        <v>3460</v>
      </c>
      <c r="B3476" s="110">
        <v>1.087165409546788</v>
      </c>
      <c r="C3476" s="110">
        <v>1.0746112309776179</v>
      </c>
      <c r="G3476" s="90">
        <v>3460</v>
      </c>
      <c r="H3476" s="100">
        <v>-1.1614816690634617E-2</v>
      </c>
      <c r="I3476" s="100">
        <v>-4.2394448979587288E-2</v>
      </c>
    </row>
    <row r="3477" spans="1:9">
      <c r="A3477" s="90">
        <v>3461</v>
      </c>
      <c r="B3477" s="110">
        <v>1.1139242418813833</v>
      </c>
      <c r="C3477" s="110">
        <v>1.0645164565824128</v>
      </c>
      <c r="G3477" s="90">
        <v>3461</v>
      </c>
      <c r="H3477" s="100">
        <v>-4.536846902022245E-2</v>
      </c>
      <c r="I3477" s="100">
        <v>-4.2388564602287397E-2</v>
      </c>
    </row>
    <row r="3478" spans="1:9">
      <c r="A3478" s="90">
        <v>3462</v>
      </c>
      <c r="B3478" s="110">
        <v>1.129547517110332</v>
      </c>
      <c r="C3478" s="110">
        <v>1.042411234681538</v>
      </c>
      <c r="G3478" s="90">
        <v>3462</v>
      </c>
      <c r="H3478" s="100">
        <v>-8.0280600718635756E-2</v>
      </c>
      <c r="I3478" s="100">
        <v>-4.2372202449266809E-2</v>
      </c>
    </row>
    <row r="3479" spans="1:9">
      <c r="A3479" s="90">
        <v>3463</v>
      </c>
      <c r="B3479" s="110">
        <v>1.1039136765310229</v>
      </c>
      <c r="C3479" s="110">
        <v>1.0552205272375592</v>
      </c>
      <c r="G3479" s="90">
        <v>3463</v>
      </c>
      <c r="H3479" s="100">
        <v>-4.5111977608683511E-2</v>
      </c>
      <c r="I3479" s="100">
        <v>-4.236326301296809E-2</v>
      </c>
    </row>
    <row r="3480" spans="1:9">
      <c r="A3480" s="90">
        <v>3464</v>
      </c>
      <c r="B3480" s="110">
        <v>1.1279298554695225</v>
      </c>
      <c r="C3480" s="110">
        <v>1.0590329478020173</v>
      </c>
      <c r="G3480" s="90">
        <v>3464</v>
      </c>
      <c r="H3480" s="100">
        <v>-6.3027787956360035E-2</v>
      </c>
      <c r="I3480" s="100">
        <v>-4.2330067871650764E-2</v>
      </c>
    </row>
    <row r="3481" spans="1:9">
      <c r="A3481" s="90">
        <v>3465</v>
      </c>
      <c r="B3481" s="110">
        <v>1.1338153396753345</v>
      </c>
      <c r="C3481" s="110">
        <v>1.080067946023527</v>
      </c>
      <c r="G3481" s="90">
        <v>3465</v>
      </c>
      <c r="H3481" s="100">
        <v>-4.856440011131119E-2</v>
      </c>
      <c r="I3481" s="100">
        <v>-4.229524800162502E-2</v>
      </c>
    </row>
    <row r="3482" spans="1:9">
      <c r="A3482" s="90">
        <v>3466</v>
      </c>
      <c r="B3482" s="110">
        <v>1.1341952516453282</v>
      </c>
      <c r="C3482" s="110">
        <v>1.0403161902396194</v>
      </c>
      <c r="G3482" s="90">
        <v>3466</v>
      </c>
      <c r="H3482" s="100">
        <v>-8.6398674043411477E-2</v>
      </c>
      <c r="I3482" s="100">
        <v>-4.2289950350109004E-2</v>
      </c>
    </row>
    <row r="3483" spans="1:9">
      <c r="A3483" s="90">
        <v>3467</v>
      </c>
      <c r="B3483" s="110">
        <v>1.1155507363160775</v>
      </c>
      <c r="C3483" s="110">
        <v>1.0491283908325588</v>
      </c>
      <c r="G3483" s="90">
        <v>3467</v>
      </c>
      <c r="H3483" s="100">
        <v>-6.1388501409288962E-2</v>
      </c>
      <c r="I3483" s="100">
        <v>-4.2277342258647266E-2</v>
      </c>
    </row>
    <row r="3484" spans="1:9">
      <c r="A3484" s="90">
        <v>3468</v>
      </c>
      <c r="B3484" s="110">
        <v>1.097942425042983</v>
      </c>
      <c r="C3484" s="110">
        <v>1.0407676166388826</v>
      </c>
      <c r="G3484" s="90">
        <v>3468</v>
      </c>
      <c r="H3484" s="100">
        <v>-5.3479371685274349E-2</v>
      </c>
      <c r="I3484" s="100">
        <v>-4.227432560696736E-2</v>
      </c>
    </row>
    <row r="3485" spans="1:9">
      <c r="A3485" s="90">
        <v>3469</v>
      </c>
      <c r="B3485" s="110">
        <v>1.146501424546988</v>
      </c>
      <c r="C3485" s="110">
        <v>1.0471127408546306</v>
      </c>
      <c r="G3485" s="90">
        <v>3469</v>
      </c>
      <c r="H3485" s="100">
        <v>-9.0678459842442022E-2</v>
      </c>
      <c r="I3485" s="100">
        <v>-4.225945895197309E-2</v>
      </c>
    </row>
    <row r="3486" spans="1:9">
      <c r="A3486" s="90">
        <v>3470</v>
      </c>
      <c r="B3486" s="110">
        <v>1.0908815425611842</v>
      </c>
      <c r="C3486" s="110">
        <v>1.0420179570977572</v>
      </c>
      <c r="G3486" s="90">
        <v>3470</v>
      </c>
      <c r="H3486" s="100">
        <v>-4.5826947536653569E-2</v>
      </c>
      <c r="I3486" s="100">
        <v>-4.2244464783584908E-2</v>
      </c>
    </row>
    <row r="3487" spans="1:9">
      <c r="A3487" s="90">
        <v>3471</v>
      </c>
      <c r="B3487" s="110">
        <v>1.0952633770605222</v>
      </c>
      <c r="C3487" s="110">
        <v>1.0613794817819555</v>
      </c>
      <c r="G3487" s="90">
        <v>3471</v>
      </c>
      <c r="H3487" s="100">
        <v>-3.1425401395188464E-2</v>
      </c>
      <c r="I3487" s="100">
        <v>-4.222653935697164E-2</v>
      </c>
    </row>
    <row r="3488" spans="1:9">
      <c r="A3488" s="90">
        <v>3472</v>
      </c>
      <c r="B3488" s="110">
        <v>1.0900311462927741</v>
      </c>
      <c r="C3488" s="110">
        <v>1.0714342639388783</v>
      </c>
      <c r="G3488" s="90">
        <v>3472</v>
      </c>
      <c r="H3488" s="100">
        <v>-1.7208085930876256E-2</v>
      </c>
      <c r="I3488" s="100">
        <v>-4.2214421847243028E-2</v>
      </c>
    </row>
    <row r="3489" spans="1:9">
      <c r="A3489" s="90">
        <v>3473</v>
      </c>
      <c r="B3489" s="110">
        <v>1.1243892564114339</v>
      </c>
      <c r="C3489" s="110">
        <v>1.0297346026225653</v>
      </c>
      <c r="G3489" s="90">
        <v>3473</v>
      </c>
      <c r="H3489" s="100">
        <v>-8.793890336923825E-2</v>
      </c>
      <c r="I3489" s="100">
        <v>-4.2213661720609877E-2</v>
      </c>
    </row>
    <row r="3490" spans="1:9">
      <c r="A3490" s="90">
        <v>3474</v>
      </c>
      <c r="B3490" s="110">
        <v>1.113919815014953</v>
      </c>
      <c r="C3490" s="110">
        <v>1.0601900217256899</v>
      </c>
      <c r="G3490" s="90">
        <v>3474</v>
      </c>
      <c r="H3490" s="100">
        <v>-4.9437001737458852E-2</v>
      </c>
      <c r="I3490" s="100">
        <v>-4.2209463701990774E-2</v>
      </c>
    </row>
    <row r="3491" spans="1:9">
      <c r="A3491" s="90">
        <v>3475</v>
      </c>
      <c r="B3491" s="110">
        <v>1.0940288714919153</v>
      </c>
      <c r="C3491" s="110">
        <v>1.0504615617162911</v>
      </c>
      <c r="G3491" s="90">
        <v>3475</v>
      </c>
      <c r="H3491" s="100">
        <v>-4.0637444243738809E-2</v>
      </c>
      <c r="I3491" s="100">
        <v>-4.2206529472223302E-2</v>
      </c>
    </row>
    <row r="3492" spans="1:9">
      <c r="A3492" s="90">
        <v>3476</v>
      </c>
      <c r="B3492" s="110">
        <v>1.1161359155639285</v>
      </c>
      <c r="C3492" s="110">
        <v>1.06682627460874</v>
      </c>
      <c r="G3492" s="90">
        <v>3476</v>
      </c>
      <c r="H3492" s="100">
        <v>-4.5184502293819595E-2</v>
      </c>
      <c r="I3492" s="100">
        <v>-4.2199213221550305E-2</v>
      </c>
    </row>
    <row r="3493" spans="1:9">
      <c r="A3493" s="90">
        <v>3477</v>
      </c>
      <c r="B3493" s="110">
        <v>1.0925015035688792</v>
      </c>
      <c r="C3493" s="110">
        <v>1.0611427910844744</v>
      </c>
      <c r="G3493" s="90">
        <v>3477</v>
      </c>
      <c r="H3493" s="100">
        <v>-2.9123592068048147E-2</v>
      </c>
      <c r="I3493" s="100">
        <v>-4.2195231940089652E-2</v>
      </c>
    </row>
    <row r="3494" spans="1:9">
      <c r="A3494" s="90">
        <v>3478</v>
      </c>
      <c r="B3494" s="110">
        <v>1.0907790190168853</v>
      </c>
      <c r="C3494" s="110">
        <v>1.0650760248814204</v>
      </c>
      <c r="G3494" s="90">
        <v>3478</v>
      </c>
      <c r="H3494" s="100">
        <v>-2.3845955834213371E-2</v>
      </c>
      <c r="I3494" s="100">
        <v>-4.2165677611103514E-2</v>
      </c>
    </row>
    <row r="3495" spans="1:9">
      <c r="A3495" s="90">
        <v>3479</v>
      </c>
      <c r="B3495" s="110">
        <v>1.1177235633974931</v>
      </c>
      <c r="C3495" s="110">
        <v>1.0600132719670461</v>
      </c>
      <c r="G3495" s="90">
        <v>3479</v>
      </c>
      <c r="H3495" s="100">
        <v>-5.3012655459224386E-2</v>
      </c>
      <c r="I3495" s="100">
        <v>-4.2158279031527676E-2</v>
      </c>
    </row>
    <row r="3496" spans="1:9">
      <c r="A3496" s="90">
        <v>3480</v>
      </c>
      <c r="B3496" s="110">
        <v>1.1071373704918965</v>
      </c>
      <c r="C3496" s="110">
        <v>1.0684033651584401</v>
      </c>
      <c r="G3496" s="90">
        <v>3480</v>
      </c>
      <c r="H3496" s="100">
        <v>-3.5612386646469582E-2</v>
      </c>
      <c r="I3496" s="100">
        <v>-4.2155339882794463E-2</v>
      </c>
    </row>
    <row r="3497" spans="1:9">
      <c r="A3497" s="90">
        <v>3481</v>
      </c>
      <c r="B3497" s="110">
        <v>1.127570345537686</v>
      </c>
      <c r="C3497" s="110">
        <v>1.0702727074753595</v>
      </c>
      <c r="G3497" s="90">
        <v>3481</v>
      </c>
      <c r="H3497" s="100">
        <v>-5.2151698369071152E-2</v>
      </c>
      <c r="I3497" s="100">
        <v>-4.2152972863547127E-2</v>
      </c>
    </row>
    <row r="3498" spans="1:9">
      <c r="A3498" s="90">
        <v>3482</v>
      </c>
      <c r="B3498" s="110">
        <v>1.1070492578777815</v>
      </c>
      <c r="C3498" s="110">
        <v>1.0279157879605143</v>
      </c>
      <c r="G3498" s="90">
        <v>3482</v>
      </c>
      <c r="H3498" s="100">
        <v>-7.4164904113310309E-2</v>
      </c>
      <c r="I3498" s="100">
        <v>-4.2149461206940859E-2</v>
      </c>
    </row>
    <row r="3499" spans="1:9">
      <c r="A3499" s="90">
        <v>3483</v>
      </c>
      <c r="B3499" s="110">
        <v>1.102274164785535</v>
      </c>
      <c r="C3499" s="110">
        <v>1.0534425903107292</v>
      </c>
      <c r="G3499" s="90">
        <v>3483</v>
      </c>
      <c r="H3499" s="100">
        <v>-4.5312009629468908E-2</v>
      </c>
      <c r="I3499" s="100">
        <v>-4.2145032621163245E-2</v>
      </c>
    </row>
    <row r="3500" spans="1:9">
      <c r="A3500" s="90">
        <v>3484</v>
      </c>
      <c r="B3500" s="110">
        <v>1.0735344576760879</v>
      </c>
      <c r="C3500" s="110">
        <v>1.039268556434632</v>
      </c>
      <c r="G3500" s="90">
        <v>3484</v>
      </c>
      <c r="H3500" s="100">
        <v>-3.2439281668807093E-2</v>
      </c>
      <c r="I3500" s="100">
        <v>-4.2138319783522886E-2</v>
      </c>
    </row>
    <row r="3501" spans="1:9">
      <c r="A3501" s="90">
        <v>3485</v>
      </c>
      <c r="B3501" s="110">
        <v>1.0879599117574388</v>
      </c>
      <c r="C3501" s="110">
        <v>1.0464293948083629</v>
      </c>
      <c r="G3501" s="90">
        <v>3485</v>
      </c>
      <c r="H3501" s="100">
        <v>-3.8920509248659224E-2</v>
      </c>
      <c r="I3501" s="100">
        <v>-4.2115482413912393E-2</v>
      </c>
    </row>
    <row r="3502" spans="1:9">
      <c r="A3502" s="90">
        <v>3486</v>
      </c>
      <c r="B3502" s="110">
        <v>1.0999414532421194</v>
      </c>
      <c r="C3502" s="110">
        <v>1.061529120170275</v>
      </c>
      <c r="G3502" s="90">
        <v>3486</v>
      </c>
      <c r="H3502" s="100">
        <v>-3.5546519239206834E-2</v>
      </c>
      <c r="I3502" s="100">
        <v>-4.2106821688255421E-2</v>
      </c>
    </row>
    <row r="3503" spans="1:9">
      <c r="A3503" s="90">
        <v>3487</v>
      </c>
      <c r="B3503" s="110">
        <v>1.1156768413000862</v>
      </c>
      <c r="C3503" s="110">
        <v>1.0471883182744677</v>
      </c>
      <c r="G3503" s="90">
        <v>3487</v>
      </c>
      <c r="H3503" s="100">
        <v>-6.335247294723341E-2</v>
      </c>
      <c r="I3503" s="100">
        <v>-4.2101762357297685E-2</v>
      </c>
    </row>
    <row r="3504" spans="1:9">
      <c r="A3504" s="90">
        <v>3488</v>
      </c>
      <c r="B3504" s="110">
        <v>1.1065727665181251</v>
      </c>
      <c r="C3504" s="110">
        <v>1.0544711387816337</v>
      </c>
      <c r="G3504" s="90">
        <v>3488</v>
      </c>
      <c r="H3504" s="100">
        <v>-4.8228290142858871E-2</v>
      </c>
      <c r="I3504" s="100">
        <v>-4.2100045835559465E-2</v>
      </c>
    </row>
    <row r="3505" spans="1:9">
      <c r="A3505" s="90">
        <v>3489</v>
      </c>
      <c r="B3505" s="110">
        <v>1.1153803410167904</v>
      </c>
      <c r="C3505" s="110">
        <v>1.0513566078505077</v>
      </c>
      <c r="G3505" s="90">
        <v>3489</v>
      </c>
      <c r="H3505" s="100">
        <v>-5.9114122043147026E-2</v>
      </c>
      <c r="I3505" s="100">
        <v>-4.2096322285394734E-2</v>
      </c>
    </row>
    <row r="3506" spans="1:9">
      <c r="A3506" s="90">
        <v>3490</v>
      </c>
      <c r="B3506" s="110">
        <v>1.1336373136005573</v>
      </c>
      <c r="C3506" s="110">
        <v>1.0620908032078491</v>
      </c>
      <c r="G3506" s="90">
        <v>3490</v>
      </c>
      <c r="H3506" s="100">
        <v>-6.5191903629258321E-2</v>
      </c>
      <c r="I3506" s="100">
        <v>-4.2065031912643977E-2</v>
      </c>
    </row>
    <row r="3507" spans="1:9">
      <c r="A3507" s="90">
        <v>3491</v>
      </c>
      <c r="B3507" s="110">
        <v>1.1334108265200018</v>
      </c>
      <c r="C3507" s="110">
        <v>1.0496474058026504</v>
      </c>
      <c r="G3507" s="90">
        <v>3491</v>
      </c>
      <c r="H3507" s="100">
        <v>-7.6777213180460241E-2</v>
      </c>
      <c r="I3507" s="100">
        <v>-4.205058560708929E-2</v>
      </c>
    </row>
    <row r="3508" spans="1:9">
      <c r="A3508" s="90">
        <v>3492</v>
      </c>
      <c r="B3508" s="110">
        <v>1.102213388895213</v>
      </c>
      <c r="C3508" s="110">
        <v>1.0361292388602732</v>
      </c>
      <c r="G3508" s="90">
        <v>3492</v>
      </c>
      <c r="H3508" s="100">
        <v>-6.1828445829741965E-2</v>
      </c>
      <c r="I3508" s="100">
        <v>-4.2045943160254021E-2</v>
      </c>
    </row>
    <row r="3509" spans="1:9">
      <c r="A3509" s="90">
        <v>3493</v>
      </c>
      <c r="B3509" s="110">
        <v>1.1135614285684172</v>
      </c>
      <c r="C3509" s="110">
        <v>1.0460442620751669</v>
      </c>
      <c r="G3509" s="90">
        <v>3493</v>
      </c>
      <c r="H3509" s="100">
        <v>-6.2547692989056033E-2</v>
      </c>
      <c r="I3509" s="100">
        <v>-4.2045471651082862E-2</v>
      </c>
    </row>
    <row r="3510" spans="1:9">
      <c r="A3510" s="90">
        <v>3494</v>
      </c>
      <c r="B3510" s="110">
        <v>1.1565240234933125</v>
      </c>
      <c r="C3510" s="110">
        <v>1.0595526912954698</v>
      </c>
      <c r="G3510" s="90">
        <v>3494</v>
      </c>
      <c r="H3510" s="100">
        <v>-8.7572145340017782E-2</v>
      </c>
      <c r="I3510" s="100">
        <v>-4.2044867499225126E-2</v>
      </c>
    </row>
    <row r="3511" spans="1:9">
      <c r="A3511" s="90">
        <v>3495</v>
      </c>
      <c r="B3511" s="110">
        <v>1.1173116335486986</v>
      </c>
      <c r="C3511" s="110">
        <v>1.0583600542701046</v>
      </c>
      <c r="G3511" s="90">
        <v>3495</v>
      </c>
      <c r="H3511" s="100">
        <v>-5.4204881227785752E-2</v>
      </c>
      <c r="I3511" s="100">
        <v>-4.2044802455047867E-2</v>
      </c>
    </row>
    <row r="3512" spans="1:9">
      <c r="A3512" s="90">
        <v>3496</v>
      </c>
      <c r="B3512" s="110">
        <v>1.11224198919826</v>
      </c>
      <c r="C3512" s="110">
        <v>1.0412554349833094</v>
      </c>
      <c r="G3512" s="90">
        <v>3496</v>
      </c>
      <c r="H3512" s="100">
        <v>-6.5950654181770013E-2</v>
      </c>
      <c r="I3512" s="100">
        <v>-4.2025629564147543E-2</v>
      </c>
    </row>
    <row r="3513" spans="1:9">
      <c r="A3513" s="90">
        <v>3497</v>
      </c>
      <c r="B3513" s="110">
        <v>1.0745581661308257</v>
      </c>
      <c r="C3513" s="110">
        <v>1.0759658312962461</v>
      </c>
      <c r="G3513" s="90">
        <v>3497</v>
      </c>
      <c r="H3513" s="100">
        <v>1.3091370923061774E-3</v>
      </c>
      <c r="I3513" s="100">
        <v>-4.2014166305673735E-2</v>
      </c>
    </row>
    <row r="3514" spans="1:9">
      <c r="A3514" s="90">
        <v>3498</v>
      </c>
      <c r="B3514" s="110">
        <v>1.1256386962083986</v>
      </c>
      <c r="C3514" s="110">
        <v>1.0809911494536839</v>
      </c>
      <c r="G3514" s="90">
        <v>3498</v>
      </c>
      <c r="H3514" s="100">
        <v>-4.0472253267559967E-2</v>
      </c>
      <c r="I3514" s="100">
        <v>-4.2013040807727178E-2</v>
      </c>
    </row>
    <row r="3515" spans="1:9">
      <c r="A3515" s="90">
        <v>3499</v>
      </c>
      <c r="B3515" s="110">
        <v>1.1222038314395097</v>
      </c>
      <c r="C3515" s="110">
        <v>1.0545687206102929</v>
      </c>
      <c r="G3515" s="90">
        <v>3499</v>
      </c>
      <c r="H3515" s="100">
        <v>-6.2162570832269635E-2</v>
      </c>
      <c r="I3515" s="100">
        <v>-4.1970015917858067E-2</v>
      </c>
    </row>
    <row r="3516" spans="1:9">
      <c r="A3516" s="90">
        <v>3500</v>
      </c>
      <c r="B3516" s="110">
        <v>1.1123719328461035</v>
      </c>
      <c r="C3516" s="110">
        <v>1.059225355824458</v>
      </c>
      <c r="G3516" s="90">
        <v>3500</v>
      </c>
      <c r="H3516" s="100">
        <v>-4.8956767318908988E-2</v>
      </c>
      <c r="I3516" s="100">
        <v>-4.1967646330743104E-2</v>
      </c>
    </row>
    <row r="3517" spans="1:9">
      <c r="A3517" s="90">
        <v>3501</v>
      </c>
      <c r="B3517" s="110">
        <v>1.1042528609730184</v>
      </c>
      <c r="C3517" s="110">
        <v>1.0537046460772768</v>
      </c>
      <c r="G3517" s="90">
        <v>3501</v>
      </c>
      <c r="H3517" s="100">
        <v>-4.6856773453908873E-2</v>
      </c>
      <c r="I3517" s="100">
        <v>-4.1938372876757696E-2</v>
      </c>
    </row>
    <row r="3518" spans="1:9">
      <c r="A3518" s="90">
        <v>3502</v>
      </c>
      <c r="B3518" s="110">
        <v>1.0928291329740158</v>
      </c>
      <c r="C3518" s="110">
        <v>1.0507268253063311</v>
      </c>
      <c r="G3518" s="90">
        <v>3502</v>
      </c>
      <c r="H3518" s="100">
        <v>-3.9287729219378335E-2</v>
      </c>
      <c r="I3518" s="100">
        <v>-4.1918648675996463E-2</v>
      </c>
    </row>
    <row r="3519" spans="1:9">
      <c r="A3519" s="90">
        <v>3503</v>
      </c>
      <c r="B3519" s="110">
        <v>1.1070390154250722</v>
      </c>
      <c r="C3519" s="110">
        <v>1.0600426074031777</v>
      </c>
      <c r="G3519" s="90">
        <v>3503</v>
      </c>
      <c r="H3519" s="100">
        <v>-4.3379794412332418E-2</v>
      </c>
      <c r="I3519" s="100">
        <v>-4.1906156380047632E-2</v>
      </c>
    </row>
    <row r="3520" spans="1:9">
      <c r="A3520" s="90">
        <v>3504</v>
      </c>
      <c r="B3520" s="110">
        <v>1.0687195802650866</v>
      </c>
      <c r="C3520" s="110">
        <v>1.049585358963222</v>
      </c>
      <c r="G3520" s="90">
        <v>3504</v>
      </c>
      <c r="H3520" s="100">
        <v>-1.8066088002014646E-2</v>
      </c>
      <c r="I3520" s="100">
        <v>-4.1882460271352707E-2</v>
      </c>
    </row>
    <row r="3521" spans="1:9">
      <c r="A3521" s="90">
        <v>3505</v>
      </c>
      <c r="B3521" s="110">
        <v>1.1532921968523391</v>
      </c>
      <c r="C3521" s="110">
        <v>1.0526459638027177</v>
      </c>
      <c r="G3521" s="90">
        <v>3505</v>
      </c>
      <c r="H3521" s="100">
        <v>-9.1313672389595035E-2</v>
      </c>
      <c r="I3521" s="100">
        <v>-4.1847893373549855E-2</v>
      </c>
    </row>
    <row r="3522" spans="1:9">
      <c r="A3522" s="90">
        <v>3506</v>
      </c>
      <c r="B3522" s="110">
        <v>1.129877863534871</v>
      </c>
      <c r="C3522" s="110">
        <v>1.0496980424424178</v>
      </c>
      <c r="G3522" s="90">
        <v>3506</v>
      </c>
      <c r="H3522" s="100">
        <v>-7.3606997330733476E-2</v>
      </c>
      <c r="I3522" s="100">
        <v>-4.1835947699611659E-2</v>
      </c>
    </row>
    <row r="3523" spans="1:9">
      <c r="A3523" s="90">
        <v>3507</v>
      </c>
      <c r="B3523" s="110">
        <v>1.1441789086663028</v>
      </c>
      <c r="C3523" s="110">
        <v>1.0501987704555833</v>
      </c>
      <c r="G3523" s="90">
        <v>3507</v>
      </c>
      <c r="H3523" s="100">
        <v>-8.5707817975231609E-2</v>
      </c>
      <c r="I3523" s="100">
        <v>-4.1824842689591434E-2</v>
      </c>
    </row>
    <row r="3524" spans="1:9">
      <c r="A3524" s="90">
        <v>3508</v>
      </c>
      <c r="B3524" s="110">
        <v>1.0908470790747802</v>
      </c>
      <c r="C3524" s="110">
        <v>1.064643852967861</v>
      </c>
      <c r="G3524" s="90">
        <v>3508</v>
      </c>
      <c r="H3524" s="100">
        <v>-2.4314198317526944E-2</v>
      </c>
      <c r="I3524" s="100">
        <v>-4.1818940225138587E-2</v>
      </c>
    </row>
    <row r="3525" spans="1:9">
      <c r="A3525" s="90">
        <v>3509</v>
      </c>
      <c r="B3525" s="110">
        <v>1.108730269643851</v>
      </c>
      <c r="C3525" s="110">
        <v>1.0652663456063531</v>
      </c>
      <c r="G3525" s="90">
        <v>3509</v>
      </c>
      <c r="H3525" s="100">
        <v>-3.9990601682742336E-2</v>
      </c>
      <c r="I3525" s="100">
        <v>-4.1812736040368746E-2</v>
      </c>
    </row>
    <row r="3526" spans="1:9">
      <c r="A3526" s="90">
        <v>3510</v>
      </c>
      <c r="B3526" s="110">
        <v>1.1085273569606995</v>
      </c>
      <c r="C3526" s="110">
        <v>1.0457727332638438</v>
      </c>
      <c r="G3526" s="90">
        <v>3510</v>
      </c>
      <c r="H3526" s="100">
        <v>-5.8276359209188111E-2</v>
      </c>
      <c r="I3526" s="100">
        <v>-4.1810439023694246E-2</v>
      </c>
    </row>
    <row r="3527" spans="1:9">
      <c r="A3527" s="90">
        <v>3511</v>
      </c>
      <c r="B3527" s="110">
        <v>1.1206434583637104</v>
      </c>
      <c r="C3527" s="110">
        <v>1.0685540387759052</v>
      </c>
      <c r="G3527" s="90">
        <v>3511</v>
      </c>
      <c r="H3527" s="100">
        <v>-4.7596667805975587E-2</v>
      </c>
      <c r="I3527" s="100">
        <v>-4.1796458045494214E-2</v>
      </c>
    </row>
    <row r="3528" spans="1:9">
      <c r="A3528" s="90">
        <v>3512</v>
      </c>
      <c r="B3528" s="110">
        <v>1.1125363607943441</v>
      </c>
      <c r="C3528" s="110">
        <v>1.0439256592589259</v>
      </c>
      <c r="G3528" s="90">
        <v>3512</v>
      </c>
      <c r="H3528" s="100">
        <v>-6.3654139065564913E-2</v>
      </c>
      <c r="I3528" s="100">
        <v>-4.178559577524641E-2</v>
      </c>
    </row>
    <row r="3529" spans="1:9">
      <c r="A3529" s="90">
        <v>3513</v>
      </c>
      <c r="B3529" s="110">
        <v>1.1112259399707456</v>
      </c>
      <c r="C3529" s="110">
        <v>1.0458085503661529</v>
      </c>
      <c r="G3529" s="90">
        <v>3513</v>
      </c>
      <c r="H3529" s="100">
        <v>-6.0673537643701481E-2</v>
      </c>
      <c r="I3529" s="100">
        <v>-4.1781888259038509E-2</v>
      </c>
    </row>
    <row r="3530" spans="1:9">
      <c r="A3530" s="90">
        <v>3514</v>
      </c>
      <c r="B3530" s="110">
        <v>1.1028136676684095</v>
      </c>
      <c r="C3530" s="110">
        <v>1.0599060400525582</v>
      </c>
      <c r="G3530" s="90">
        <v>3514</v>
      </c>
      <c r="H3530" s="100">
        <v>-3.9684530961205437E-2</v>
      </c>
      <c r="I3530" s="100">
        <v>-4.1761597919459242E-2</v>
      </c>
    </row>
    <row r="3531" spans="1:9">
      <c r="A3531" s="90">
        <v>3515</v>
      </c>
      <c r="B3531" s="110">
        <v>1.0976769656130125</v>
      </c>
      <c r="C3531" s="110">
        <v>1.0467476664658242</v>
      </c>
      <c r="G3531" s="90">
        <v>3515</v>
      </c>
      <c r="H3531" s="100">
        <v>-4.7508200662169021E-2</v>
      </c>
      <c r="I3531" s="100">
        <v>-4.1760135290755666E-2</v>
      </c>
    </row>
    <row r="3532" spans="1:9">
      <c r="A3532" s="90">
        <v>3516</v>
      </c>
      <c r="B3532" s="110">
        <v>1.079483269624139</v>
      </c>
      <c r="C3532" s="110">
        <v>1.0419807549960274</v>
      </c>
      <c r="G3532" s="90">
        <v>3516</v>
      </c>
      <c r="H3532" s="100">
        <v>-3.5358998721767371E-2</v>
      </c>
      <c r="I3532" s="100">
        <v>-4.1730219664481392E-2</v>
      </c>
    </row>
    <row r="3533" spans="1:9">
      <c r="A3533" s="90">
        <v>3517</v>
      </c>
      <c r="B3533" s="110">
        <v>1.1049933164658854</v>
      </c>
      <c r="C3533" s="110">
        <v>1.0611831048464631</v>
      </c>
      <c r="G3533" s="90">
        <v>3517</v>
      </c>
      <c r="H3533" s="100">
        <v>-4.0454864150095075E-2</v>
      </c>
      <c r="I3533" s="100">
        <v>-4.1725319449290553E-2</v>
      </c>
    </row>
    <row r="3534" spans="1:9">
      <c r="A3534" s="90">
        <v>3518</v>
      </c>
      <c r="B3534" s="110">
        <v>1.1255100060992964</v>
      </c>
      <c r="C3534" s="110">
        <v>1.0632376733179234</v>
      </c>
      <c r="G3534" s="90">
        <v>3518</v>
      </c>
      <c r="H3534" s="100">
        <v>-5.6917609999498721E-2</v>
      </c>
      <c r="I3534" s="100">
        <v>-4.1720536634041808E-2</v>
      </c>
    </row>
    <row r="3535" spans="1:9">
      <c r="A3535" s="90">
        <v>3519</v>
      </c>
      <c r="B3535" s="110">
        <v>1.1215389552533293</v>
      </c>
      <c r="C3535" s="110">
        <v>1.0693093027378437</v>
      </c>
      <c r="G3535" s="90">
        <v>3519</v>
      </c>
      <c r="H3535" s="100">
        <v>-4.7688880749406172E-2</v>
      </c>
      <c r="I3535" s="100">
        <v>-4.1695524137424805E-2</v>
      </c>
    </row>
    <row r="3536" spans="1:9">
      <c r="A3536" s="90">
        <v>3520</v>
      </c>
      <c r="B3536" s="110">
        <v>1.0977180837530096</v>
      </c>
      <c r="C3536" s="110">
        <v>1.0557632776238846</v>
      </c>
      <c r="G3536" s="90">
        <v>3520</v>
      </c>
      <c r="H3536" s="100">
        <v>-3.8969564559311602E-2</v>
      </c>
      <c r="I3536" s="100">
        <v>-4.1672201552598508E-2</v>
      </c>
    </row>
    <row r="3537" spans="1:9">
      <c r="A3537" s="90">
        <v>3521</v>
      </c>
      <c r="B3537" s="110">
        <v>1.1355367921690893</v>
      </c>
      <c r="C3537" s="110">
        <v>1.0390403632037672</v>
      </c>
      <c r="G3537" s="90">
        <v>3521</v>
      </c>
      <c r="H3537" s="100">
        <v>-8.8807924283325207E-2</v>
      </c>
      <c r="I3537" s="100">
        <v>-4.1651210245836165E-2</v>
      </c>
    </row>
    <row r="3538" spans="1:9">
      <c r="A3538" s="90">
        <v>3522</v>
      </c>
      <c r="B3538" s="110">
        <v>1.1131894360942745</v>
      </c>
      <c r="C3538" s="110">
        <v>1.0644583643917442</v>
      </c>
      <c r="G3538" s="90">
        <v>3522</v>
      </c>
      <c r="H3538" s="100">
        <v>-4.4763169194213269E-2</v>
      </c>
      <c r="I3538" s="100">
        <v>-4.1636073275338865E-2</v>
      </c>
    </row>
    <row r="3539" spans="1:9">
      <c r="A3539" s="90">
        <v>3523</v>
      </c>
      <c r="B3539" s="110">
        <v>1.1362795874678848</v>
      </c>
      <c r="C3539" s="110">
        <v>1.0512816080464369</v>
      </c>
      <c r="G3539" s="90">
        <v>3523</v>
      </c>
      <c r="H3539" s="100">
        <v>-7.7749406786016328E-2</v>
      </c>
      <c r="I3539" s="100">
        <v>-4.1632393084129408E-2</v>
      </c>
    </row>
    <row r="3540" spans="1:9">
      <c r="A3540" s="90">
        <v>3524</v>
      </c>
      <c r="B3540" s="110">
        <v>1.1018576186164062</v>
      </c>
      <c r="C3540" s="110">
        <v>1.0511233210142408</v>
      </c>
      <c r="G3540" s="90">
        <v>3524</v>
      </c>
      <c r="H3540" s="100">
        <v>-4.7138077828888555E-2</v>
      </c>
      <c r="I3540" s="100">
        <v>-4.162828246534548E-2</v>
      </c>
    </row>
    <row r="3541" spans="1:9">
      <c r="A3541" s="90">
        <v>3525</v>
      </c>
      <c r="B3541" s="110">
        <v>1.0965736543897409</v>
      </c>
      <c r="C3541" s="110">
        <v>1.0644367590126558</v>
      </c>
      <c r="G3541" s="90">
        <v>3525</v>
      </c>
      <c r="H3541" s="100">
        <v>-2.9744664399679436E-2</v>
      </c>
      <c r="I3541" s="100">
        <v>-4.1601203177160352E-2</v>
      </c>
    </row>
    <row r="3542" spans="1:9">
      <c r="A3542" s="90">
        <v>3526</v>
      </c>
      <c r="B3542" s="110">
        <v>1.1144686466054006</v>
      </c>
      <c r="C3542" s="110">
        <v>1.0457205634492501</v>
      </c>
      <c r="G3542" s="90">
        <v>3526</v>
      </c>
      <c r="H3542" s="100">
        <v>-6.3671558997945299E-2</v>
      </c>
      <c r="I3542" s="100">
        <v>-4.1593215255101894E-2</v>
      </c>
    </row>
    <row r="3543" spans="1:9">
      <c r="A3543" s="90">
        <v>3527</v>
      </c>
      <c r="B3543" s="110">
        <v>1.1202748327511252</v>
      </c>
      <c r="C3543" s="110">
        <v>1.0378409695241924</v>
      </c>
      <c r="G3543" s="90">
        <v>3527</v>
      </c>
      <c r="H3543" s="100">
        <v>-7.643147713442823E-2</v>
      </c>
      <c r="I3543" s="100">
        <v>-4.1576435763082169E-2</v>
      </c>
    </row>
    <row r="3544" spans="1:9">
      <c r="A3544" s="90">
        <v>3528</v>
      </c>
      <c r="B3544" s="110">
        <v>1.1377321913419527</v>
      </c>
      <c r="C3544" s="110">
        <v>1.0594946509825471</v>
      </c>
      <c r="G3544" s="90">
        <v>3528</v>
      </c>
      <c r="H3544" s="100">
        <v>-7.124492517994295E-2</v>
      </c>
      <c r="I3544" s="100">
        <v>-4.1570159179135958E-2</v>
      </c>
    </row>
    <row r="3545" spans="1:9">
      <c r="A3545" s="90">
        <v>3529</v>
      </c>
      <c r="B3545" s="110">
        <v>1.1041496735488479</v>
      </c>
      <c r="C3545" s="110">
        <v>1.0497832404193554</v>
      </c>
      <c r="G3545" s="90">
        <v>3529</v>
      </c>
      <c r="H3545" s="100">
        <v>-5.0491807369921538E-2</v>
      </c>
      <c r="I3545" s="100">
        <v>-4.1561294514123048E-2</v>
      </c>
    </row>
    <row r="3546" spans="1:9">
      <c r="A3546" s="90">
        <v>3530</v>
      </c>
      <c r="B3546" s="110">
        <v>1.1144225689719465</v>
      </c>
      <c r="C3546" s="110">
        <v>1.0673625064202552</v>
      </c>
      <c r="G3546" s="90">
        <v>3530</v>
      </c>
      <c r="H3546" s="100">
        <v>-4.3145737187896237E-2</v>
      </c>
      <c r="I3546" s="100">
        <v>-4.1556794098294374E-2</v>
      </c>
    </row>
    <row r="3547" spans="1:9">
      <c r="A3547" s="90">
        <v>3531</v>
      </c>
      <c r="B3547" s="110">
        <v>1.1072145850153166</v>
      </c>
      <c r="C3547" s="110">
        <v>1.0541517009169106</v>
      </c>
      <c r="G3547" s="90">
        <v>3531</v>
      </c>
      <c r="H3547" s="100">
        <v>-4.9111110150745069E-2</v>
      </c>
      <c r="I3547" s="100">
        <v>-4.1551606147016633E-2</v>
      </c>
    </row>
    <row r="3548" spans="1:9">
      <c r="A3548" s="90">
        <v>3532</v>
      </c>
      <c r="B3548" s="110">
        <v>1.1107196965761119</v>
      </c>
      <c r="C3548" s="110">
        <v>1.0432862101180573</v>
      </c>
      <c r="G3548" s="90">
        <v>3532</v>
      </c>
      <c r="H3548" s="100">
        <v>-6.2632631670683808E-2</v>
      </c>
      <c r="I3548" s="100">
        <v>-4.154497943489234E-2</v>
      </c>
    </row>
    <row r="3549" spans="1:9">
      <c r="A3549" s="90">
        <v>3533</v>
      </c>
      <c r="B3549" s="110">
        <v>1.1088355067476943</v>
      </c>
      <c r="C3549" s="110">
        <v>1.0475040552023873</v>
      </c>
      <c r="G3549" s="90">
        <v>3533</v>
      </c>
      <c r="H3549" s="100">
        <v>-5.6900127499295662E-2</v>
      </c>
      <c r="I3549" s="100">
        <v>-4.1544507973773188E-2</v>
      </c>
    </row>
    <row r="3550" spans="1:9">
      <c r="A3550" s="90">
        <v>3534</v>
      </c>
      <c r="B3550" s="110">
        <v>1.1058855279449857</v>
      </c>
      <c r="C3550" s="110">
        <v>1.0541256431326156</v>
      </c>
      <c r="G3550" s="90">
        <v>3534</v>
      </c>
      <c r="H3550" s="100">
        <v>-4.7934747766775726E-2</v>
      </c>
      <c r="I3550" s="100">
        <v>-4.1542654713980179E-2</v>
      </c>
    </row>
    <row r="3551" spans="1:9">
      <c r="A3551" s="90">
        <v>3535</v>
      </c>
      <c r="B3551" s="110">
        <v>1.1079642844364841</v>
      </c>
      <c r="C3551" s="110">
        <v>1.0455090528838156</v>
      </c>
      <c r="G3551" s="90">
        <v>3535</v>
      </c>
      <c r="H3551" s="100">
        <v>-5.8020454789695593E-2</v>
      </c>
      <c r="I3551" s="100">
        <v>-4.1529114783736353E-2</v>
      </c>
    </row>
    <row r="3552" spans="1:9">
      <c r="A3552" s="90">
        <v>3536</v>
      </c>
      <c r="B3552" s="110">
        <v>1.1145462763961804</v>
      </c>
      <c r="C3552" s="110">
        <v>1.0497274311951874</v>
      </c>
      <c r="G3552" s="90">
        <v>3536</v>
      </c>
      <c r="H3552" s="100">
        <v>-5.9916853963510708E-2</v>
      </c>
      <c r="I3552" s="100">
        <v>-4.1515839855185283E-2</v>
      </c>
    </row>
    <row r="3553" spans="1:9">
      <c r="A3553" s="90">
        <v>3537</v>
      </c>
      <c r="B3553" s="110">
        <v>1.1123593671408065</v>
      </c>
      <c r="C3553" s="110">
        <v>1.0661934167684317</v>
      </c>
      <c r="G3553" s="90">
        <v>3537</v>
      </c>
      <c r="H3553" s="100">
        <v>-4.2388564602287397E-2</v>
      </c>
      <c r="I3553" s="100">
        <v>-4.1471184029949891E-2</v>
      </c>
    </row>
    <row r="3554" spans="1:9">
      <c r="A3554" s="90">
        <v>3538</v>
      </c>
      <c r="B3554" s="110">
        <v>1.079861072217702</v>
      </c>
      <c r="C3554" s="110">
        <v>1.0652987957548192</v>
      </c>
      <c r="G3554" s="90">
        <v>3538</v>
      </c>
      <c r="H3554" s="100">
        <v>-1.3577076820082135E-2</v>
      </c>
      <c r="I3554" s="100">
        <v>-4.1458776317027476E-2</v>
      </c>
    </row>
    <row r="3555" spans="1:9">
      <c r="A3555" s="90">
        <v>3539</v>
      </c>
      <c r="B3555" s="110">
        <v>1.0971108151266504</v>
      </c>
      <c r="C3555" s="110">
        <v>1.0812011854810655</v>
      </c>
      <c r="G3555" s="90">
        <v>3539</v>
      </c>
      <c r="H3555" s="100">
        <v>-1.4607560846175323E-2</v>
      </c>
      <c r="I3555" s="100">
        <v>-4.1458611682394717E-2</v>
      </c>
    </row>
    <row r="3556" spans="1:9">
      <c r="A3556" s="90">
        <v>3540</v>
      </c>
      <c r="B3556" s="110">
        <v>1.0923526636540153</v>
      </c>
      <c r="C3556" s="110">
        <v>1.0588932213228224</v>
      </c>
      <c r="G3556" s="90">
        <v>3540</v>
      </c>
      <c r="H3556" s="100">
        <v>-3.1109545436917501E-2</v>
      </c>
      <c r="I3556" s="100">
        <v>-4.1448582466998639E-2</v>
      </c>
    </row>
    <row r="3557" spans="1:9">
      <c r="A3557" s="90">
        <v>3541</v>
      </c>
      <c r="B3557" s="110">
        <v>1.1388470920365745</v>
      </c>
      <c r="C3557" s="110">
        <v>1.0456837629049387</v>
      </c>
      <c r="G3557" s="90">
        <v>3541</v>
      </c>
      <c r="H3557" s="100">
        <v>-8.5345437886514247E-2</v>
      </c>
      <c r="I3557" s="100">
        <v>-4.1423313013298782E-2</v>
      </c>
    </row>
    <row r="3558" spans="1:9">
      <c r="A3558" s="90">
        <v>3542</v>
      </c>
      <c r="B3558" s="110">
        <v>1.1359245975051211</v>
      </c>
      <c r="C3558" s="110">
        <v>1.0582143433719484</v>
      </c>
      <c r="G3558" s="90">
        <v>3542</v>
      </c>
      <c r="H3558" s="100">
        <v>-7.086403676430135E-2</v>
      </c>
      <c r="I3558" s="100">
        <v>-4.1415172260077536E-2</v>
      </c>
    </row>
    <row r="3559" spans="1:9">
      <c r="A3559" s="90">
        <v>3543</v>
      </c>
      <c r="B3559" s="110">
        <v>1.1029388684330601</v>
      </c>
      <c r="C3559" s="110">
        <v>1.0436907826749602</v>
      </c>
      <c r="G3559" s="90">
        <v>3543</v>
      </c>
      <c r="H3559" s="100">
        <v>-5.5215055325608817E-2</v>
      </c>
      <c r="I3559" s="100">
        <v>-4.1414966918971272E-2</v>
      </c>
    </row>
    <row r="3560" spans="1:9">
      <c r="A3560" s="90">
        <v>3544</v>
      </c>
      <c r="B3560" s="110">
        <v>1.0780228156123732</v>
      </c>
      <c r="C3560" s="110">
        <v>1.0566658269983551</v>
      </c>
      <c r="G3560" s="90">
        <v>3544</v>
      </c>
      <c r="H3560" s="100">
        <v>-2.0010132441866002E-2</v>
      </c>
      <c r="I3560" s="100">
        <v>-4.139936621511122E-2</v>
      </c>
    </row>
    <row r="3561" spans="1:9">
      <c r="A3561" s="90">
        <v>3545</v>
      </c>
      <c r="B3561" s="110">
        <v>1.1189512083691928</v>
      </c>
      <c r="C3561" s="110">
        <v>1.0500933145885296</v>
      </c>
      <c r="G3561" s="90">
        <v>3545</v>
      </c>
      <c r="H3561" s="100">
        <v>-6.351279423459727E-2</v>
      </c>
      <c r="I3561" s="100">
        <v>-4.1384896708569568E-2</v>
      </c>
    </row>
    <row r="3562" spans="1:9">
      <c r="A3562" s="90">
        <v>3546</v>
      </c>
      <c r="B3562" s="110">
        <v>1.1304714037400161</v>
      </c>
      <c r="C3562" s="110">
        <v>1.0462218303742883</v>
      </c>
      <c r="G3562" s="90">
        <v>3546</v>
      </c>
      <c r="H3562" s="100">
        <v>-7.744929909813339E-2</v>
      </c>
      <c r="I3562" s="100">
        <v>-4.1374726468441536E-2</v>
      </c>
    </row>
    <row r="3563" spans="1:9">
      <c r="A3563" s="90">
        <v>3547</v>
      </c>
      <c r="B3563" s="110">
        <v>1.0719479873041771</v>
      </c>
      <c r="C3563" s="110">
        <v>1.0250692388400038</v>
      </c>
      <c r="G3563" s="90">
        <v>3547</v>
      </c>
      <c r="H3563" s="100">
        <v>-4.4717381768930024E-2</v>
      </c>
      <c r="I3563" s="100">
        <v>-4.1360657332539762E-2</v>
      </c>
    </row>
    <row r="3564" spans="1:9">
      <c r="A3564" s="90">
        <v>3548</v>
      </c>
      <c r="B3564" s="110">
        <v>1.139828575574374</v>
      </c>
      <c r="C3564" s="110">
        <v>1.0505643239669866</v>
      </c>
      <c r="G3564" s="90">
        <v>3548</v>
      </c>
      <c r="H3564" s="100">
        <v>-8.1550407604887618E-2</v>
      </c>
      <c r="I3564" s="100">
        <v>-4.1356422189985712E-2</v>
      </c>
    </row>
    <row r="3565" spans="1:9">
      <c r="A3565" s="90">
        <v>3549</v>
      </c>
      <c r="B3565" s="110">
        <v>1.0830947963292181</v>
      </c>
      <c r="C3565" s="110">
        <v>1.0574759833865661</v>
      </c>
      <c r="G3565" s="90">
        <v>3549</v>
      </c>
      <c r="H3565" s="100">
        <v>-2.3937574489961057E-2</v>
      </c>
      <c r="I3565" s="100">
        <v>-4.1339095179310614E-2</v>
      </c>
    </row>
    <row r="3566" spans="1:9">
      <c r="A3566" s="90">
        <v>3550</v>
      </c>
      <c r="B3566" s="110">
        <v>1.1298973258177896</v>
      </c>
      <c r="C3566" s="110">
        <v>1.0611066684153074</v>
      </c>
      <c r="G3566" s="90">
        <v>3550</v>
      </c>
      <c r="H3566" s="100">
        <v>-6.2814376173973979E-2</v>
      </c>
      <c r="I3566" s="100">
        <v>-4.1328596646368509E-2</v>
      </c>
    </row>
    <row r="3567" spans="1:9">
      <c r="A3567" s="90">
        <v>3551</v>
      </c>
      <c r="B3567" s="110">
        <v>1.1263080269810437</v>
      </c>
      <c r="C3567" s="110">
        <v>1.0433136251513326</v>
      </c>
      <c r="G3567" s="90">
        <v>3551</v>
      </c>
      <c r="H3567" s="100">
        <v>-7.6543224830667431E-2</v>
      </c>
      <c r="I3567" s="100">
        <v>-4.1327784462541234E-2</v>
      </c>
    </row>
    <row r="3568" spans="1:9">
      <c r="A3568" s="90">
        <v>3552</v>
      </c>
      <c r="B3568" s="110">
        <v>1.095745457097459</v>
      </c>
      <c r="C3568" s="110">
        <v>1.0565353776791155</v>
      </c>
      <c r="G3568" s="90">
        <v>3552</v>
      </c>
      <c r="H3568" s="100">
        <v>-3.643987112999815E-2</v>
      </c>
      <c r="I3568" s="100">
        <v>-4.1309757315099407E-2</v>
      </c>
    </row>
    <row r="3569" spans="1:9">
      <c r="A3569" s="90">
        <v>3553</v>
      </c>
      <c r="B3569" s="110">
        <v>1.1183383417066586</v>
      </c>
      <c r="C3569" s="110">
        <v>1.0479095442507964</v>
      </c>
      <c r="G3569" s="90">
        <v>3553</v>
      </c>
      <c r="H3569" s="100">
        <v>-6.5046690735827514E-2</v>
      </c>
      <c r="I3569" s="100">
        <v>-4.1300490281076116E-2</v>
      </c>
    </row>
    <row r="3570" spans="1:9">
      <c r="A3570" s="90">
        <v>3554</v>
      </c>
      <c r="B3570" s="110">
        <v>1.1054758903069895</v>
      </c>
      <c r="C3570" s="110">
        <v>1.0659256063154603</v>
      </c>
      <c r="G3570" s="90">
        <v>3554</v>
      </c>
      <c r="H3570" s="100">
        <v>-3.643237660729079E-2</v>
      </c>
      <c r="I3570" s="100">
        <v>-4.1300487374608154E-2</v>
      </c>
    </row>
    <row r="3571" spans="1:9">
      <c r="A3571" s="90">
        <v>3555</v>
      </c>
      <c r="B3571" s="110">
        <v>1.1241030890083084</v>
      </c>
      <c r="C3571" s="110">
        <v>1.0302901389335841</v>
      </c>
      <c r="G3571" s="90">
        <v>3555</v>
      </c>
      <c r="H3571" s="100">
        <v>-8.7145012605507E-2</v>
      </c>
      <c r="I3571" s="100">
        <v>-4.1300091731986767E-2</v>
      </c>
    </row>
    <row r="3572" spans="1:9">
      <c r="A3572" s="90">
        <v>3556</v>
      </c>
      <c r="B3572" s="110">
        <v>1.0931971580557667</v>
      </c>
      <c r="C3572" s="110">
        <v>1.0579347962759817</v>
      </c>
      <c r="G3572" s="90">
        <v>3556</v>
      </c>
      <c r="H3572" s="100">
        <v>-3.2787873103929784E-2</v>
      </c>
      <c r="I3572" s="100">
        <v>-4.1297582523174406E-2</v>
      </c>
    </row>
    <row r="3573" spans="1:9">
      <c r="A3573" s="90">
        <v>3557</v>
      </c>
      <c r="B3573" s="110">
        <v>1.0922882774696512</v>
      </c>
      <c r="C3573" s="110">
        <v>1.0389548472388495</v>
      </c>
      <c r="G3573" s="90">
        <v>3557</v>
      </c>
      <c r="H3573" s="100">
        <v>-5.0059579570381589E-2</v>
      </c>
      <c r="I3573" s="100">
        <v>-4.1294821245951782E-2</v>
      </c>
    </row>
    <row r="3574" spans="1:9">
      <c r="A3574" s="90">
        <v>3558</v>
      </c>
      <c r="B3574" s="110">
        <v>1.1011317706524197</v>
      </c>
      <c r="C3574" s="110">
        <v>1.049162795234803</v>
      </c>
      <c r="G3574" s="90">
        <v>3558</v>
      </c>
      <c r="H3574" s="100">
        <v>-4.8346025023980069E-2</v>
      </c>
      <c r="I3574" s="100">
        <v>-4.1293731990446648E-2</v>
      </c>
    </row>
    <row r="3575" spans="1:9">
      <c r="A3575" s="90">
        <v>3559</v>
      </c>
      <c r="B3575" s="110">
        <v>1.0971543839292743</v>
      </c>
      <c r="C3575" s="110">
        <v>1.035411437821224</v>
      </c>
      <c r="G3575" s="90">
        <v>3559</v>
      </c>
      <c r="H3575" s="100">
        <v>-5.7921032044247957E-2</v>
      </c>
      <c r="I3575" s="100">
        <v>-4.1290150819542515E-2</v>
      </c>
    </row>
    <row r="3576" spans="1:9">
      <c r="A3576" s="90">
        <v>3560</v>
      </c>
      <c r="B3576" s="110">
        <v>1.1051080403795592</v>
      </c>
      <c r="C3576" s="110">
        <v>1.0550374661399227</v>
      </c>
      <c r="G3576" s="90">
        <v>3560</v>
      </c>
      <c r="H3576" s="100">
        <v>-4.6366825062991765E-2</v>
      </c>
      <c r="I3576" s="100">
        <v>-4.127168719148433E-2</v>
      </c>
    </row>
    <row r="3577" spans="1:9">
      <c r="A3577" s="90">
        <v>3561</v>
      </c>
      <c r="B3577" s="110">
        <v>1.1114686842903838</v>
      </c>
      <c r="C3577" s="110">
        <v>1.0589549360048731</v>
      </c>
      <c r="G3577" s="90">
        <v>3561</v>
      </c>
      <c r="H3577" s="100">
        <v>-4.8399767381321873E-2</v>
      </c>
      <c r="I3577" s="100">
        <v>-4.1258962249190193E-2</v>
      </c>
    </row>
    <row r="3578" spans="1:9">
      <c r="A3578" s="90">
        <v>3562</v>
      </c>
      <c r="B3578" s="110">
        <v>1.1112634160741104</v>
      </c>
      <c r="C3578" s="110">
        <v>1.0411732669306735</v>
      </c>
      <c r="G3578" s="90">
        <v>3562</v>
      </c>
      <c r="H3578" s="100">
        <v>-6.514936217108605E-2</v>
      </c>
      <c r="I3578" s="100">
        <v>-4.1256952272419566E-2</v>
      </c>
    </row>
    <row r="3579" spans="1:9">
      <c r="A3579" s="90">
        <v>3563</v>
      </c>
      <c r="B3579" s="110">
        <v>1.1275172836901626</v>
      </c>
      <c r="C3579" s="110">
        <v>1.0662798811359468</v>
      </c>
      <c r="G3579" s="90">
        <v>3563</v>
      </c>
      <c r="H3579" s="100">
        <v>-5.5842277549329217E-2</v>
      </c>
      <c r="I3579" s="100">
        <v>-4.1249717524499165E-2</v>
      </c>
    </row>
    <row r="3580" spans="1:9">
      <c r="A3580" s="90">
        <v>3564</v>
      </c>
      <c r="B3580" s="110">
        <v>1.089740973144923</v>
      </c>
      <c r="C3580" s="110">
        <v>1.065807229703952</v>
      </c>
      <c r="G3580" s="90">
        <v>3564</v>
      </c>
      <c r="H3580" s="100">
        <v>-2.2207554467299325E-2</v>
      </c>
      <c r="I3580" s="100">
        <v>-4.1225913165709428E-2</v>
      </c>
    </row>
    <row r="3581" spans="1:9">
      <c r="A3581" s="90">
        <v>3565</v>
      </c>
      <c r="B3581" s="110">
        <v>1.1255344374514078</v>
      </c>
      <c r="C3581" s="110">
        <v>1.0686514017276261</v>
      </c>
      <c r="G3581" s="90">
        <v>3565</v>
      </c>
      <c r="H3581" s="100">
        <v>-5.1860497046034383E-2</v>
      </c>
      <c r="I3581" s="100">
        <v>-4.1193517930428324E-2</v>
      </c>
    </row>
    <row r="3582" spans="1:9">
      <c r="A3582" s="90">
        <v>3566</v>
      </c>
      <c r="B3582" s="110">
        <v>1.1044099595572605</v>
      </c>
      <c r="C3582" s="110">
        <v>1.0597294466978835</v>
      </c>
      <c r="G3582" s="90">
        <v>3566</v>
      </c>
      <c r="H3582" s="100">
        <v>-4.1297582523174406E-2</v>
      </c>
      <c r="I3582" s="100">
        <v>-4.116963001336077E-2</v>
      </c>
    </row>
    <row r="3583" spans="1:9">
      <c r="A3583" s="90">
        <v>3567</v>
      </c>
      <c r="B3583" s="110">
        <v>1.1126518730089918</v>
      </c>
      <c r="C3583" s="110">
        <v>1.0714010312016136</v>
      </c>
      <c r="G3583" s="90">
        <v>3567</v>
      </c>
      <c r="H3583" s="100">
        <v>-3.7779073860421952E-2</v>
      </c>
      <c r="I3583" s="100">
        <v>-4.1160017246377086E-2</v>
      </c>
    </row>
    <row r="3584" spans="1:9">
      <c r="A3584" s="90">
        <v>3568</v>
      </c>
      <c r="B3584" s="110">
        <v>1.1219247126703096</v>
      </c>
      <c r="C3584" s="110">
        <v>1.0430547447727077</v>
      </c>
      <c r="G3584" s="90">
        <v>3568</v>
      </c>
      <c r="H3584" s="100">
        <v>-7.2892041403659236E-2</v>
      </c>
      <c r="I3584" s="100">
        <v>-4.1141516949238184E-2</v>
      </c>
    </row>
    <row r="3585" spans="1:9">
      <c r="A3585" s="90">
        <v>3569</v>
      </c>
      <c r="B3585" s="110">
        <v>1.1051180106060337</v>
      </c>
      <c r="C3585" s="110">
        <v>1.0585272709478799</v>
      </c>
      <c r="G3585" s="90">
        <v>3569</v>
      </c>
      <c r="H3585" s="100">
        <v>-4.3073551167482522E-2</v>
      </c>
      <c r="I3585" s="100">
        <v>-4.1140868516062287E-2</v>
      </c>
    </row>
    <row r="3586" spans="1:9">
      <c r="A3586" s="90">
        <v>3570</v>
      </c>
      <c r="B3586" s="110">
        <v>1.1076205585476724</v>
      </c>
      <c r="C3586" s="110">
        <v>1.050802705678328</v>
      </c>
      <c r="G3586" s="90">
        <v>3570</v>
      </c>
      <c r="H3586" s="100">
        <v>-5.2659719788544695E-2</v>
      </c>
      <c r="I3586" s="100">
        <v>-4.1126372158053856E-2</v>
      </c>
    </row>
    <row r="3587" spans="1:9">
      <c r="A3587" s="90">
        <v>3571</v>
      </c>
      <c r="B3587" s="110">
        <v>1.1480975682094383</v>
      </c>
      <c r="C3587" s="110">
        <v>1.04958899058726</v>
      </c>
      <c r="G3587" s="90">
        <v>3571</v>
      </c>
      <c r="H3587" s="100">
        <v>-8.9707634013609636E-2</v>
      </c>
      <c r="I3587" s="100">
        <v>-4.1109444797644071E-2</v>
      </c>
    </row>
    <row r="3588" spans="1:9">
      <c r="A3588" s="90">
        <v>3572</v>
      </c>
      <c r="B3588" s="110">
        <v>1.1384545160392046</v>
      </c>
      <c r="C3588" s="110">
        <v>1.0544596160677429</v>
      </c>
      <c r="G3588" s="90">
        <v>3572</v>
      </c>
      <c r="H3588" s="100">
        <v>-7.6643231501111006E-2</v>
      </c>
      <c r="I3588" s="100">
        <v>-4.1101554526464398E-2</v>
      </c>
    </row>
    <row r="3589" spans="1:9">
      <c r="A3589" s="90">
        <v>3573</v>
      </c>
      <c r="B3589" s="110">
        <v>1.1121368767988087</v>
      </c>
      <c r="C3589" s="110">
        <v>1.0689525653726353</v>
      </c>
      <c r="G3589" s="90">
        <v>3573</v>
      </c>
      <c r="H3589" s="100">
        <v>-3.9604020738808567E-2</v>
      </c>
      <c r="I3589" s="100">
        <v>-4.1098038199847933E-2</v>
      </c>
    </row>
    <row r="3590" spans="1:9">
      <c r="A3590" s="90">
        <v>3574</v>
      </c>
      <c r="B3590" s="110">
        <v>1.1068354272961762</v>
      </c>
      <c r="C3590" s="110">
        <v>1.0477165743344647</v>
      </c>
      <c r="G3590" s="90">
        <v>3574</v>
      </c>
      <c r="H3590" s="100">
        <v>-5.48918721940709E-2</v>
      </c>
      <c r="I3590" s="100">
        <v>-4.1093426606407982E-2</v>
      </c>
    </row>
    <row r="3591" spans="1:9">
      <c r="A3591" s="90">
        <v>3575</v>
      </c>
      <c r="B3591" s="110">
        <v>1.1055884743735018</v>
      </c>
      <c r="C3591" s="110">
        <v>1.0758409410368619</v>
      </c>
      <c r="G3591" s="90">
        <v>3575</v>
      </c>
      <c r="H3591" s="100">
        <v>-2.7275122708901381E-2</v>
      </c>
      <c r="I3591" s="100">
        <v>-4.1066939675628598E-2</v>
      </c>
    </row>
    <row r="3592" spans="1:9">
      <c r="A3592" s="90">
        <v>3576</v>
      </c>
      <c r="B3592" s="110">
        <v>1.1198459631419366</v>
      </c>
      <c r="C3592" s="110">
        <v>1.0445514362533312</v>
      </c>
      <c r="G3592" s="90">
        <v>3576</v>
      </c>
      <c r="H3592" s="100">
        <v>-6.9603597280318535E-2</v>
      </c>
      <c r="I3592" s="100">
        <v>-4.1043028456013583E-2</v>
      </c>
    </row>
    <row r="3593" spans="1:9">
      <c r="A3593" s="90">
        <v>3577</v>
      </c>
      <c r="B3593" s="110">
        <v>1.09920133577906</v>
      </c>
      <c r="C3593" s="110">
        <v>1.0539760125913233</v>
      </c>
      <c r="G3593" s="90">
        <v>3577</v>
      </c>
      <c r="H3593" s="100">
        <v>-4.2014166305673735E-2</v>
      </c>
      <c r="I3593" s="100">
        <v>-4.1037046162083639E-2</v>
      </c>
    </row>
    <row r="3594" spans="1:9">
      <c r="A3594" s="90">
        <v>3578</v>
      </c>
      <c r="B3594" s="110">
        <v>1.0755152036259981</v>
      </c>
      <c r="C3594" s="110">
        <v>1.0377280241989639</v>
      </c>
      <c r="G3594" s="90">
        <v>3578</v>
      </c>
      <c r="H3594" s="100">
        <v>-3.5766074624038593E-2</v>
      </c>
      <c r="I3594" s="100">
        <v>-4.1018942392501284E-2</v>
      </c>
    </row>
    <row r="3595" spans="1:9">
      <c r="A3595" s="90">
        <v>3579</v>
      </c>
      <c r="B3595" s="110">
        <v>1.1247334047597728</v>
      </c>
      <c r="C3595" s="110">
        <v>1.056202603125397</v>
      </c>
      <c r="G3595" s="90">
        <v>3579</v>
      </c>
      <c r="H3595" s="100">
        <v>-6.2866008125103193E-2</v>
      </c>
      <c r="I3595" s="100">
        <v>-4.1008181322639795E-2</v>
      </c>
    </row>
    <row r="3596" spans="1:9">
      <c r="A3596" s="90">
        <v>3580</v>
      </c>
      <c r="B3596" s="110">
        <v>1.117506847606073</v>
      </c>
      <c r="C3596" s="110">
        <v>1.0454350006371413</v>
      </c>
      <c r="G3596" s="90">
        <v>3580</v>
      </c>
      <c r="H3596" s="100">
        <v>-6.6667107745166557E-2</v>
      </c>
      <c r="I3596" s="100">
        <v>-4.0998984672348367E-2</v>
      </c>
    </row>
    <row r="3597" spans="1:9">
      <c r="A3597" s="90">
        <v>3581</v>
      </c>
      <c r="B3597" s="110">
        <v>1.1140340238188722</v>
      </c>
      <c r="C3597" s="110">
        <v>1.0744965314693093</v>
      </c>
      <c r="G3597" s="90">
        <v>3581</v>
      </c>
      <c r="H3597" s="100">
        <v>-3.6135474012781041E-2</v>
      </c>
      <c r="I3597" s="100">
        <v>-4.0987641676691222E-2</v>
      </c>
    </row>
    <row r="3598" spans="1:9">
      <c r="A3598" s="90">
        <v>3582</v>
      </c>
      <c r="B3598" s="110">
        <v>1.0833975625236449</v>
      </c>
      <c r="C3598" s="110">
        <v>1.0640746694227083</v>
      </c>
      <c r="G3598" s="90">
        <v>3582</v>
      </c>
      <c r="H3598" s="100">
        <v>-1.7996427913457104E-2</v>
      </c>
      <c r="I3598" s="100">
        <v>-4.0980099440002048E-2</v>
      </c>
    </row>
    <row r="3599" spans="1:9">
      <c r="A3599" s="90">
        <v>3583</v>
      </c>
      <c r="B3599" s="110">
        <v>1.0869068514985132</v>
      </c>
      <c r="C3599" s="110">
        <v>1.0592874437674906</v>
      </c>
      <c r="G3599" s="90">
        <v>3583</v>
      </c>
      <c r="H3599" s="100">
        <v>-2.5739452053536799E-2</v>
      </c>
      <c r="I3599" s="100">
        <v>-4.0960981600849607E-2</v>
      </c>
    </row>
    <row r="3600" spans="1:9">
      <c r="A3600" s="90">
        <v>3584</v>
      </c>
      <c r="B3600" s="110">
        <v>1.1233495965815847</v>
      </c>
      <c r="C3600" s="110">
        <v>1.0573672429200633</v>
      </c>
      <c r="G3600" s="90">
        <v>3584</v>
      </c>
      <c r="H3600" s="100">
        <v>-6.0532847812630748E-2</v>
      </c>
      <c r="I3600" s="100">
        <v>-4.0948329154039946E-2</v>
      </c>
    </row>
    <row r="3601" spans="1:9">
      <c r="A3601" s="90">
        <v>3585</v>
      </c>
      <c r="B3601" s="110">
        <v>1.0885404380577268</v>
      </c>
      <c r="C3601" s="110">
        <v>1.0431490248941035</v>
      </c>
      <c r="G3601" s="90">
        <v>3585</v>
      </c>
      <c r="H3601" s="100">
        <v>-4.2593704439389354E-2</v>
      </c>
      <c r="I3601" s="100">
        <v>-4.0921801552718795E-2</v>
      </c>
    </row>
    <row r="3602" spans="1:9">
      <c r="A3602" s="90">
        <v>3586</v>
      </c>
      <c r="B3602" s="110">
        <v>1.122575227501792</v>
      </c>
      <c r="C3602" s="110">
        <v>1.0677564396770955</v>
      </c>
      <c r="G3602" s="90">
        <v>3586</v>
      </c>
      <c r="H3602" s="100">
        <v>-5.0065694414425363E-2</v>
      </c>
      <c r="I3602" s="100">
        <v>-4.0913284330408861E-2</v>
      </c>
    </row>
    <row r="3603" spans="1:9">
      <c r="A3603" s="90">
        <v>3587</v>
      </c>
      <c r="B3603" s="110">
        <v>1.1405466996838971</v>
      </c>
      <c r="C3603" s="110">
        <v>1.0433899310310615</v>
      </c>
      <c r="G3603" s="90">
        <v>3587</v>
      </c>
      <c r="H3603" s="100">
        <v>-8.903274717267777E-2</v>
      </c>
      <c r="I3603" s="100">
        <v>-4.0910603745606323E-2</v>
      </c>
    </row>
    <row r="3604" spans="1:9">
      <c r="A3604" s="90">
        <v>3588</v>
      </c>
      <c r="B3604" s="110">
        <v>1.14371373204291</v>
      </c>
      <c r="C3604" s="110">
        <v>1.04757295447788</v>
      </c>
      <c r="G3604" s="90">
        <v>3588</v>
      </c>
      <c r="H3604" s="100">
        <v>-8.7804610747006975E-2</v>
      </c>
      <c r="I3604" s="100">
        <v>-4.0903701978029339E-2</v>
      </c>
    </row>
    <row r="3605" spans="1:9">
      <c r="A3605" s="90">
        <v>3589</v>
      </c>
      <c r="B3605" s="110">
        <v>1.1037699124995486</v>
      </c>
      <c r="C3605" s="110">
        <v>1.0405578031948308</v>
      </c>
      <c r="G3605" s="90">
        <v>3589</v>
      </c>
      <c r="H3605" s="100">
        <v>-5.8974594947748808E-2</v>
      </c>
      <c r="I3605" s="100">
        <v>-4.0892666970231244E-2</v>
      </c>
    </row>
    <row r="3606" spans="1:9">
      <c r="A3606" s="90">
        <v>3590</v>
      </c>
      <c r="B3606" s="110">
        <v>1.1158390006535741</v>
      </c>
      <c r="C3606" s="110">
        <v>1.0575472144753422</v>
      </c>
      <c r="G3606" s="90">
        <v>3590</v>
      </c>
      <c r="H3606" s="100">
        <v>-5.3654310704995455E-2</v>
      </c>
      <c r="I3606" s="100">
        <v>-4.089252670174174E-2</v>
      </c>
    </row>
    <row r="3607" spans="1:9">
      <c r="A3607" s="90">
        <v>3591</v>
      </c>
      <c r="B3607" s="110">
        <v>1.1183395392925637</v>
      </c>
      <c r="C3607" s="110">
        <v>1.0785705831850854</v>
      </c>
      <c r="G3607" s="90">
        <v>3591</v>
      </c>
      <c r="H3607" s="100">
        <v>-3.6208400629636317E-2</v>
      </c>
      <c r="I3607" s="100">
        <v>-4.0875946247912756E-2</v>
      </c>
    </row>
    <row r="3608" spans="1:9">
      <c r="A3608" s="90">
        <v>3592</v>
      </c>
      <c r="B3608" s="110">
        <v>1.0980932246117179</v>
      </c>
      <c r="C3608" s="110">
        <v>1.0623898499101001</v>
      </c>
      <c r="G3608" s="90">
        <v>3592</v>
      </c>
      <c r="H3608" s="100">
        <v>-3.3054297731742566E-2</v>
      </c>
      <c r="I3608" s="100">
        <v>-4.0863173252676001E-2</v>
      </c>
    </row>
    <row r="3609" spans="1:9">
      <c r="A3609" s="90">
        <v>3593</v>
      </c>
      <c r="B3609" s="110">
        <v>1.1045188081972359</v>
      </c>
      <c r="C3609" s="110">
        <v>1.0662857695702501</v>
      </c>
      <c r="G3609" s="90">
        <v>3593</v>
      </c>
      <c r="H3609" s="100">
        <v>-3.522840609381777E-2</v>
      </c>
      <c r="I3609" s="100">
        <v>-4.0858546317861399E-2</v>
      </c>
    </row>
    <row r="3610" spans="1:9">
      <c r="A3610" s="90">
        <v>3594</v>
      </c>
      <c r="B3610" s="110">
        <v>1.1322568596324643</v>
      </c>
      <c r="C3610" s="110">
        <v>1.0350156593885</v>
      </c>
      <c r="G3610" s="90">
        <v>3594</v>
      </c>
      <c r="H3610" s="100">
        <v>-8.9796305397000842E-2</v>
      </c>
      <c r="I3610" s="100">
        <v>-4.0851720628821628E-2</v>
      </c>
    </row>
    <row r="3611" spans="1:9">
      <c r="A3611" s="90">
        <v>3595</v>
      </c>
      <c r="B3611" s="110">
        <v>1.0808781802894107</v>
      </c>
      <c r="C3611" s="110">
        <v>1.043112044869053</v>
      </c>
      <c r="G3611" s="90">
        <v>3595</v>
      </c>
      <c r="H3611" s="100">
        <v>-3.5565244804231011E-2</v>
      </c>
      <c r="I3611" s="100">
        <v>-4.0821999185343863E-2</v>
      </c>
    </row>
    <row r="3612" spans="1:9">
      <c r="A3612" s="90">
        <v>3596</v>
      </c>
      <c r="B3612" s="110">
        <v>1.1193347413072547</v>
      </c>
      <c r="C3612" s="110">
        <v>1.0469650701131419</v>
      </c>
      <c r="G3612" s="90">
        <v>3596</v>
      </c>
      <c r="H3612" s="100">
        <v>-6.6838958401437693E-2</v>
      </c>
      <c r="I3612" s="100">
        <v>-4.0818919442881421E-2</v>
      </c>
    </row>
    <row r="3613" spans="1:9">
      <c r="A3613" s="90">
        <v>3597</v>
      </c>
      <c r="B3613" s="110">
        <v>1.1214973053457915</v>
      </c>
      <c r="C3613" s="110">
        <v>1.0822141214870733</v>
      </c>
      <c r="G3613" s="90">
        <v>3597</v>
      </c>
      <c r="H3613" s="100">
        <v>-3.5655617240590388E-2</v>
      </c>
      <c r="I3613" s="100">
        <v>-4.081534731345858E-2</v>
      </c>
    </row>
    <row r="3614" spans="1:9">
      <c r="A3614" s="90">
        <v>3598</v>
      </c>
      <c r="B3614" s="110">
        <v>1.0961530430898208</v>
      </c>
      <c r="C3614" s="110">
        <v>1.0439650452410847</v>
      </c>
      <c r="G3614" s="90">
        <v>3598</v>
      </c>
      <c r="H3614" s="100">
        <v>-4.8780809302957279E-2</v>
      </c>
      <c r="I3614" s="100">
        <v>-4.0796016821581807E-2</v>
      </c>
    </row>
    <row r="3615" spans="1:9">
      <c r="A3615" s="90">
        <v>3599</v>
      </c>
      <c r="B3615" s="110">
        <v>1.1188920193413725</v>
      </c>
      <c r="C3615" s="110">
        <v>1.0436394012560795</v>
      </c>
      <c r="G3615" s="90">
        <v>3599</v>
      </c>
      <c r="H3615" s="100">
        <v>-6.9624898512775646E-2</v>
      </c>
      <c r="I3615" s="100">
        <v>-4.0784909135261636E-2</v>
      </c>
    </row>
    <row r="3616" spans="1:9">
      <c r="A3616" s="90">
        <v>3600</v>
      </c>
      <c r="B3616" s="110">
        <v>1.0985059407345255</v>
      </c>
      <c r="C3616" s="110">
        <v>1.0497536808493948</v>
      </c>
      <c r="G3616" s="90">
        <v>3600</v>
      </c>
      <c r="H3616" s="100">
        <v>-4.5395473888529186E-2</v>
      </c>
      <c r="I3616" s="100">
        <v>-4.0766443739554674E-2</v>
      </c>
    </row>
    <row r="3617" spans="1:9">
      <c r="A3617" s="90">
        <v>3601</v>
      </c>
      <c r="B3617" s="110">
        <v>1.0862459677713094</v>
      </c>
      <c r="C3617" s="110">
        <v>1.0569631246590747</v>
      </c>
      <c r="G3617" s="90">
        <v>3601</v>
      </c>
      <c r="H3617" s="100">
        <v>-2.7327866041481609E-2</v>
      </c>
      <c r="I3617" s="100">
        <v>-4.0765625394604592E-2</v>
      </c>
    </row>
    <row r="3618" spans="1:9">
      <c r="A3618" s="90">
        <v>3602</v>
      </c>
      <c r="B3618" s="110">
        <v>1.112312552910393</v>
      </c>
      <c r="C3618" s="110">
        <v>1.0482637792442466</v>
      </c>
      <c r="G3618" s="90">
        <v>3602</v>
      </c>
      <c r="H3618" s="100">
        <v>-5.9305977115558017E-2</v>
      </c>
      <c r="I3618" s="100">
        <v>-4.0754510791778747E-2</v>
      </c>
    </row>
    <row r="3619" spans="1:9">
      <c r="A3619" s="90">
        <v>3603</v>
      </c>
      <c r="B3619" s="110">
        <v>1.1002409223535592</v>
      </c>
      <c r="C3619" s="110">
        <v>1.0382919165938413</v>
      </c>
      <c r="G3619" s="90">
        <v>3603</v>
      </c>
      <c r="H3619" s="100">
        <v>-5.7952201079108562E-2</v>
      </c>
      <c r="I3619" s="100">
        <v>-4.0751029934373642E-2</v>
      </c>
    </row>
    <row r="3620" spans="1:9">
      <c r="A3620" s="90">
        <v>3604</v>
      </c>
      <c r="B3620" s="110">
        <v>1.1352550679393185</v>
      </c>
      <c r="C3620" s="110">
        <v>1.0433505718224507</v>
      </c>
      <c r="G3620" s="90">
        <v>3604</v>
      </c>
      <c r="H3620" s="100">
        <v>-8.4420116886449681E-2</v>
      </c>
      <c r="I3620" s="100">
        <v>-4.0732192760366083E-2</v>
      </c>
    </row>
    <row r="3621" spans="1:9">
      <c r="A3621" s="90">
        <v>3605</v>
      </c>
      <c r="B3621" s="110">
        <v>1.1027798363334476</v>
      </c>
      <c r="C3621" s="110">
        <v>1.0455047488237823</v>
      </c>
      <c r="G3621" s="90">
        <v>3605</v>
      </c>
      <c r="H3621" s="100">
        <v>-5.3334333903714226E-2</v>
      </c>
      <c r="I3621" s="100">
        <v>-4.0725687669689412E-2</v>
      </c>
    </row>
    <row r="3622" spans="1:9">
      <c r="A3622" s="90">
        <v>3606</v>
      </c>
      <c r="B3622" s="110">
        <v>1.1034276158443443</v>
      </c>
      <c r="C3622" s="110">
        <v>1.062409985165564</v>
      </c>
      <c r="G3622" s="90">
        <v>3606</v>
      </c>
      <c r="H3622" s="100">
        <v>-3.7881451113578345E-2</v>
      </c>
      <c r="I3622" s="100">
        <v>-4.0712691961675797E-2</v>
      </c>
    </row>
    <row r="3623" spans="1:9">
      <c r="A3623" s="90">
        <v>3607</v>
      </c>
      <c r="B3623" s="110">
        <v>1.1240518921402098</v>
      </c>
      <c r="C3623" s="110">
        <v>1.0458512821710511</v>
      </c>
      <c r="G3623" s="90">
        <v>3607</v>
      </c>
      <c r="H3623" s="100">
        <v>-7.2108739912555703E-2</v>
      </c>
      <c r="I3623" s="100">
        <v>-4.0704746236270864E-2</v>
      </c>
    </row>
    <row r="3624" spans="1:9">
      <c r="A3624" s="90">
        <v>3608</v>
      </c>
      <c r="B3624" s="110">
        <v>1.1132346147995105</v>
      </c>
      <c r="C3624" s="110">
        <v>1.0559801748435917</v>
      </c>
      <c r="G3624" s="90">
        <v>3608</v>
      </c>
      <c r="H3624" s="100">
        <v>-5.2800433761900814E-2</v>
      </c>
      <c r="I3624" s="100">
        <v>-4.0699378603859096E-2</v>
      </c>
    </row>
    <row r="3625" spans="1:9">
      <c r="A3625" s="90">
        <v>3609</v>
      </c>
      <c r="B3625" s="110">
        <v>1.098381894354878</v>
      </c>
      <c r="C3625" s="110">
        <v>1.058146546420945</v>
      </c>
      <c r="G3625" s="90">
        <v>3609</v>
      </c>
      <c r="H3625" s="100">
        <v>-3.7319255152845718E-2</v>
      </c>
      <c r="I3625" s="100">
        <v>-4.069185363044707E-2</v>
      </c>
    </row>
    <row r="3626" spans="1:9">
      <c r="A3626" s="90">
        <v>3610</v>
      </c>
      <c r="B3626" s="110">
        <v>1.0952335408185458</v>
      </c>
      <c r="C3626" s="110">
        <v>1.0503460974117755</v>
      </c>
      <c r="G3626" s="90">
        <v>3610</v>
      </c>
      <c r="H3626" s="100">
        <v>-4.1847893373549855E-2</v>
      </c>
      <c r="I3626" s="100">
        <v>-4.0684147373302032E-2</v>
      </c>
    </row>
    <row r="3627" spans="1:9">
      <c r="A3627" s="90">
        <v>3611</v>
      </c>
      <c r="B3627" s="110">
        <v>1.1143454498812309</v>
      </c>
      <c r="C3627" s="110">
        <v>1.0606393914453105</v>
      </c>
      <c r="G3627" s="90">
        <v>3611</v>
      </c>
      <c r="H3627" s="100">
        <v>-4.9395266322095732E-2</v>
      </c>
      <c r="I3627" s="100">
        <v>-4.067292740771699E-2</v>
      </c>
    </row>
    <row r="3628" spans="1:9">
      <c r="A3628" s="90">
        <v>3612</v>
      </c>
      <c r="B3628" s="110">
        <v>1.120786453876061</v>
      </c>
      <c r="C3628" s="110">
        <v>1.0640336953069494</v>
      </c>
      <c r="G3628" s="90">
        <v>3612</v>
      </c>
      <c r="H3628" s="100">
        <v>-5.1963570907464278E-2</v>
      </c>
      <c r="I3628" s="100">
        <v>-4.0655607393816073E-2</v>
      </c>
    </row>
    <row r="3629" spans="1:9">
      <c r="A3629" s="90">
        <v>3613</v>
      </c>
      <c r="B3629" s="110">
        <v>1.0783130433644261</v>
      </c>
      <c r="C3629" s="110">
        <v>1.0631523080431902</v>
      </c>
      <c r="G3629" s="90">
        <v>3613</v>
      </c>
      <c r="H3629" s="100">
        <v>-1.4159452646324441E-2</v>
      </c>
      <c r="I3629" s="100">
        <v>-4.0637444243738809E-2</v>
      </c>
    </row>
    <row r="3630" spans="1:9">
      <c r="A3630" s="90">
        <v>3614</v>
      </c>
      <c r="B3630" s="110">
        <v>1.0901910722125403</v>
      </c>
      <c r="C3630" s="110">
        <v>1.0721149519362159</v>
      </c>
      <c r="G3630" s="90">
        <v>3614</v>
      </c>
      <c r="H3630" s="100">
        <v>-1.6719688302877136E-2</v>
      </c>
      <c r="I3630" s="100">
        <v>-4.0637089926314936E-2</v>
      </c>
    </row>
    <row r="3631" spans="1:9">
      <c r="A3631" s="90">
        <v>3615</v>
      </c>
      <c r="B3631" s="110">
        <v>1.1077878545400757</v>
      </c>
      <c r="C3631" s="110">
        <v>1.0589331507633379</v>
      </c>
      <c r="G3631" s="90">
        <v>3615</v>
      </c>
      <c r="H3631" s="100">
        <v>-4.5103163213907747E-2</v>
      </c>
      <c r="I3631" s="100">
        <v>-4.063213260753408E-2</v>
      </c>
    </row>
    <row r="3632" spans="1:9">
      <c r="A3632" s="90">
        <v>3616</v>
      </c>
      <c r="B3632" s="110">
        <v>1.1113840552295602</v>
      </c>
      <c r="C3632" s="110">
        <v>1.0393317947744267</v>
      </c>
      <c r="G3632" s="90">
        <v>3616</v>
      </c>
      <c r="H3632" s="100">
        <v>-6.7028133563597284E-2</v>
      </c>
      <c r="I3632" s="100">
        <v>-4.0628920096162757E-2</v>
      </c>
    </row>
    <row r="3633" spans="1:9">
      <c r="A3633" s="90">
        <v>3617</v>
      </c>
      <c r="B3633" s="110">
        <v>1.1165333456442834</v>
      </c>
      <c r="C3633" s="110">
        <v>1.0402158375151496</v>
      </c>
      <c r="G3633" s="90">
        <v>3617</v>
      </c>
      <c r="H3633" s="100">
        <v>-7.0800430387825686E-2</v>
      </c>
      <c r="I3633" s="100">
        <v>-4.0613131050460292E-2</v>
      </c>
    </row>
    <row r="3634" spans="1:9">
      <c r="A3634" s="90">
        <v>3618</v>
      </c>
      <c r="B3634" s="110">
        <v>1.1232731677417134</v>
      </c>
      <c r="C3634" s="110">
        <v>1.0508912928702314</v>
      </c>
      <c r="G3634" s="90">
        <v>3618</v>
      </c>
      <c r="H3634" s="100">
        <v>-6.6608239935611796E-2</v>
      </c>
      <c r="I3634" s="100">
        <v>-4.0613050323733461E-2</v>
      </c>
    </row>
    <row r="3635" spans="1:9">
      <c r="A3635" s="90">
        <v>3619</v>
      </c>
      <c r="B3635" s="110">
        <v>1.1120023293154691</v>
      </c>
      <c r="C3635" s="110">
        <v>1.0496795448999601</v>
      </c>
      <c r="G3635" s="90">
        <v>3619</v>
      </c>
      <c r="H3635" s="100">
        <v>-5.7677368279865318E-2</v>
      </c>
      <c r="I3635" s="100">
        <v>-4.0609902251632447E-2</v>
      </c>
    </row>
    <row r="3636" spans="1:9">
      <c r="A3636" s="90">
        <v>3620</v>
      </c>
      <c r="B3636" s="110">
        <v>1.0963053840259562</v>
      </c>
      <c r="C3636" s="110">
        <v>1.0608399600759975</v>
      </c>
      <c r="G3636" s="90">
        <v>3620</v>
      </c>
      <c r="H3636" s="100">
        <v>-3.2884775279590592E-2</v>
      </c>
      <c r="I3636" s="100">
        <v>-4.0584538223758203E-2</v>
      </c>
    </row>
    <row r="3637" spans="1:9">
      <c r="A3637" s="90">
        <v>3621</v>
      </c>
      <c r="B3637" s="110">
        <v>1.1111723791087844</v>
      </c>
      <c r="C3637" s="110">
        <v>1.0507775525466938</v>
      </c>
      <c r="G3637" s="90">
        <v>3621</v>
      </c>
      <c r="H3637" s="100">
        <v>-5.5885238985398253E-2</v>
      </c>
      <c r="I3637" s="100">
        <v>-4.0570727311995326E-2</v>
      </c>
    </row>
    <row r="3638" spans="1:9">
      <c r="A3638" s="90">
        <v>3622</v>
      </c>
      <c r="B3638" s="110">
        <v>1.107826622285315</v>
      </c>
      <c r="C3638" s="110">
        <v>1.0780003264771718</v>
      </c>
      <c r="G3638" s="90">
        <v>3622</v>
      </c>
      <c r="H3638" s="100">
        <v>-2.7292322657995288E-2</v>
      </c>
      <c r="I3638" s="100">
        <v>-4.0541952654445698E-2</v>
      </c>
    </row>
    <row r="3639" spans="1:9">
      <c r="A3639" s="90">
        <v>3623</v>
      </c>
      <c r="B3639" s="110">
        <v>1.1022093274090732</v>
      </c>
      <c r="C3639" s="110">
        <v>1.0488208060125002</v>
      </c>
      <c r="G3639" s="90">
        <v>3623</v>
      </c>
      <c r="H3639" s="100">
        <v>-4.9650153776414289E-2</v>
      </c>
      <c r="I3639" s="100">
        <v>-4.0521799774613967E-2</v>
      </c>
    </row>
    <row r="3640" spans="1:9">
      <c r="A3640" s="90">
        <v>3624</v>
      </c>
      <c r="B3640" s="110">
        <v>1.1007431510674397</v>
      </c>
      <c r="C3640" s="110">
        <v>1.0422052099154557</v>
      </c>
      <c r="G3640" s="90">
        <v>3624</v>
      </c>
      <c r="H3640" s="100">
        <v>-5.464668113450237E-2</v>
      </c>
      <c r="I3640" s="100">
        <v>-4.0519765529366973E-2</v>
      </c>
    </row>
    <row r="3641" spans="1:9">
      <c r="A3641" s="90">
        <v>3625</v>
      </c>
      <c r="B3641" s="110">
        <v>1.1299950934525862</v>
      </c>
      <c r="C3641" s="110">
        <v>1.0494686785870264</v>
      </c>
      <c r="G3641" s="90">
        <v>3625</v>
      </c>
      <c r="H3641" s="100">
        <v>-7.3929274932866745E-2</v>
      </c>
      <c r="I3641" s="100">
        <v>-4.0515442226789523E-2</v>
      </c>
    </row>
    <row r="3642" spans="1:9">
      <c r="A3642" s="90">
        <v>3626</v>
      </c>
      <c r="B3642" s="110">
        <v>1.1153994134956438</v>
      </c>
      <c r="C3642" s="110">
        <v>1.0481916140228442</v>
      </c>
      <c r="G3642" s="90">
        <v>3626</v>
      </c>
      <c r="H3642" s="100">
        <v>-6.2146152154825988E-2</v>
      </c>
      <c r="I3642" s="100">
        <v>-4.0515250217391857E-2</v>
      </c>
    </row>
    <row r="3643" spans="1:9">
      <c r="A3643" s="90">
        <v>3627</v>
      </c>
      <c r="B3643" s="110">
        <v>1.1101129088569892</v>
      </c>
      <c r="C3643" s="110">
        <v>1.0623440961011505</v>
      </c>
      <c r="G3643" s="90">
        <v>3627</v>
      </c>
      <c r="H3643" s="100">
        <v>-4.3983851873314078E-2</v>
      </c>
      <c r="I3643" s="100">
        <v>-4.0502102387627831E-2</v>
      </c>
    </row>
    <row r="3644" spans="1:9">
      <c r="A3644" s="90">
        <v>3628</v>
      </c>
      <c r="B3644" s="110">
        <v>1.1087348877255181</v>
      </c>
      <c r="C3644" s="110">
        <v>1.0808590894394647</v>
      </c>
      <c r="G3644" s="90">
        <v>3628</v>
      </c>
      <c r="H3644" s="100">
        <v>-2.5463446422349538E-2</v>
      </c>
      <c r="I3644" s="100">
        <v>-4.0489201802380963E-2</v>
      </c>
    </row>
    <row r="3645" spans="1:9">
      <c r="A3645" s="90">
        <v>3629</v>
      </c>
      <c r="B3645" s="110">
        <v>1.1298924424986312</v>
      </c>
      <c r="C3645" s="110">
        <v>1.0567245788262043</v>
      </c>
      <c r="G3645" s="90">
        <v>3629</v>
      </c>
      <c r="H3645" s="100">
        <v>-6.6948340385079505E-2</v>
      </c>
      <c r="I3645" s="100">
        <v>-4.0472253267559967E-2</v>
      </c>
    </row>
    <row r="3646" spans="1:9">
      <c r="A3646" s="90">
        <v>3630</v>
      </c>
      <c r="B3646" s="110">
        <v>1.1122158560550561</v>
      </c>
      <c r="C3646" s="110">
        <v>1.0583903112747148</v>
      </c>
      <c r="G3646" s="90">
        <v>3630</v>
      </c>
      <c r="H3646" s="100">
        <v>-4.9605112495615278E-2</v>
      </c>
      <c r="I3646" s="100">
        <v>-4.0454864150095075E-2</v>
      </c>
    </row>
    <row r="3647" spans="1:9">
      <c r="A3647" s="90">
        <v>3631</v>
      </c>
      <c r="B3647" s="110">
        <v>1.1164837888523687</v>
      </c>
      <c r="C3647" s="110">
        <v>1.0489050259559536</v>
      </c>
      <c r="G3647" s="90">
        <v>3631</v>
      </c>
      <c r="H3647" s="100">
        <v>-6.2437484961441442E-2</v>
      </c>
      <c r="I3647" s="100">
        <v>-4.0449980161344525E-2</v>
      </c>
    </row>
    <row r="3648" spans="1:9">
      <c r="A3648" s="90">
        <v>3632</v>
      </c>
      <c r="B3648" s="110">
        <v>1.0706180746951117</v>
      </c>
      <c r="C3648" s="110">
        <v>1.0585454894981343</v>
      </c>
      <c r="G3648" s="90">
        <v>3632</v>
      </c>
      <c r="H3648" s="100">
        <v>-1.1340335501537221E-2</v>
      </c>
      <c r="I3648" s="100">
        <v>-4.0426861376776771E-2</v>
      </c>
    </row>
    <row r="3649" spans="1:9">
      <c r="A3649" s="90">
        <v>3633</v>
      </c>
      <c r="B3649" s="110">
        <v>1.0992404690649047</v>
      </c>
      <c r="C3649" s="110">
        <v>1.0542131043298832</v>
      </c>
      <c r="G3649" s="90">
        <v>3633</v>
      </c>
      <c r="H3649" s="100">
        <v>-4.1824842689591434E-2</v>
      </c>
      <c r="I3649" s="100">
        <v>-4.0419758305463876E-2</v>
      </c>
    </row>
    <row r="3650" spans="1:9">
      <c r="A3650" s="90">
        <v>3634</v>
      </c>
      <c r="B3650" s="110">
        <v>1.0904218354024295</v>
      </c>
      <c r="C3650" s="110">
        <v>1.0418420996574485</v>
      </c>
      <c r="G3650" s="90">
        <v>3634</v>
      </c>
      <c r="H3650" s="100">
        <v>-4.5574230319228332E-2</v>
      </c>
      <c r="I3650" s="100">
        <v>-4.0400300773932168E-2</v>
      </c>
    </row>
    <row r="3651" spans="1:9">
      <c r="A3651" s="90">
        <v>3635</v>
      </c>
      <c r="B3651" s="110">
        <v>1.0955229122146513</v>
      </c>
      <c r="C3651" s="110">
        <v>1.0359176283373799</v>
      </c>
      <c r="G3651" s="90">
        <v>3635</v>
      </c>
      <c r="H3651" s="100">
        <v>-5.5944163332051385E-2</v>
      </c>
      <c r="I3651" s="100">
        <v>-4.0399106145132944E-2</v>
      </c>
    </row>
    <row r="3652" spans="1:9">
      <c r="A3652" s="90">
        <v>3636</v>
      </c>
      <c r="B3652" s="110">
        <v>1.0803980862914717</v>
      </c>
      <c r="C3652" s="110">
        <v>1.0464672224946345</v>
      </c>
      <c r="G3652" s="90">
        <v>3636</v>
      </c>
      <c r="H3652" s="100">
        <v>-3.1909630300408338E-2</v>
      </c>
      <c r="I3652" s="100">
        <v>-4.038372830959773E-2</v>
      </c>
    </row>
    <row r="3653" spans="1:9">
      <c r="A3653" s="90">
        <v>3637</v>
      </c>
      <c r="B3653" s="110">
        <v>1.1209424738302822</v>
      </c>
      <c r="C3653" s="110">
        <v>1.0766816569861006</v>
      </c>
      <c r="G3653" s="90">
        <v>3637</v>
      </c>
      <c r="H3653" s="100">
        <v>-4.0286054573496363E-2</v>
      </c>
      <c r="I3653" s="100">
        <v>-4.0379649202265645E-2</v>
      </c>
    </row>
    <row r="3654" spans="1:9">
      <c r="A3654" s="90">
        <v>3638</v>
      </c>
      <c r="B3654" s="110">
        <v>1.1137811518656122</v>
      </c>
      <c r="C3654" s="110">
        <v>1.0698232288660516</v>
      </c>
      <c r="G3654" s="90">
        <v>3638</v>
      </c>
      <c r="H3654" s="100">
        <v>-4.026724150298109E-2</v>
      </c>
      <c r="I3654" s="100">
        <v>-4.0379056985586928E-2</v>
      </c>
    </row>
    <row r="3655" spans="1:9">
      <c r="A3655" s="90">
        <v>3639</v>
      </c>
      <c r="B3655" s="110">
        <v>1.0961193151979005</v>
      </c>
      <c r="C3655" s="110">
        <v>1.0601019497115707</v>
      </c>
      <c r="G3655" s="90">
        <v>3639</v>
      </c>
      <c r="H3655" s="100">
        <v>-3.3410964359949634E-2</v>
      </c>
      <c r="I3655" s="100">
        <v>-4.035412984147016E-2</v>
      </c>
    </row>
    <row r="3656" spans="1:9">
      <c r="A3656" s="90">
        <v>3640</v>
      </c>
      <c r="B3656" s="110">
        <v>1.0718612724531016</v>
      </c>
      <c r="C3656" s="110">
        <v>1.0525023850585791</v>
      </c>
      <c r="G3656" s="90">
        <v>3640</v>
      </c>
      <c r="H3656" s="100">
        <v>-1.8226091588575615E-2</v>
      </c>
      <c r="I3656" s="100">
        <v>-4.0351871487398959E-2</v>
      </c>
    </row>
    <row r="3657" spans="1:9">
      <c r="A3657" s="90">
        <v>3641</v>
      </c>
      <c r="B3657" s="110">
        <v>1.1196447562044962</v>
      </c>
      <c r="C3657" s="110">
        <v>1.0570477109092589</v>
      </c>
      <c r="G3657" s="90">
        <v>3641</v>
      </c>
      <c r="H3657" s="100">
        <v>-5.7531609123558904E-2</v>
      </c>
      <c r="I3657" s="100">
        <v>-4.0341367462967979E-2</v>
      </c>
    </row>
    <row r="3658" spans="1:9">
      <c r="A3658" s="90">
        <v>3642</v>
      </c>
      <c r="B3658" s="110">
        <v>1.1138426487632529</v>
      </c>
      <c r="C3658" s="110">
        <v>1.055918093530549</v>
      </c>
      <c r="G3658" s="90">
        <v>3642</v>
      </c>
      <c r="H3658" s="100">
        <v>-5.3405263331157929E-2</v>
      </c>
      <c r="I3658" s="100">
        <v>-4.0325294058107017E-2</v>
      </c>
    </row>
    <row r="3659" spans="1:9">
      <c r="A3659" s="90">
        <v>3643</v>
      </c>
      <c r="B3659" s="110">
        <v>1.115038053832168</v>
      </c>
      <c r="C3659" s="110">
        <v>1.0629780319644959</v>
      </c>
      <c r="G3659" s="90">
        <v>3643</v>
      </c>
      <c r="H3659" s="100">
        <v>-4.7814100253807272E-2</v>
      </c>
      <c r="I3659" s="100">
        <v>-4.0309417696297235E-2</v>
      </c>
    </row>
    <row r="3660" spans="1:9">
      <c r="A3660" s="90">
        <v>3644</v>
      </c>
      <c r="B3660" s="110">
        <v>1.119406189572284</v>
      </c>
      <c r="C3660" s="110">
        <v>1.0399518483399528</v>
      </c>
      <c r="G3660" s="90">
        <v>3644</v>
      </c>
      <c r="H3660" s="100">
        <v>-7.3623944417524595E-2</v>
      </c>
      <c r="I3660" s="100">
        <v>-4.030468433222565E-2</v>
      </c>
    </row>
    <row r="3661" spans="1:9">
      <c r="A3661" s="90">
        <v>3645</v>
      </c>
      <c r="B3661" s="110">
        <v>1.0789460246450799</v>
      </c>
      <c r="C3661" s="110">
        <v>1.0527076747445818</v>
      </c>
      <c r="G3661" s="90">
        <v>3645</v>
      </c>
      <c r="H3661" s="100">
        <v>-2.4619078744210616E-2</v>
      </c>
      <c r="I3661" s="100">
        <v>-4.0286054573496363E-2</v>
      </c>
    </row>
    <row r="3662" spans="1:9">
      <c r="A3662" s="90">
        <v>3646</v>
      </c>
      <c r="B3662" s="110">
        <v>1.1183285703504859</v>
      </c>
      <c r="C3662" s="110">
        <v>1.0627492476430653</v>
      </c>
      <c r="G3662" s="90">
        <v>3646</v>
      </c>
      <c r="H3662" s="100">
        <v>-5.0976042422969901E-2</v>
      </c>
      <c r="I3662" s="100">
        <v>-4.0277130498514356E-2</v>
      </c>
    </row>
    <row r="3663" spans="1:9">
      <c r="A3663" s="90">
        <v>3647</v>
      </c>
      <c r="B3663" s="110">
        <v>1.1180303602951069</v>
      </c>
      <c r="C3663" s="110">
        <v>1.0334906151005534</v>
      </c>
      <c r="G3663" s="90">
        <v>3647</v>
      </c>
      <c r="H3663" s="100">
        <v>-7.8626510860885249E-2</v>
      </c>
      <c r="I3663" s="100">
        <v>-4.0275277709528393E-2</v>
      </c>
    </row>
    <row r="3664" spans="1:9">
      <c r="A3664" s="90">
        <v>3648</v>
      </c>
      <c r="B3664" s="110">
        <v>1.113685793147402</v>
      </c>
      <c r="C3664" s="110">
        <v>1.0434040026164262</v>
      </c>
      <c r="G3664" s="90">
        <v>3648</v>
      </c>
      <c r="H3664" s="100">
        <v>-6.5186601163482807E-2</v>
      </c>
      <c r="I3664" s="100">
        <v>-4.026827250991831E-2</v>
      </c>
    </row>
    <row r="3665" spans="1:9">
      <c r="A3665" s="90">
        <v>3649</v>
      </c>
      <c r="B3665" s="110">
        <v>1.1512716216110721</v>
      </c>
      <c r="C3665" s="110">
        <v>1.040513024982274</v>
      </c>
      <c r="G3665" s="90">
        <v>3649</v>
      </c>
      <c r="H3665" s="100">
        <v>-0.10115320462148604</v>
      </c>
      <c r="I3665" s="100">
        <v>-4.026724150298109E-2</v>
      </c>
    </row>
    <row r="3666" spans="1:9">
      <c r="A3666" s="90">
        <v>3650</v>
      </c>
      <c r="B3666" s="110">
        <v>1.1207000364143873</v>
      </c>
      <c r="C3666" s="110">
        <v>1.0567216210901589</v>
      </c>
      <c r="G3666" s="90">
        <v>3650</v>
      </c>
      <c r="H3666" s="100">
        <v>-5.878221735879368E-2</v>
      </c>
      <c r="I3666" s="100">
        <v>-4.0261297762368121E-2</v>
      </c>
    </row>
    <row r="3667" spans="1:9">
      <c r="A3667" s="90">
        <v>3651</v>
      </c>
      <c r="B3667" s="110">
        <v>1.1189365600256829</v>
      </c>
      <c r="C3667" s="110">
        <v>1.0658960864523632</v>
      </c>
      <c r="G3667" s="90">
        <v>3651</v>
      </c>
      <c r="H3667" s="100">
        <v>-4.8562893152938096E-2</v>
      </c>
      <c r="I3667" s="100">
        <v>-4.0244177637436235E-2</v>
      </c>
    </row>
    <row r="3668" spans="1:9">
      <c r="A3668" s="90">
        <v>3652</v>
      </c>
      <c r="B3668" s="110">
        <v>1.1222429378626921</v>
      </c>
      <c r="C3668" s="110">
        <v>1.0414366140084903</v>
      </c>
      <c r="G3668" s="90">
        <v>3652</v>
      </c>
      <c r="H3668" s="100">
        <v>-7.472818624489562E-2</v>
      </c>
      <c r="I3668" s="100">
        <v>-4.023414874018047E-2</v>
      </c>
    </row>
    <row r="3669" spans="1:9">
      <c r="A3669" s="90">
        <v>3653</v>
      </c>
      <c r="B3669" s="110">
        <v>1.0993885985997196</v>
      </c>
      <c r="C3669" s="110">
        <v>1.0428337128546672</v>
      </c>
      <c r="G3669" s="90">
        <v>3653</v>
      </c>
      <c r="H3669" s="100">
        <v>-5.2812474103649185E-2</v>
      </c>
      <c r="I3669" s="100">
        <v>-4.0226683760133511E-2</v>
      </c>
    </row>
    <row r="3670" spans="1:9">
      <c r="A3670" s="90">
        <v>3654</v>
      </c>
      <c r="B3670" s="110">
        <v>1.1033901622941471</v>
      </c>
      <c r="C3670" s="110">
        <v>1.058234348398563</v>
      </c>
      <c r="G3670" s="90">
        <v>3654</v>
      </c>
      <c r="H3670" s="100">
        <v>-4.178559577524641E-2</v>
      </c>
      <c r="I3670" s="100">
        <v>-4.0223360300963629E-2</v>
      </c>
    </row>
    <row r="3671" spans="1:9">
      <c r="A3671" s="90">
        <v>3655</v>
      </c>
      <c r="B3671" s="110">
        <v>1.1044351673803265</v>
      </c>
      <c r="C3671" s="110">
        <v>1.058483446019562</v>
      </c>
      <c r="G3671" s="90">
        <v>3655</v>
      </c>
      <c r="H3671" s="100">
        <v>-4.249687116372064E-2</v>
      </c>
      <c r="I3671" s="100">
        <v>-4.0213294349038073E-2</v>
      </c>
    </row>
    <row r="3672" spans="1:9">
      <c r="A3672" s="90">
        <v>3656</v>
      </c>
      <c r="B3672" s="110">
        <v>1.1054251903096426</v>
      </c>
      <c r="C3672" s="110">
        <v>1.0606707085299265</v>
      </c>
      <c r="G3672" s="90">
        <v>3656</v>
      </c>
      <c r="H3672" s="100">
        <v>-4.1328596646368509E-2</v>
      </c>
      <c r="I3672" s="100">
        <v>-4.0212050433342784E-2</v>
      </c>
    </row>
    <row r="3673" spans="1:9">
      <c r="A3673" s="90">
        <v>3657</v>
      </c>
      <c r="B3673" s="110">
        <v>1.1212160940179354</v>
      </c>
      <c r="C3673" s="110">
        <v>1.0542442832024785</v>
      </c>
      <c r="G3673" s="90">
        <v>3657</v>
      </c>
      <c r="H3673" s="100">
        <v>-6.1589703475297283E-2</v>
      </c>
      <c r="I3673" s="100">
        <v>-4.0201912443300437E-2</v>
      </c>
    </row>
    <row r="3674" spans="1:9">
      <c r="A3674" s="90">
        <v>3658</v>
      </c>
      <c r="B3674" s="110">
        <v>1.1122811074043013</v>
      </c>
      <c r="C3674" s="110">
        <v>1.0308044838759129</v>
      </c>
      <c r="G3674" s="90">
        <v>3658</v>
      </c>
      <c r="H3674" s="100">
        <v>-7.6073408623956423E-2</v>
      </c>
      <c r="I3674" s="100">
        <v>-4.0193659086553757E-2</v>
      </c>
    </row>
    <row r="3675" spans="1:9">
      <c r="A3675" s="90">
        <v>3659</v>
      </c>
      <c r="B3675" s="110">
        <v>1.1091849533870075</v>
      </c>
      <c r="C3675" s="110">
        <v>1.0811891745299618</v>
      </c>
      <c r="G3675" s="90">
        <v>3659</v>
      </c>
      <c r="H3675" s="100">
        <v>-2.5563946471879397E-2</v>
      </c>
      <c r="I3675" s="100">
        <v>-4.0176980740194539E-2</v>
      </c>
    </row>
    <row r="3676" spans="1:9">
      <c r="A3676" s="90">
        <v>3660</v>
      </c>
      <c r="B3676" s="110">
        <v>1.1192177407048183</v>
      </c>
      <c r="C3676" s="110">
        <v>1.043611893896202</v>
      </c>
      <c r="G3676" s="90">
        <v>3660</v>
      </c>
      <c r="H3676" s="100">
        <v>-6.9942324277797382E-2</v>
      </c>
      <c r="I3676" s="100">
        <v>-4.0175826947145915E-2</v>
      </c>
    </row>
    <row r="3677" spans="1:9">
      <c r="A3677" s="90">
        <v>3661</v>
      </c>
      <c r="B3677" s="110">
        <v>1.0995913420878869</v>
      </c>
      <c r="C3677" s="110">
        <v>1.0345089689687526</v>
      </c>
      <c r="G3677" s="90">
        <v>3661</v>
      </c>
      <c r="H3677" s="100">
        <v>-6.1011715561093791E-2</v>
      </c>
      <c r="I3677" s="100">
        <v>-4.0168989599112186E-2</v>
      </c>
    </row>
    <row r="3678" spans="1:9">
      <c r="A3678" s="90">
        <v>3662</v>
      </c>
      <c r="B3678" s="110">
        <v>1.095304028413068</v>
      </c>
      <c r="C3678" s="110">
        <v>1.0477156049203098</v>
      </c>
      <c r="G3678" s="90">
        <v>3662</v>
      </c>
      <c r="H3678" s="100">
        <v>-4.4419796528521995E-2</v>
      </c>
      <c r="I3678" s="100">
        <v>-4.0160216248664019E-2</v>
      </c>
    </row>
    <row r="3679" spans="1:9">
      <c r="A3679" s="90">
        <v>3663</v>
      </c>
      <c r="B3679" s="110">
        <v>1.1153248704370899</v>
      </c>
      <c r="C3679" s="110">
        <v>1.0566961720442438</v>
      </c>
      <c r="G3679" s="90">
        <v>3663</v>
      </c>
      <c r="H3679" s="100">
        <v>-5.3998504193153746E-2</v>
      </c>
      <c r="I3679" s="100">
        <v>-4.0159437132746091E-2</v>
      </c>
    </row>
    <row r="3680" spans="1:9">
      <c r="A3680" s="90">
        <v>3664</v>
      </c>
      <c r="B3680" s="110">
        <v>1.1073581553403602</v>
      </c>
      <c r="C3680" s="110">
        <v>1.0530343108469995</v>
      </c>
      <c r="G3680" s="90">
        <v>3664</v>
      </c>
      <c r="H3680" s="100">
        <v>-5.0301321771273902E-2</v>
      </c>
      <c r="I3680" s="100">
        <v>-4.0147507296415155E-2</v>
      </c>
    </row>
    <row r="3681" spans="1:9">
      <c r="A3681" s="90">
        <v>3665</v>
      </c>
      <c r="B3681" s="110">
        <v>1.1046447546347853</v>
      </c>
      <c r="C3681" s="110">
        <v>1.0651877338806781</v>
      </c>
      <c r="G3681" s="90">
        <v>3665</v>
      </c>
      <c r="H3681" s="100">
        <v>-3.6372734691840922E-2</v>
      </c>
      <c r="I3681" s="100">
        <v>-4.0131158341773339E-2</v>
      </c>
    </row>
    <row r="3682" spans="1:9">
      <c r="A3682" s="90">
        <v>3666</v>
      </c>
      <c r="B3682" s="110">
        <v>1.1139165971330649</v>
      </c>
      <c r="C3682" s="110">
        <v>1.049692319409645</v>
      </c>
      <c r="G3682" s="90">
        <v>3666</v>
      </c>
      <c r="H3682" s="100">
        <v>-5.93851786843742E-2</v>
      </c>
      <c r="I3682" s="100">
        <v>-4.0126095451857149E-2</v>
      </c>
    </row>
    <row r="3683" spans="1:9">
      <c r="A3683" s="90">
        <v>3667</v>
      </c>
      <c r="B3683" s="110">
        <v>1.1163410750490019</v>
      </c>
      <c r="C3683" s="110">
        <v>1.0668017480465919</v>
      </c>
      <c r="G3683" s="90">
        <v>3667</v>
      </c>
      <c r="H3683" s="100">
        <v>-4.53912881565127E-2</v>
      </c>
      <c r="I3683" s="100">
        <v>-4.0124975330567997E-2</v>
      </c>
    </row>
    <row r="3684" spans="1:9">
      <c r="A3684" s="90">
        <v>3668</v>
      </c>
      <c r="B3684" s="110">
        <v>1.1011728898167628</v>
      </c>
      <c r="C3684" s="110">
        <v>1.0706109204117407</v>
      </c>
      <c r="G3684" s="90">
        <v>3668</v>
      </c>
      <c r="H3684" s="100">
        <v>-2.8146436021353995E-2</v>
      </c>
      <c r="I3684" s="100">
        <v>-4.0058108716099293E-2</v>
      </c>
    </row>
    <row r="3685" spans="1:9">
      <c r="A3685" s="90">
        <v>3669</v>
      </c>
      <c r="B3685" s="110">
        <v>1.1264479722012635</v>
      </c>
      <c r="C3685" s="110">
        <v>1.0655463416805744</v>
      </c>
      <c r="G3685" s="90">
        <v>3669</v>
      </c>
      <c r="H3685" s="100">
        <v>-5.5581629965205034E-2</v>
      </c>
      <c r="I3685" s="100">
        <v>-4.0054588315430573E-2</v>
      </c>
    </row>
    <row r="3686" spans="1:9">
      <c r="A3686" s="90">
        <v>3670</v>
      </c>
      <c r="B3686" s="110">
        <v>1.1057937715499055</v>
      </c>
      <c r="C3686" s="110">
        <v>1.0791263717211521</v>
      </c>
      <c r="G3686" s="90">
        <v>3670</v>
      </c>
      <c r="H3686" s="100">
        <v>-2.4411623662481084E-2</v>
      </c>
      <c r="I3686" s="100">
        <v>-4.0049240448132274E-2</v>
      </c>
    </row>
    <row r="3687" spans="1:9">
      <c r="A3687" s="90">
        <v>3671</v>
      </c>
      <c r="B3687" s="110">
        <v>1.0925632912340049</v>
      </c>
      <c r="C3687" s="110">
        <v>1.0743116081105808</v>
      </c>
      <c r="G3687" s="90">
        <v>3671</v>
      </c>
      <c r="H3687" s="100">
        <v>-1.6846486878846136E-2</v>
      </c>
      <c r="I3687" s="100">
        <v>-4.0038630138747512E-2</v>
      </c>
    </row>
    <row r="3688" spans="1:9">
      <c r="A3688" s="90">
        <v>3672</v>
      </c>
      <c r="B3688" s="110">
        <v>1.1486780906982412</v>
      </c>
      <c r="C3688" s="110">
        <v>1.0574784470355769</v>
      </c>
      <c r="G3688" s="90">
        <v>3672</v>
      </c>
      <c r="H3688" s="100">
        <v>-8.2724544182881804E-2</v>
      </c>
      <c r="I3688" s="100">
        <v>-4.0016076861279254E-2</v>
      </c>
    </row>
    <row r="3689" spans="1:9">
      <c r="A3689" s="90">
        <v>3673</v>
      </c>
      <c r="B3689" s="110">
        <v>1.1383041096792375</v>
      </c>
      <c r="C3689" s="110">
        <v>1.0501126321563139</v>
      </c>
      <c r="G3689" s="90">
        <v>3673</v>
      </c>
      <c r="H3689" s="100">
        <v>-8.0642104571329254E-2</v>
      </c>
      <c r="I3689" s="100">
        <v>-4.0013279479743556E-2</v>
      </c>
    </row>
    <row r="3690" spans="1:9">
      <c r="A3690" s="90">
        <v>3674</v>
      </c>
      <c r="B3690" s="110">
        <v>1.1053258681092604</v>
      </c>
      <c r="C3690" s="110">
        <v>1.0464437599172507</v>
      </c>
      <c r="G3690" s="90">
        <v>3674</v>
      </c>
      <c r="H3690" s="100">
        <v>-5.4742674421421993E-2</v>
      </c>
      <c r="I3690" s="100">
        <v>-4.0011911419891223E-2</v>
      </c>
    </row>
    <row r="3691" spans="1:9">
      <c r="A3691" s="90">
        <v>3675</v>
      </c>
      <c r="B3691" s="110">
        <v>1.0515157030396083</v>
      </c>
      <c r="C3691" s="110">
        <v>1.0436379754966876</v>
      </c>
      <c r="G3691" s="90">
        <v>3675</v>
      </c>
      <c r="H3691" s="100">
        <v>-7.5199874333979596E-3</v>
      </c>
      <c r="I3691" s="100">
        <v>-4.0008623453754256E-2</v>
      </c>
    </row>
    <row r="3692" spans="1:9">
      <c r="A3692" s="90">
        <v>3676</v>
      </c>
      <c r="B3692" s="110">
        <v>1.1443012348688</v>
      </c>
      <c r="C3692" s="110">
        <v>1.0562167716526798</v>
      </c>
      <c r="G3692" s="90">
        <v>3676</v>
      </c>
      <c r="H3692" s="100">
        <v>-8.0100735084679506E-2</v>
      </c>
      <c r="I3692" s="100">
        <v>-4.0007819402819701E-2</v>
      </c>
    </row>
    <row r="3693" spans="1:9">
      <c r="A3693" s="90">
        <v>3677</v>
      </c>
      <c r="B3693" s="110">
        <v>1.12651922490448</v>
      </c>
      <c r="C3693" s="110">
        <v>1.0641639029340866</v>
      </c>
      <c r="G3693" s="90">
        <v>3677</v>
      </c>
      <c r="H3693" s="100">
        <v>-5.6943123626928091E-2</v>
      </c>
      <c r="I3693" s="100">
        <v>-3.9990601682742336E-2</v>
      </c>
    </row>
    <row r="3694" spans="1:9">
      <c r="A3694" s="90">
        <v>3678</v>
      </c>
      <c r="B3694" s="110">
        <v>1.1294283070422229</v>
      </c>
      <c r="C3694" s="110">
        <v>1.0560036354439886</v>
      </c>
      <c r="G3694" s="90">
        <v>3678</v>
      </c>
      <c r="H3694" s="100">
        <v>-6.7219953797120993E-2</v>
      </c>
      <c r="I3694" s="100">
        <v>-3.9982861200015103E-2</v>
      </c>
    </row>
    <row r="3695" spans="1:9">
      <c r="A3695" s="90">
        <v>3679</v>
      </c>
      <c r="B3695" s="110">
        <v>1.0947227992805195</v>
      </c>
      <c r="C3695" s="110">
        <v>1.032378000439923</v>
      </c>
      <c r="G3695" s="90">
        <v>3679</v>
      </c>
      <c r="H3695" s="100">
        <v>-5.8636300386801593E-2</v>
      </c>
      <c r="I3695" s="100">
        <v>-3.9973229913869368E-2</v>
      </c>
    </row>
    <row r="3696" spans="1:9">
      <c r="A3696" s="90">
        <v>3680</v>
      </c>
      <c r="B3696" s="110">
        <v>1.1111679108378376</v>
      </c>
      <c r="C3696" s="110">
        <v>1.0585687041197935</v>
      </c>
      <c r="G3696" s="90">
        <v>3680</v>
      </c>
      <c r="H3696" s="100">
        <v>-4.8493917561937792E-2</v>
      </c>
      <c r="I3696" s="100">
        <v>-3.9970602795752513E-2</v>
      </c>
    </row>
    <row r="3697" spans="1:9">
      <c r="A3697" s="90">
        <v>3681</v>
      </c>
      <c r="B3697" s="110">
        <v>1.1242241076788584</v>
      </c>
      <c r="C3697" s="110">
        <v>1.0660045536440925</v>
      </c>
      <c r="G3697" s="90">
        <v>3681</v>
      </c>
      <c r="H3697" s="100">
        <v>-5.3175518207378772E-2</v>
      </c>
      <c r="I3697" s="100">
        <v>-3.9968750052704734E-2</v>
      </c>
    </row>
    <row r="3698" spans="1:9">
      <c r="A3698" s="90">
        <v>3682</v>
      </c>
      <c r="B3698" s="110">
        <v>1.1158099834663902</v>
      </c>
      <c r="C3698" s="110">
        <v>1.0679304036883392</v>
      </c>
      <c r="G3698" s="90">
        <v>3682</v>
      </c>
      <c r="H3698" s="100">
        <v>-4.3858010422305506E-2</v>
      </c>
      <c r="I3698" s="100">
        <v>-3.9936184472340326E-2</v>
      </c>
    </row>
    <row r="3699" spans="1:9">
      <c r="A3699" s="90">
        <v>3683</v>
      </c>
      <c r="B3699" s="110">
        <v>1.1128916821209112</v>
      </c>
      <c r="C3699" s="110">
        <v>1.0457298173901532</v>
      </c>
      <c r="G3699" s="90">
        <v>3683</v>
      </c>
      <c r="H3699" s="100">
        <v>-6.2246715408256333E-2</v>
      </c>
      <c r="I3699" s="100">
        <v>-3.988154577771838E-2</v>
      </c>
    </row>
    <row r="3700" spans="1:9">
      <c r="A3700" s="90">
        <v>3684</v>
      </c>
      <c r="B3700" s="110">
        <v>1.1105205737493107</v>
      </c>
      <c r="C3700" s="110">
        <v>1.0457318881029203</v>
      </c>
      <c r="G3700" s="90">
        <v>3684</v>
      </c>
      <c r="H3700" s="100">
        <v>-6.0111879083178436E-2</v>
      </c>
      <c r="I3700" s="100">
        <v>-3.9870960092829776E-2</v>
      </c>
    </row>
    <row r="3701" spans="1:9">
      <c r="A3701" s="90">
        <v>3685</v>
      </c>
      <c r="B3701" s="110">
        <v>1.1168078943389215</v>
      </c>
      <c r="C3701" s="110">
        <v>1.0445055526807359</v>
      </c>
      <c r="G3701" s="90">
        <v>3685</v>
      </c>
      <c r="H3701" s="100">
        <v>-6.6930903600175215E-2</v>
      </c>
      <c r="I3701" s="100">
        <v>-3.9868400428405504E-2</v>
      </c>
    </row>
    <row r="3702" spans="1:9">
      <c r="A3702" s="90">
        <v>3686</v>
      </c>
      <c r="B3702" s="110">
        <v>1.0904385765967073</v>
      </c>
      <c r="C3702" s="110">
        <v>1.0537268157476511</v>
      </c>
      <c r="G3702" s="90">
        <v>3686</v>
      </c>
      <c r="H3702" s="100">
        <v>-3.4246750735692243E-2</v>
      </c>
      <c r="I3702" s="100">
        <v>-3.9863835663749118E-2</v>
      </c>
    </row>
    <row r="3703" spans="1:9">
      <c r="A3703" s="90">
        <v>3687</v>
      </c>
      <c r="B3703" s="110">
        <v>1.0819912980839357</v>
      </c>
      <c r="C3703" s="110">
        <v>1.0514205636571965</v>
      </c>
      <c r="G3703" s="90">
        <v>3687</v>
      </c>
      <c r="H3703" s="100">
        <v>-2.8660970386097068E-2</v>
      </c>
      <c r="I3703" s="100">
        <v>-3.9860347464232969E-2</v>
      </c>
    </row>
    <row r="3704" spans="1:9">
      <c r="A3704" s="90">
        <v>3688</v>
      </c>
      <c r="B3704" s="110">
        <v>1.1392485332304068</v>
      </c>
      <c r="C3704" s="110">
        <v>1.0431577348567362</v>
      </c>
      <c r="G3704" s="90">
        <v>3688</v>
      </c>
      <c r="H3704" s="100">
        <v>-8.8116467204101351E-2</v>
      </c>
      <c r="I3704" s="100">
        <v>-3.9845426414743333E-2</v>
      </c>
    </row>
    <row r="3705" spans="1:9">
      <c r="A3705" s="90">
        <v>3689</v>
      </c>
      <c r="B3705" s="110">
        <v>1.1174057840118714</v>
      </c>
      <c r="C3705" s="110">
        <v>1.0535293111996555</v>
      </c>
      <c r="G3705" s="90">
        <v>3689</v>
      </c>
      <c r="H3705" s="100">
        <v>-5.8863957781248574E-2</v>
      </c>
      <c r="I3705" s="100">
        <v>-3.9844979944456342E-2</v>
      </c>
    </row>
    <row r="3706" spans="1:9">
      <c r="A3706" s="90">
        <v>3690</v>
      </c>
      <c r="B3706" s="110">
        <v>1.1061843196657293</v>
      </c>
      <c r="C3706" s="110">
        <v>1.0536550667873197</v>
      </c>
      <c r="G3706" s="90">
        <v>3690</v>
      </c>
      <c r="H3706" s="100">
        <v>-4.8651408078867392E-2</v>
      </c>
      <c r="I3706" s="100">
        <v>-3.984307928288635E-2</v>
      </c>
    </row>
    <row r="3707" spans="1:9">
      <c r="A3707" s="90">
        <v>3691</v>
      </c>
      <c r="B3707" s="110">
        <v>1.0966121191127463</v>
      </c>
      <c r="C3707" s="110">
        <v>1.0691996692529591</v>
      </c>
      <c r="G3707" s="90">
        <v>3691</v>
      </c>
      <c r="H3707" s="100">
        <v>-2.5315139519343353E-2</v>
      </c>
      <c r="I3707" s="100">
        <v>-3.9829095278896928E-2</v>
      </c>
    </row>
    <row r="3708" spans="1:9">
      <c r="A3708" s="90">
        <v>3692</v>
      </c>
      <c r="B3708" s="110">
        <v>1.1086252358715922</v>
      </c>
      <c r="C3708" s="110">
        <v>1.0545469787238748</v>
      </c>
      <c r="G3708" s="90">
        <v>3692</v>
      </c>
      <c r="H3708" s="100">
        <v>-5.0009450820431955E-2</v>
      </c>
      <c r="I3708" s="100">
        <v>-3.9827451564954104E-2</v>
      </c>
    </row>
    <row r="3709" spans="1:9">
      <c r="A3709" s="90">
        <v>3693</v>
      </c>
      <c r="B3709" s="110">
        <v>1.1042701164703297</v>
      </c>
      <c r="C3709" s="110">
        <v>1.0396313149397476</v>
      </c>
      <c r="G3709" s="90">
        <v>3693</v>
      </c>
      <c r="H3709" s="100">
        <v>-6.0318443207834159E-2</v>
      </c>
      <c r="I3709" s="100">
        <v>-3.9824087815822182E-2</v>
      </c>
    </row>
    <row r="3710" spans="1:9">
      <c r="A3710" s="90">
        <v>3694</v>
      </c>
      <c r="B3710" s="110">
        <v>1.1046073909474545</v>
      </c>
      <c r="C3710" s="110">
        <v>1.0597942624578884</v>
      </c>
      <c r="G3710" s="90">
        <v>3694</v>
      </c>
      <c r="H3710" s="100">
        <v>-4.1415172260077536E-2</v>
      </c>
      <c r="I3710" s="100">
        <v>-3.9799205414760605E-2</v>
      </c>
    </row>
    <row r="3711" spans="1:9">
      <c r="A3711" s="90">
        <v>3695</v>
      </c>
      <c r="B3711" s="110">
        <v>1.0948619887807514</v>
      </c>
      <c r="C3711" s="110">
        <v>1.0669813536567776</v>
      </c>
      <c r="G3711" s="90">
        <v>3695</v>
      </c>
      <c r="H3711" s="100">
        <v>-2.5794821000666993E-2</v>
      </c>
      <c r="I3711" s="100">
        <v>-3.9786357010046937E-2</v>
      </c>
    </row>
    <row r="3712" spans="1:9">
      <c r="A3712" s="90">
        <v>3696</v>
      </c>
      <c r="B3712" s="110">
        <v>1.0734083855271788</v>
      </c>
      <c r="C3712" s="110">
        <v>1.0659873870352363</v>
      </c>
      <c r="G3712" s="90">
        <v>3696</v>
      </c>
      <c r="H3712" s="100">
        <v>-6.9374992236571629E-3</v>
      </c>
      <c r="I3712" s="100">
        <v>-3.9785511822374463E-2</v>
      </c>
    </row>
    <row r="3713" spans="1:9">
      <c r="A3713" s="90">
        <v>3697</v>
      </c>
      <c r="B3713" s="110">
        <v>1.1393125710278207</v>
      </c>
      <c r="C3713" s="110">
        <v>1.0448799756554377</v>
      </c>
      <c r="G3713" s="90">
        <v>3697</v>
      </c>
      <c r="H3713" s="100">
        <v>-8.6523049665483132E-2</v>
      </c>
      <c r="I3713" s="100">
        <v>-3.977744582866647E-2</v>
      </c>
    </row>
    <row r="3714" spans="1:9">
      <c r="A3714" s="90">
        <v>3698</v>
      </c>
      <c r="B3714" s="110">
        <v>1.1172173280424695</v>
      </c>
      <c r="C3714" s="110">
        <v>1.0543624636778839</v>
      </c>
      <c r="G3714" s="90">
        <v>3698</v>
      </c>
      <c r="H3714" s="100">
        <v>-5.7904780776793334E-2</v>
      </c>
      <c r="I3714" s="100">
        <v>-3.9756042478431577E-2</v>
      </c>
    </row>
    <row r="3715" spans="1:9">
      <c r="A3715" s="90">
        <v>3699</v>
      </c>
      <c r="B3715" s="110">
        <v>1.0940169064208372</v>
      </c>
      <c r="C3715" s="110">
        <v>1.0440094934762782</v>
      </c>
      <c r="G3715" s="90">
        <v>3699</v>
      </c>
      <c r="H3715" s="100">
        <v>-4.6787574859957673E-2</v>
      </c>
      <c r="I3715" s="100">
        <v>-3.9708203981748284E-2</v>
      </c>
    </row>
    <row r="3716" spans="1:9">
      <c r="A3716" s="90">
        <v>3700</v>
      </c>
      <c r="B3716" s="110">
        <v>1.1208528197175285</v>
      </c>
      <c r="C3716" s="110">
        <v>1.0709038760901024</v>
      </c>
      <c r="G3716" s="90">
        <v>3700</v>
      </c>
      <c r="H3716" s="100">
        <v>-4.5586805842463704E-2</v>
      </c>
      <c r="I3716" s="100">
        <v>-3.9707641720184435E-2</v>
      </c>
    </row>
    <row r="3717" spans="1:9">
      <c r="A3717" s="90">
        <v>3701</v>
      </c>
      <c r="B3717" s="110">
        <v>1.1029712868682064</v>
      </c>
      <c r="C3717" s="110">
        <v>1.079930504953053</v>
      </c>
      <c r="G3717" s="90">
        <v>3701</v>
      </c>
      <c r="H3717" s="100">
        <v>-2.1111016281340989E-2</v>
      </c>
      <c r="I3717" s="100">
        <v>-3.9705550741669038E-2</v>
      </c>
    </row>
    <row r="3718" spans="1:9">
      <c r="A3718" s="90">
        <v>3702</v>
      </c>
      <c r="B3718" s="110">
        <v>1.1147622980913887</v>
      </c>
      <c r="C3718" s="110">
        <v>1.0508163095844361</v>
      </c>
      <c r="G3718" s="90">
        <v>3702</v>
      </c>
      <c r="H3718" s="100">
        <v>-5.9073896795801842E-2</v>
      </c>
      <c r="I3718" s="100">
        <v>-3.9698813816818876E-2</v>
      </c>
    </row>
    <row r="3719" spans="1:9">
      <c r="A3719" s="90">
        <v>3703</v>
      </c>
      <c r="B3719" s="110">
        <v>1.0740793167096669</v>
      </c>
      <c r="C3719" s="110">
        <v>1.0584861763212301</v>
      </c>
      <c r="G3719" s="90">
        <v>3703</v>
      </c>
      <c r="H3719" s="100">
        <v>-1.4624093224321719E-2</v>
      </c>
      <c r="I3719" s="100">
        <v>-3.9684530961205437E-2</v>
      </c>
    </row>
    <row r="3720" spans="1:9">
      <c r="A3720" s="90">
        <v>3704</v>
      </c>
      <c r="B3720" s="110">
        <v>1.0824907177985801</v>
      </c>
      <c r="C3720" s="110">
        <v>1.0643488077077334</v>
      </c>
      <c r="G3720" s="90">
        <v>3704</v>
      </c>
      <c r="H3720" s="100">
        <v>-1.6901442086858894E-2</v>
      </c>
      <c r="I3720" s="100">
        <v>-3.9656177078398094E-2</v>
      </c>
    </row>
    <row r="3721" spans="1:9">
      <c r="A3721" s="90">
        <v>3705</v>
      </c>
      <c r="B3721" s="110">
        <v>1.1044136326191325</v>
      </c>
      <c r="C3721" s="110">
        <v>1.0644626667352719</v>
      </c>
      <c r="G3721" s="90">
        <v>3705</v>
      </c>
      <c r="H3721" s="100">
        <v>-3.6844411349755128E-2</v>
      </c>
      <c r="I3721" s="100">
        <v>-3.9606353798091916E-2</v>
      </c>
    </row>
    <row r="3722" spans="1:9">
      <c r="A3722" s="90">
        <v>3706</v>
      </c>
      <c r="B3722" s="110">
        <v>1.1035209917981592</v>
      </c>
      <c r="C3722" s="110">
        <v>1.071685844120065</v>
      </c>
      <c r="G3722" s="90">
        <v>3706</v>
      </c>
      <c r="H3722" s="100">
        <v>-2.9273005617899944E-2</v>
      </c>
      <c r="I3722" s="100">
        <v>-3.9604020738808567E-2</v>
      </c>
    </row>
    <row r="3723" spans="1:9">
      <c r="A3723" s="90">
        <v>3707</v>
      </c>
      <c r="B3723" s="110">
        <v>1.1014346729401636</v>
      </c>
      <c r="C3723" s="110">
        <v>1.0518614627351481</v>
      </c>
      <c r="G3723" s="90">
        <v>3707</v>
      </c>
      <c r="H3723" s="100">
        <v>-4.6052161910523595E-2</v>
      </c>
      <c r="I3723" s="100">
        <v>-3.9597088888842079E-2</v>
      </c>
    </row>
    <row r="3724" spans="1:9">
      <c r="A3724" s="90">
        <v>3708</v>
      </c>
      <c r="B3724" s="110">
        <v>1.1288485800546622</v>
      </c>
      <c r="C3724" s="110">
        <v>1.0480361175887178</v>
      </c>
      <c r="G3724" s="90">
        <v>3708</v>
      </c>
      <c r="H3724" s="100">
        <v>-7.4280108879110726E-2</v>
      </c>
      <c r="I3724" s="100">
        <v>-3.9592129753169919E-2</v>
      </c>
    </row>
    <row r="3725" spans="1:9">
      <c r="A3725" s="90">
        <v>3709</v>
      </c>
      <c r="B3725" s="110">
        <v>1.0989334130420216</v>
      </c>
      <c r="C3725" s="110">
        <v>1.0364318115633717</v>
      </c>
      <c r="G3725" s="90">
        <v>3709</v>
      </c>
      <c r="H3725" s="100">
        <v>-5.8556221381206176E-2</v>
      </c>
      <c r="I3725" s="100">
        <v>-3.9589385973493804E-2</v>
      </c>
    </row>
    <row r="3726" spans="1:9">
      <c r="A3726" s="90">
        <v>3710</v>
      </c>
      <c r="B3726" s="110">
        <v>1.1313206013866397</v>
      </c>
      <c r="C3726" s="110">
        <v>1.0423153440892856</v>
      </c>
      <c r="G3726" s="90">
        <v>3710</v>
      </c>
      <c r="H3726" s="100">
        <v>-8.1941093120210237E-2</v>
      </c>
      <c r="I3726" s="100">
        <v>-3.9572605418240946E-2</v>
      </c>
    </row>
    <row r="3727" spans="1:9">
      <c r="A3727" s="90">
        <v>3711</v>
      </c>
      <c r="B3727" s="110">
        <v>1.1027712631489255</v>
      </c>
      <c r="C3727" s="110">
        <v>1.0468351813712204</v>
      </c>
      <c r="G3727" s="90">
        <v>3711</v>
      </c>
      <c r="H3727" s="100">
        <v>-5.2054842144762824E-2</v>
      </c>
      <c r="I3727" s="100">
        <v>-3.9567596864918314E-2</v>
      </c>
    </row>
    <row r="3728" spans="1:9">
      <c r="A3728" s="90">
        <v>3712</v>
      </c>
      <c r="B3728" s="110">
        <v>1.0974236918362796</v>
      </c>
      <c r="C3728" s="110">
        <v>1.036347905880143</v>
      </c>
      <c r="G3728" s="90">
        <v>3712</v>
      </c>
      <c r="H3728" s="100">
        <v>-5.7262430521190233E-2</v>
      </c>
      <c r="I3728" s="100">
        <v>-3.9556616260969839E-2</v>
      </c>
    </row>
    <row r="3729" spans="1:9">
      <c r="A3729" s="90">
        <v>3713</v>
      </c>
      <c r="B3729" s="110">
        <v>1.1332615675236737</v>
      </c>
      <c r="C3729" s="110">
        <v>1.0483400561541441</v>
      </c>
      <c r="G3729" s="90">
        <v>3713</v>
      </c>
      <c r="H3729" s="100">
        <v>-7.7891803846435431E-2</v>
      </c>
      <c r="I3729" s="100">
        <v>-3.9556369615690624E-2</v>
      </c>
    </row>
    <row r="3730" spans="1:9">
      <c r="A3730" s="90">
        <v>3714</v>
      </c>
      <c r="B3730" s="110">
        <v>1.0973461541748575</v>
      </c>
      <c r="C3730" s="110">
        <v>1.0488977729120113</v>
      </c>
      <c r="G3730" s="90">
        <v>3714</v>
      </c>
      <c r="H3730" s="100">
        <v>-4.5154804990280295E-2</v>
      </c>
      <c r="I3730" s="100">
        <v>-3.9555435017936458E-2</v>
      </c>
    </row>
    <row r="3731" spans="1:9">
      <c r="A3731" s="90">
        <v>3715</v>
      </c>
      <c r="B3731" s="110">
        <v>1.0889151471804634</v>
      </c>
      <c r="C3731" s="110">
        <v>1.0709159036479721</v>
      </c>
      <c r="G3731" s="90">
        <v>3715</v>
      </c>
      <c r="H3731" s="100">
        <v>-1.6667655761563288E-2</v>
      </c>
      <c r="I3731" s="100">
        <v>-3.9551418364121335E-2</v>
      </c>
    </row>
    <row r="3732" spans="1:9">
      <c r="A3732" s="90">
        <v>3716</v>
      </c>
      <c r="B3732" s="110">
        <v>1.1019402159661431</v>
      </c>
      <c r="C3732" s="110">
        <v>1.0506083114308276</v>
      </c>
      <c r="G3732" s="90">
        <v>3716</v>
      </c>
      <c r="H3732" s="100">
        <v>-4.7703118140474295E-2</v>
      </c>
      <c r="I3732" s="100">
        <v>-3.9543822690231989E-2</v>
      </c>
    </row>
    <row r="3733" spans="1:9">
      <c r="A3733" s="90">
        <v>3717</v>
      </c>
      <c r="B3733" s="110">
        <v>1.12379356403793</v>
      </c>
      <c r="C3733" s="110">
        <v>1.0449096330069392</v>
      </c>
      <c r="G3733" s="90">
        <v>3717</v>
      </c>
      <c r="H3733" s="100">
        <v>-7.2779666629527701E-2</v>
      </c>
      <c r="I3733" s="100">
        <v>-3.9536408374631592E-2</v>
      </c>
    </row>
    <row r="3734" spans="1:9">
      <c r="A3734" s="90">
        <v>3718</v>
      </c>
      <c r="B3734" s="110">
        <v>1.0947550744363557</v>
      </c>
      <c r="C3734" s="110">
        <v>1.0726525922926244</v>
      </c>
      <c r="G3734" s="90">
        <v>3718</v>
      </c>
      <c r="H3734" s="100">
        <v>-2.0396023039841296E-2</v>
      </c>
      <c r="I3734" s="100">
        <v>-3.9528630448105041E-2</v>
      </c>
    </row>
    <row r="3735" spans="1:9">
      <c r="A3735" s="90">
        <v>3719</v>
      </c>
      <c r="B3735" s="110">
        <v>1.1291045160223256</v>
      </c>
      <c r="C3735" s="110">
        <v>1.0550644045348989</v>
      </c>
      <c r="G3735" s="90">
        <v>3719</v>
      </c>
      <c r="H3735" s="100">
        <v>-6.782304284459803E-2</v>
      </c>
      <c r="I3735" s="100">
        <v>-3.9516931004558054E-2</v>
      </c>
    </row>
    <row r="3736" spans="1:9">
      <c r="A3736" s="90">
        <v>3720</v>
      </c>
      <c r="B3736" s="110">
        <v>1.1409587908899559</v>
      </c>
      <c r="C3736" s="110">
        <v>1.0736907570403065</v>
      </c>
      <c r="G3736" s="90">
        <v>3720</v>
      </c>
      <c r="H3736" s="100">
        <v>-6.0766934658289008E-2</v>
      </c>
      <c r="I3736" s="100">
        <v>-3.9491907789132752E-2</v>
      </c>
    </row>
    <row r="3737" spans="1:9">
      <c r="A3737" s="90">
        <v>3721</v>
      </c>
      <c r="B3737" s="110">
        <v>1.1036175154585623</v>
      </c>
      <c r="C3737" s="110">
        <v>1.0611222299706116</v>
      </c>
      <c r="G3737" s="90">
        <v>3721</v>
      </c>
      <c r="H3737" s="100">
        <v>-3.9266378829223798E-2</v>
      </c>
      <c r="I3737" s="100">
        <v>-3.9480755578769768E-2</v>
      </c>
    </row>
    <row r="3738" spans="1:9">
      <c r="A3738" s="90">
        <v>3722</v>
      </c>
      <c r="B3738" s="110">
        <v>1.1070140100988473</v>
      </c>
      <c r="C3738" s="110">
        <v>1.051879793607535</v>
      </c>
      <c r="G3738" s="90">
        <v>3722</v>
      </c>
      <c r="H3738" s="100">
        <v>-5.1087466407068467E-2</v>
      </c>
      <c r="I3738" s="100">
        <v>-3.9445809120400452E-2</v>
      </c>
    </row>
    <row r="3739" spans="1:9">
      <c r="A3739" s="90">
        <v>3723</v>
      </c>
      <c r="B3739" s="110">
        <v>1.1147949507689001</v>
      </c>
      <c r="C3739" s="110">
        <v>1.0650489450539562</v>
      </c>
      <c r="G3739" s="90">
        <v>3723</v>
      </c>
      <c r="H3739" s="100">
        <v>-4.5649731442084944E-2</v>
      </c>
      <c r="I3739" s="100">
        <v>-3.9443334524385296E-2</v>
      </c>
    </row>
    <row r="3740" spans="1:9">
      <c r="A3740" s="90">
        <v>3724</v>
      </c>
      <c r="B3740" s="110">
        <v>1.1354743964981806</v>
      </c>
      <c r="C3740" s="110">
        <v>1.0478436727136358</v>
      </c>
      <c r="G3740" s="90">
        <v>3724</v>
      </c>
      <c r="H3740" s="100">
        <v>-8.0316126576686964E-2</v>
      </c>
      <c r="I3740" s="100">
        <v>-3.9424880827346916E-2</v>
      </c>
    </row>
    <row r="3741" spans="1:9">
      <c r="A3741" s="90">
        <v>3725</v>
      </c>
      <c r="B3741" s="110">
        <v>1.1046399895157966</v>
      </c>
      <c r="C3741" s="110">
        <v>1.0509027658326671</v>
      </c>
      <c r="G3741" s="90">
        <v>3725</v>
      </c>
      <c r="H3741" s="100">
        <v>-4.986990878534666E-2</v>
      </c>
      <c r="I3741" s="100">
        <v>-3.9423799035484555E-2</v>
      </c>
    </row>
    <row r="3742" spans="1:9">
      <c r="A3742" s="90">
        <v>3726</v>
      </c>
      <c r="B3742" s="110">
        <v>1.1146562633228614</v>
      </c>
      <c r="C3742" s="110">
        <v>1.0552092295238351</v>
      </c>
      <c r="G3742" s="90">
        <v>3726</v>
      </c>
      <c r="H3742" s="100">
        <v>-5.4807004279028369E-2</v>
      </c>
      <c r="I3742" s="100">
        <v>-3.9410833282050306E-2</v>
      </c>
    </row>
    <row r="3743" spans="1:9">
      <c r="A3743" s="90">
        <v>3727</v>
      </c>
      <c r="B3743" s="110">
        <v>1.1277170517222015</v>
      </c>
      <c r="C3743" s="110">
        <v>1.0455631818231079</v>
      </c>
      <c r="G3743" s="90">
        <v>3727</v>
      </c>
      <c r="H3743" s="100">
        <v>-7.563961071783934E-2</v>
      </c>
      <c r="I3743" s="100">
        <v>-3.9410544591193447E-2</v>
      </c>
    </row>
    <row r="3744" spans="1:9">
      <c r="A3744" s="90">
        <v>3728</v>
      </c>
      <c r="B3744" s="110">
        <v>1.113254232200374</v>
      </c>
      <c r="C3744" s="110">
        <v>1.0297700776239462</v>
      </c>
      <c r="G3744" s="90">
        <v>3728</v>
      </c>
      <c r="H3744" s="100">
        <v>-7.7951915159404542E-2</v>
      </c>
      <c r="I3744" s="100">
        <v>-3.9405656245031895E-2</v>
      </c>
    </row>
    <row r="3745" spans="1:9">
      <c r="A3745" s="90">
        <v>3729</v>
      </c>
      <c r="B3745" s="110">
        <v>1.1370443176739089</v>
      </c>
      <c r="C3745" s="110">
        <v>1.0484444477635801</v>
      </c>
      <c r="G3745" s="90">
        <v>3729</v>
      </c>
      <c r="H3745" s="100">
        <v>-8.112460435931991E-2</v>
      </c>
      <c r="I3745" s="100">
        <v>-3.9401097995914743E-2</v>
      </c>
    </row>
    <row r="3746" spans="1:9">
      <c r="A3746" s="90">
        <v>3730</v>
      </c>
      <c r="B3746" s="110">
        <v>1.1359076181756833</v>
      </c>
      <c r="C3746" s="110">
        <v>1.0585423843260366</v>
      </c>
      <c r="G3746" s="90">
        <v>3730</v>
      </c>
      <c r="H3746" s="100">
        <v>-7.0539142296293517E-2</v>
      </c>
      <c r="I3746" s="100">
        <v>-3.9396213445980217E-2</v>
      </c>
    </row>
    <row r="3747" spans="1:9">
      <c r="A3747" s="90">
        <v>3731</v>
      </c>
      <c r="B3747" s="110">
        <v>1.1021037443306387</v>
      </c>
      <c r="C3747" s="110">
        <v>1.0400148219334522</v>
      </c>
      <c r="G3747" s="90">
        <v>3731</v>
      </c>
      <c r="H3747" s="100">
        <v>-5.7985883249676441E-2</v>
      </c>
      <c r="I3747" s="100">
        <v>-3.9374825642562991E-2</v>
      </c>
    </row>
    <row r="3748" spans="1:9">
      <c r="A3748" s="90">
        <v>3732</v>
      </c>
      <c r="B3748" s="110">
        <v>1.0912043389855584</v>
      </c>
      <c r="C3748" s="110">
        <v>1.0339321238552375</v>
      </c>
      <c r="G3748" s="90">
        <v>3732</v>
      </c>
      <c r="H3748" s="100">
        <v>-5.391285475124806E-2</v>
      </c>
      <c r="I3748" s="100">
        <v>-3.9369900010806896E-2</v>
      </c>
    </row>
    <row r="3749" spans="1:9">
      <c r="A3749" s="90">
        <v>3733</v>
      </c>
      <c r="B3749" s="110">
        <v>1.1467845275326425</v>
      </c>
      <c r="C3749" s="110">
        <v>1.0308928525749061</v>
      </c>
      <c r="G3749" s="90">
        <v>3733</v>
      </c>
      <c r="H3749" s="100">
        <v>-0.10653668916741768</v>
      </c>
      <c r="I3749" s="100">
        <v>-3.9363409814552101E-2</v>
      </c>
    </row>
    <row r="3750" spans="1:9">
      <c r="A3750" s="90">
        <v>3734</v>
      </c>
      <c r="B3750" s="110">
        <v>1.1076261272520738</v>
      </c>
      <c r="C3750" s="110">
        <v>1.0677202712173421</v>
      </c>
      <c r="G3750" s="90">
        <v>3734</v>
      </c>
      <c r="H3750" s="100">
        <v>-3.6693313209190941E-2</v>
      </c>
      <c r="I3750" s="100">
        <v>-3.9327843430581481E-2</v>
      </c>
    </row>
    <row r="3751" spans="1:9">
      <c r="A3751" s="90">
        <v>3735</v>
      </c>
      <c r="B3751" s="110">
        <v>1.1349352101256256</v>
      </c>
      <c r="C3751" s="110">
        <v>1.0460308849938953</v>
      </c>
      <c r="G3751" s="90">
        <v>3735</v>
      </c>
      <c r="H3751" s="100">
        <v>-8.1572673744647564E-2</v>
      </c>
      <c r="I3751" s="100">
        <v>-3.9327266275539306E-2</v>
      </c>
    </row>
    <row r="3752" spans="1:9">
      <c r="A3752" s="90">
        <v>3736</v>
      </c>
      <c r="B3752" s="110">
        <v>1.1357769141053315</v>
      </c>
      <c r="C3752" s="110">
        <v>1.0419087205915798</v>
      </c>
      <c r="G3752" s="90">
        <v>3736</v>
      </c>
      <c r="H3752" s="100">
        <v>-8.6262583291751793E-2</v>
      </c>
      <c r="I3752" s="100">
        <v>-3.9309150793569732E-2</v>
      </c>
    </row>
    <row r="3753" spans="1:9">
      <c r="A3753" s="90">
        <v>3737</v>
      </c>
      <c r="B3753" s="110">
        <v>1.127854038831823</v>
      </c>
      <c r="C3753" s="110">
        <v>1.0390939692714063</v>
      </c>
      <c r="G3753" s="90">
        <v>3737</v>
      </c>
      <c r="H3753" s="100">
        <v>-8.1967596444850757E-2</v>
      </c>
      <c r="I3753" s="100">
        <v>-3.9293103145230636E-2</v>
      </c>
    </row>
    <row r="3754" spans="1:9">
      <c r="A3754" s="90">
        <v>3738</v>
      </c>
      <c r="B3754" s="110">
        <v>1.1110713398892083</v>
      </c>
      <c r="C3754" s="110">
        <v>1.064618719072657</v>
      </c>
      <c r="G3754" s="90">
        <v>3738</v>
      </c>
      <c r="H3754" s="100">
        <v>-4.2707996117490071E-2</v>
      </c>
      <c r="I3754" s="100">
        <v>-3.9287729219378335E-2</v>
      </c>
    </row>
    <row r="3755" spans="1:9">
      <c r="A3755" s="90">
        <v>3739</v>
      </c>
      <c r="B3755" s="110">
        <v>1.1108452880049942</v>
      </c>
      <c r="C3755" s="110">
        <v>1.0714462820184378</v>
      </c>
      <c r="G3755" s="90">
        <v>3739</v>
      </c>
      <c r="H3755" s="100">
        <v>-3.6111845005466998E-2</v>
      </c>
      <c r="I3755" s="100">
        <v>-3.9281349844833266E-2</v>
      </c>
    </row>
    <row r="3756" spans="1:9">
      <c r="A3756" s="90">
        <v>3740</v>
      </c>
      <c r="B3756" s="110">
        <v>1.0661274833594945</v>
      </c>
      <c r="C3756" s="110">
        <v>1.0472469016723074</v>
      </c>
      <c r="G3756" s="90">
        <v>3740</v>
      </c>
      <c r="H3756" s="100">
        <v>-1.7868186683010594E-2</v>
      </c>
      <c r="I3756" s="100">
        <v>-3.9275463912144683E-2</v>
      </c>
    </row>
    <row r="3757" spans="1:9">
      <c r="A3757" s="90">
        <v>3741</v>
      </c>
      <c r="B3757" s="110">
        <v>1.1347947108790388</v>
      </c>
      <c r="C3757" s="110">
        <v>1.0645157230559286</v>
      </c>
      <c r="G3757" s="90">
        <v>3741</v>
      </c>
      <c r="H3757" s="100">
        <v>-6.3931787492378281E-2</v>
      </c>
      <c r="I3757" s="100">
        <v>-3.9266378829223798E-2</v>
      </c>
    </row>
    <row r="3758" spans="1:9">
      <c r="A3758" s="90">
        <v>3742</v>
      </c>
      <c r="B3758" s="110">
        <v>1.0997331404073376</v>
      </c>
      <c r="C3758" s="110">
        <v>1.0419541249436626</v>
      </c>
      <c r="G3758" s="90">
        <v>3742</v>
      </c>
      <c r="H3758" s="100">
        <v>-5.3969634346352352E-2</v>
      </c>
      <c r="I3758" s="100">
        <v>-3.9255072214158859E-2</v>
      </c>
    </row>
    <row r="3759" spans="1:9">
      <c r="A3759" s="90">
        <v>3743</v>
      </c>
      <c r="B3759" s="110">
        <v>1.0933818191650164</v>
      </c>
      <c r="C3759" s="110">
        <v>1.0503414095729886</v>
      </c>
      <c r="G3759" s="90">
        <v>3743</v>
      </c>
      <c r="H3759" s="100">
        <v>-4.0160216248664019E-2</v>
      </c>
      <c r="I3759" s="100">
        <v>-3.9222674472065185E-2</v>
      </c>
    </row>
    <row r="3760" spans="1:9">
      <c r="A3760" s="90">
        <v>3744</v>
      </c>
      <c r="B3760" s="110">
        <v>1.121034120985853</v>
      </c>
      <c r="C3760" s="110">
        <v>1.0632357091706039</v>
      </c>
      <c r="G3760" s="90">
        <v>3744</v>
      </c>
      <c r="H3760" s="100">
        <v>-5.2934767259498396E-2</v>
      </c>
      <c r="I3760" s="100">
        <v>-3.9219835062668219E-2</v>
      </c>
    </row>
    <row r="3761" spans="1:9">
      <c r="A3761" s="90">
        <v>3745</v>
      </c>
      <c r="B3761" s="110">
        <v>1.1100736311610477</v>
      </c>
      <c r="C3761" s="110">
        <v>1.0540507145068163</v>
      </c>
      <c r="G3761" s="90">
        <v>3745</v>
      </c>
      <c r="H3761" s="100">
        <v>-5.1785782311539512E-2</v>
      </c>
      <c r="I3761" s="100">
        <v>-3.9214727327248428E-2</v>
      </c>
    </row>
    <row r="3762" spans="1:9">
      <c r="A3762" s="90">
        <v>3746</v>
      </c>
      <c r="B3762" s="110">
        <v>1.1366460511726431</v>
      </c>
      <c r="C3762" s="110">
        <v>1.0503804234721708</v>
      </c>
      <c r="G3762" s="90">
        <v>3746</v>
      </c>
      <c r="H3762" s="100">
        <v>-7.8929459044134315E-2</v>
      </c>
      <c r="I3762" s="100">
        <v>-3.9205893906113981E-2</v>
      </c>
    </row>
    <row r="3763" spans="1:9">
      <c r="A3763" s="90">
        <v>3747</v>
      </c>
      <c r="B3763" s="110">
        <v>1.1314973527118348</v>
      </c>
      <c r="C3763" s="110">
        <v>1.0470123455046065</v>
      </c>
      <c r="G3763" s="90">
        <v>3747</v>
      </c>
      <c r="H3763" s="100">
        <v>-7.7601123329745336E-2</v>
      </c>
      <c r="I3763" s="100">
        <v>-3.9178463100926958E-2</v>
      </c>
    </row>
    <row r="3764" spans="1:9">
      <c r="A3764" s="90">
        <v>3748</v>
      </c>
      <c r="B3764" s="110">
        <v>1.1180776901751048</v>
      </c>
      <c r="C3764" s="110">
        <v>1.0328749247131632</v>
      </c>
      <c r="G3764" s="90">
        <v>3748</v>
      </c>
      <c r="H3764" s="100">
        <v>-7.9264759487543163E-2</v>
      </c>
      <c r="I3764" s="100">
        <v>-3.9173592580916287E-2</v>
      </c>
    </row>
    <row r="3765" spans="1:9">
      <c r="A3765" s="90">
        <v>3749</v>
      </c>
      <c r="B3765" s="110">
        <v>1.1127715326420495</v>
      </c>
      <c r="C3765" s="110">
        <v>1.0585470826086376</v>
      </c>
      <c r="G3765" s="90">
        <v>3749</v>
      </c>
      <c r="H3765" s="100">
        <v>-4.9956488458987952E-2</v>
      </c>
      <c r="I3765" s="100">
        <v>-3.9137357459054493E-2</v>
      </c>
    </row>
    <row r="3766" spans="1:9">
      <c r="A3766" s="90">
        <v>3750</v>
      </c>
      <c r="B3766" s="110">
        <v>1.1250640867768045</v>
      </c>
      <c r="C3766" s="110">
        <v>1.0386749407843145</v>
      </c>
      <c r="G3766" s="90">
        <v>3750</v>
      </c>
      <c r="H3766" s="100">
        <v>-7.989419465374796E-2</v>
      </c>
      <c r="I3766" s="100">
        <v>-3.9116012261942938E-2</v>
      </c>
    </row>
    <row r="3767" spans="1:9">
      <c r="A3767" s="90">
        <v>3751</v>
      </c>
      <c r="B3767" s="110">
        <v>1.1235321641772797</v>
      </c>
      <c r="C3767" s="110">
        <v>1.0621767446008368</v>
      </c>
      <c r="G3767" s="90">
        <v>3751</v>
      </c>
      <c r="H3767" s="100">
        <v>-5.615710563440398E-2</v>
      </c>
      <c r="I3767" s="100">
        <v>-3.9103254207038002E-2</v>
      </c>
    </row>
    <row r="3768" spans="1:9">
      <c r="A3768" s="90">
        <v>3752</v>
      </c>
      <c r="B3768" s="110">
        <v>1.1016196297242886</v>
      </c>
      <c r="C3768" s="110">
        <v>1.0456276812680096</v>
      </c>
      <c r="G3768" s="90">
        <v>3752</v>
      </c>
      <c r="H3768" s="100">
        <v>-5.2164130529770043E-2</v>
      </c>
      <c r="I3768" s="100">
        <v>-3.9097156354313004E-2</v>
      </c>
    </row>
    <row r="3769" spans="1:9">
      <c r="A3769" s="90">
        <v>3753</v>
      </c>
      <c r="B3769" s="110">
        <v>1.1177766187598559</v>
      </c>
      <c r="C3769" s="110">
        <v>1.0562952808872212</v>
      </c>
      <c r="G3769" s="90">
        <v>3753</v>
      </c>
      <c r="H3769" s="100">
        <v>-5.657378219067237E-2</v>
      </c>
      <c r="I3769" s="100">
        <v>-3.9085018542310335E-2</v>
      </c>
    </row>
    <row r="3770" spans="1:9">
      <c r="A3770" s="90">
        <v>3754</v>
      </c>
      <c r="B3770" s="110">
        <v>1.1173789797602778</v>
      </c>
      <c r="C3770" s="110">
        <v>1.06175305544211</v>
      </c>
      <c r="G3770" s="90">
        <v>3754</v>
      </c>
      <c r="H3770" s="100">
        <v>-5.1064378176003067E-2</v>
      </c>
      <c r="I3770" s="100">
        <v>-3.9081771878477216E-2</v>
      </c>
    </row>
    <row r="3771" spans="1:9">
      <c r="A3771" s="90">
        <v>3755</v>
      </c>
      <c r="B3771" s="110">
        <v>1.1043815944966688</v>
      </c>
      <c r="C3771" s="110">
        <v>1.0634826393279262</v>
      </c>
      <c r="G3771" s="90">
        <v>3755</v>
      </c>
      <c r="H3771" s="100">
        <v>-3.7736503888989602E-2</v>
      </c>
      <c r="I3771" s="100">
        <v>-3.9080556426150014E-2</v>
      </c>
    </row>
    <row r="3772" spans="1:9">
      <c r="A3772" s="90">
        <v>3756</v>
      </c>
      <c r="B3772" s="110">
        <v>1.1027890106040785</v>
      </c>
      <c r="C3772" s="110">
        <v>1.0438921956284137</v>
      </c>
      <c r="G3772" s="90">
        <v>3756</v>
      </c>
      <c r="H3772" s="100">
        <v>-5.488621188701568E-2</v>
      </c>
      <c r="I3772" s="100">
        <v>-3.9079046399350885E-2</v>
      </c>
    </row>
    <row r="3773" spans="1:9">
      <c r="A3773" s="90">
        <v>3757</v>
      </c>
      <c r="B3773" s="110">
        <v>1.137866128286712</v>
      </c>
      <c r="C3773" s="110">
        <v>1.0674259994034958</v>
      </c>
      <c r="G3773" s="90">
        <v>3757</v>
      </c>
      <c r="H3773" s="100">
        <v>-6.3904548758963536E-2</v>
      </c>
      <c r="I3773" s="100">
        <v>-3.90626456153855E-2</v>
      </c>
    </row>
    <row r="3774" spans="1:9">
      <c r="A3774" s="90">
        <v>3758</v>
      </c>
      <c r="B3774" s="110">
        <v>1.0823174547417798</v>
      </c>
      <c r="C3774" s="110">
        <v>1.0443508491746545</v>
      </c>
      <c r="G3774" s="90">
        <v>3758</v>
      </c>
      <c r="H3774" s="100">
        <v>-3.5709038209413943E-2</v>
      </c>
      <c r="I3774" s="100">
        <v>-3.9061773370066832E-2</v>
      </c>
    </row>
    <row r="3775" spans="1:9">
      <c r="A3775" s="90">
        <v>3759</v>
      </c>
      <c r="B3775" s="110">
        <v>1.1152202087495098</v>
      </c>
      <c r="C3775" s="110">
        <v>1.0597563109980994</v>
      </c>
      <c r="G3775" s="90">
        <v>3759</v>
      </c>
      <c r="H3775" s="100">
        <v>-5.1012895639328329E-2</v>
      </c>
      <c r="I3775" s="100">
        <v>-3.9048952755802016E-2</v>
      </c>
    </row>
    <row r="3776" spans="1:9">
      <c r="A3776" s="90">
        <v>3760</v>
      </c>
      <c r="B3776" s="110">
        <v>1.0894849070501567</v>
      </c>
      <c r="C3776" s="110">
        <v>1.0432561439986283</v>
      </c>
      <c r="G3776" s="90">
        <v>3760</v>
      </c>
      <c r="H3776" s="100">
        <v>-4.3358292449824837E-2</v>
      </c>
      <c r="I3776" s="100">
        <v>-3.9020967304440789E-2</v>
      </c>
    </row>
    <row r="3777" spans="1:9">
      <c r="A3777" s="90">
        <v>3761</v>
      </c>
      <c r="B3777" s="110">
        <v>1.1162092196719424</v>
      </c>
      <c r="C3777" s="110">
        <v>1.0526423743462709</v>
      </c>
      <c r="G3777" s="90">
        <v>3761</v>
      </c>
      <c r="H3777" s="100">
        <v>-5.8634769248687053E-2</v>
      </c>
      <c r="I3777" s="100">
        <v>-3.9005867570116461E-2</v>
      </c>
    </row>
    <row r="3778" spans="1:9">
      <c r="A3778" s="90">
        <v>3762</v>
      </c>
      <c r="B3778" s="110">
        <v>1.1123025253316738</v>
      </c>
      <c r="C3778" s="110">
        <v>1.0634231110994314</v>
      </c>
      <c r="G3778" s="90">
        <v>3762</v>
      </c>
      <c r="H3778" s="100">
        <v>-4.4939158916858582E-2</v>
      </c>
      <c r="I3778" s="100">
        <v>-3.8970467677691412E-2</v>
      </c>
    </row>
    <row r="3779" spans="1:9">
      <c r="A3779" s="90">
        <v>3763</v>
      </c>
      <c r="B3779" s="110">
        <v>1.122992523725421</v>
      </c>
      <c r="C3779" s="110">
        <v>1.0605481858415884</v>
      </c>
      <c r="G3779" s="90">
        <v>3763</v>
      </c>
      <c r="H3779" s="100">
        <v>-5.7211087422349358E-2</v>
      </c>
      <c r="I3779" s="100">
        <v>-3.8969564559311602E-2</v>
      </c>
    </row>
    <row r="3780" spans="1:9">
      <c r="A3780" s="90">
        <v>3764</v>
      </c>
      <c r="B3780" s="110">
        <v>1.0874084099409091</v>
      </c>
      <c r="C3780" s="110">
        <v>1.0674114273560142</v>
      </c>
      <c r="G3780" s="90">
        <v>3764</v>
      </c>
      <c r="H3780" s="100">
        <v>-1.8560769043508191E-2</v>
      </c>
      <c r="I3780" s="100">
        <v>-3.8956248428229541E-2</v>
      </c>
    </row>
    <row r="3781" spans="1:9">
      <c r="A3781" s="90">
        <v>3765</v>
      </c>
      <c r="B3781" s="110">
        <v>1.108339527416069</v>
      </c>
      <c r="C3781" s="110">
        <v>1.0709227662728797</v>
      </c>
      <c r="G3781" s="90">
        <v>3765</v>
      </c>
      <c r="H3781" s="100">
        <v>-3.4342298862313665E-2</v>
      </c>
      <c r="I3781" s="100">
        <v>-3.8953753198210053E-2</v>
      </c>
    </row>
    <row r="3782" spans="1:9">
      <c r="A3782" s="90">
        <v>3766</v>
      </c>
      <c r="B3782" s="110">
        <v>1.1035928656630765</v>
      </c>
      <c r="C3782" s="110">
        <v>1.053455028621761</v>
      </c>
      <c r="G3782" s="90">
        <v>3766</v>
      </c>
      <c r="H3782" s="100">
        <v>-4.6495832977242559E-2</v>
      </c>
      <c r="I3782" s="100">
        <v>-3.8935894284491776E-2</v>
      </c>
    </row>
    <row r="3783" spans="1:9">
      <c r="A3783" s="90">
        <v>3767</v>
      </c>
      <c r="B3783" s="110">
        <v>1.1366605757311674</v>
      </c>
      <c r="C3783" s="110">
        <v>1.0455725750079892</v>
      </c>
      <c r="G3783" s="90">
        <v>3767</v>
      </c>
      <c r="H3783" s="100">
        <v>-8.3529989986595776E-2</v>
      </c>
      <c r="I3783" s="100">
        <v>-3.8927530261837623E-2</v>
      </c>
    </row>
    <row r="3784" spans="1:9">
      <c r="A3784" s="90">
        <v>3768</v>
      </c>
      <c r="B3784" s="110">
        <v>1.106905685481983</v>
      </c>
      <c r="C3784" s="110">
        <v>1.0377035282970533</v>
      </c>
      <c r="G3784" s="90">
        <v>3768</v>
      </c>
      <c r="H3784" s="100">
        <v>-6.4558326060877497E-2</v>
      </c>
      <c r="I3784" s="100">
        <v>-3.8922587028444471E-2</v>
      </c>
    </row>
    <row r="3785" spans="1:9">
      <c r="A3785" s="90">
        <v>3769</v>
      </c>
      <c r="B3785" s="110">
        <v>1.1013061911641011</v>
      </c>
      <c r="C3785" s="110">
        <v>1.0447318142251139</v>
      </c>
      <c r="G3785" s="90">
        <v>3769</v>
      </c>
      <c r="H3785" s="100">
        <v>-5.2736706485465613E-2</v>
      </c>
      <c r="I3785" s="100">
        <v>-3.8920509248659224E-2</v>
      </c>
    </row>
    <row r="3786" spans="1:9">
      <c r="A3786" s="90">
        <v>3770</v>
      </c>
      <c r="B3786" s="110">
        <v>1.1341701373877475</v>
      </c>
      <c r="C3786" s="110">
        <v>1.0488591272320429</v>
      </c>
      <c r="G3786" s="90">
        <v>3770</v>
      </c>
      <c r="H3786" s="100">
        <v>-7.8198199063883658E-2</v>
      </c>
      <c r="I3786" s="100">
        <v>-3.8888032542635363E-2</v>
      </c>
    </row>
    <row r="3787" spans="1:9">
      <c r="A3787" s="90">
        <v>3771</v>
      </c>
      <c r="B3787" s="110">
        <v>1.1083270435140082</v>
      </c>
      <c r="C3787" s="110">
        <v>1.0346165501098723</v>
      </c>
      <c r="G3787" s="90">
        <v>3771</v>
      </c>
      <c r="H3787" s="100">
        <v>-6.8820835312724635E-2</v>
      </c>
      <c r="I3787" s="100">
        <v>-3.8887265797602558E-2</v>
      </c>
    </row>
    <row r="3788" spans="1:9">
      <c r="A3788" s="90">
        <v>3772</v>
      </c>
      <c r="B3788" s="110">
        <v>1.1027581914108042</v>
      </c>
      <c r="C3788" s="110">
        <v>1.0645695382993812</v>
      </c>
      <c r="G3788" s="90">
        <v>3772</v>
      </c>
      <c r="H3788" s="100">
        <v>-3.5243960077414371E-2</v>
      </c>
      <c r="I3788" s="100">
        <v>-3.8878789562963152E-2</v>
      </c>
    </row>
    <row r="3789" spans="1:9">
      <c r="A3789" s="90">
        <v>3773</v>
      </c>
      <c r="B3789" s="110">
        <v>1.1158448750138206</v>
      </c>
      <c r="C3789" s="110">
        <v>1.0400947077761122</v>
      </c>
      <c r="G3789" s="90">
        <v>3773</v>
      </c>
      <c r="H3789" s="100">
        <v>-7.0300079237488544E-2</v>
      </c>
      <c r="I3789" s="100">
        <v>-3.8868834667735837E-2</v>
      </c>
    </row>
    <row r="3790" spans="1:9">
      <c r="A3790" s="90">
        <v>3774</v>
      </c>
      <c r="B3790" s="110">
        <v>1.1159901048099268</v>
      </c>
      <c r="C3790" s="110">
        <v>1.060555563787885</v>
      </c>
      <c r="G3790" s="90">
        <v>3774</v>
      </c>
      <c r="H3790" s="100">
        <v>-5.0949109658266697E-2</v>
      </c>
      <c r="I3790" s="100">
        <v>-3.8860857649261067E-2</v>
      </c>
    </row>
    <row r="3791" spans="1:9">
      <c r="A3791" s="90">
        <v>3775</v>
      </c>
      <c r="B3791" s="110">
        <v>1.1249711107078433</v>
      </c>
      <c r="C3791" s="110">
        <v>1.0494497122680573</v>
      </c>
      <c r="G3791" s="90">
        <v>3775</v>
      </c>
      <c r="H3791" s="100">
        <v>-6.9491412720442916E-2</v>
      </c>
      <c r="I3791" s="100">
        <v>-3.8859631723574602E-2</v>
      </c>
    </row>
    <row r="3792" spans="1:9">
      <c r="A3792" s="90">
        <v>3776</v>
      </c>
      <c r="B3792" s="110">
        <v>1.1106797059970099</v>
      </c>
      <c r="C3792" s="110">
        <v>1.0478001140371376</v>
      </c>
      <c r="G3792" s="90">
        <v>3776</v>
      </c>
      <c r="H3792" s="100">
        <v>-5.8279338834109552E-2</v>
      </c>
      <c r="I3792" s="100">
        <v>-3.885724344994939E-2</v>
      </c>
    </row>
    <row r="3793" spans="1:9">
      <c r="A3793" s="90">
        <v>3777</v>
      </c>
      <c r="B3793" s="110">
        <v>1.0923704283029485</v>
      </c>
      <c r="C3793" s="110">
        <v>1.0512463614601713</v>
      </c>
      <c r="G3793" s="90">
        <v>3777</v>
      </c>
      <c r="H3793" s="100">
        <v>-3.8373568714815877E-2</v>
      </c>
      <c r="I3793" s="100">
        <v>-3.8856736317326335E-2</v>
      </c>
    </row>
    <row r="3794" spans="1:9">
      <c r="A3794" s="90">
        <v>3778</v>
      </c>
      <c r="B3794" s="110">
        <v>1.1105076808296592</v>
      </c>
      <c r="C3794" s="110">
        <v>1.0579466548583689</v>
      </c>
      <c r="G3794" s="90">
        <v>3778</v>
      </c>
      <c r="H3794" s="100">
        <v>-4.8487369453064359E-2</v>
      </c>
      <c r="I3794" s="100">
        <v>-3.8842560234595785E-2</v>
      </c>
    </row>
    <row r="3795" spans="1:9">
      <c r="A3795" s="90">
        <v>3779</v>
      </c>
      <c r="B3795" s="110">
        <v>1.1569573728100944</v>
      </c>
      <c r="C3795" s="110">
        <v>1.0267649826026541</v>
      </c>
      <c r="G3795" s="90">
        <v>3779</v>
      </c>
      <c r="H3795" s="100">
        <v>-0.11938053866428731</v>
      </c>
      <c r="I3795" s="100">
        <v>-3.8835320410079456E-2</v>
      </c>
    </row>
    <row r="3796" spans="1:9">
      <c r="A3796" s="90">
        <v>3780</v>
      </c>
      <c r="B3796" s="110">
        <v>1.1117880120631745</v>
      </c>
      <c r="C3796" s="110">
        <v>1.0582229271380164</v>
      </c>
      <c r="G3796" s="90">
        <v>3780</v>
      </c>
      <c r="H3796" s="100">
        <v>-4.9378523600803977E-2</v>
      </c>
      <c r="I3796" s="100">
        <v>-3.8815887991091674E-2</v>
      </c>
    </row>
    <row r="3797" spans="1:9">
      <c r="A3797" s="90">
        <v>3781</v>
      </c>
      <c r="B3797" s="110">
        <v>1.1132968526332094</v>
      </c>
      <c r="C3797" s="110">
        <v>1.0600079483756397</v>
      </c>
      <c r="G3797" s="90">
        <v>3781</v>
      </c>
      <c r="H3797" s="100">
        <v>-4.9049344124279574E-2</v>
      </c>
      <c r="I3797" s="100">
        <v>-3.8812855582080828E-2</v>
      </c>
    </row>
    <row r="3798" spans="1:9">
      <c r="A3798" s="90">
        <v>3782</v>
      </c>
      <c r="B3798" s="110">
        <v>1.0797371350089813</v>
      </c>
      <c r="C3798" s="110">
        <v>1.0533198309538283</v>
      </c>
      <c r="G3798" s="90">
        <v>3782</v>
      </c>
      <c r="H3798" s="100">
        <v>-2.477069786708758E-2</v>
      </c>
      <c r="I3798" s="100">
        <v>-3.8805714804555677E-2</v>
      </c>
    </row>
    <row r="3799" spans="1:9">
      <c r="A3799" s="90">
        <v>3783</v>
      </c>
      <c r="B3799" s="110">
        <v>1.0963112661596501</v>
      </c>
      <c r="C3799" s="110">
        <v>1.0529537169667404</v>
      </c>
      <c r="G3799" s="90">
        <v>3783</v>
      </c>
      <c r="H3799" s="100">
        <v>-4.0351871487398959E-2</v>
      </c>
      <c r="I3799" s="100">
        <v>-3.8795667715343367E-2</v>
      </c>
    </row>
    <row r="3800" spans="1:9">
      <c r="A3800" s="90">
        <v>3784</v>
      </c>
      <c r="B3800" s="110">
        <v>1.1139881727541836</v>
      </c>
      <c r="C3800" s="110">
        <v>1.0677483394497915</v>
      </c>
      <c r="G3800" s="90">
        <v>3784</v>
      </c>
      <c r="H3800" s="100">
        <v>-4.2394448979587288E-2</v>
      </c>
      <c r="I3800" s="100">
        <v>-3.8770642667993328E-2</v>
      </c>
    </row>
    <row r="3801" spans="1:9">
      <c r="A3801" s="90">
        <v>3785</v>
      </c>
      <c r="B3801" s="110">
        <v>1.1048688289292079</v>
      </c>
      <c r="C3801" s="110">
        <v>1.0412471784290138</v>
      </c>
      <c r="G3801" s="90">
        <v>3785</v>
      </c>
      <c r="H3801" s="100">
        <v>-5.930741636892433E-2</v>
      </c>
      <c r="I3801" s="100">
        <v>-3.8769142213681863E-2</v>
      </c>
    </row>
    <row r="3802" spans="1:9">
      <c r="A3802" s="90">
        <v>3786</v>
      </c>
      <c r="B3802" s="110">
        <v>1.11385206939092</v>
      </c>
      <c r="C3802" s="110">
        <v>1.0556323035877497</v>
      </c>
      <c r="G3802" s="90">
        <v>3786</v>
      </c>
      <c r="H3802" s="100">
        <v>-5.3684413109985313E-2</v>
      </c>
      <c r="I3802" s="100">
        <v>-3.8763656138115186E-2</v>
      </c>
    </row>
    <row r="3803" spans="1:9">
      <c r="A3803" s="90">
        <v>3787</v>
      </c>
      <c r="B3803" s="110">
        <v>1.1441472384733782</v>
      </c>
      <c r="C3803" s="110">
        <v>1.0614776655755269</v>
      </c>
      <c r="G3803" s="90">
        <v>3787</v>
      </c>
      <c r="H3803" s="100">
        <v>-7.4997628132822527E-2</v>
      </c>
      <c r="I3803" s="100">
        <v>-3.8712111595835451E-2</v>
      </c>
    </row>
    <row r="3804" spans="1:9">
      <c r="A3804" s="90">
        <v>3788</v>
      </c>
      <c r="B3804" s="110">
        <v>1.1027881263331119</v>
      </c>
      <c r="C3804" s="110">
        <v>1.0453381717244801</v>
      </c>
      <c r="G3804" s="90">
        <v>3788</v>
      </c>
      <c r="H3804" s="100">
        <v>-5.3501190901108976E-2</v>
      </c>
      <c r="I3804" s="100">
        <v>-3.8705348643153996E-2</v>
      </c>
    </row>
    <row r="3805" spans="1:9">
      <c r="A3805" s="90">
        <v>3789</v>
      </c>
      <c r="B3805" s="110">
        <v>1.0816882564798589</v>
      </c>
      <c r="C3805" s="110">
        <v>1.0628332016644462</v>
      </c>
      <c r="G3805" s="90">
        <v>3789</v>
      </c>
      <c r="H3805" s="100">
        <v>-1.7584846834134003E-2</v>
      </c>
      <c r="I3805" s="100">
        <v>-3.8682237086751524E-2</v>
      </c>
    </row>
    <row r="3806" spans="1:9">
      <c r="A3806" s="90">
        <v>3790</v>
      </c>
      <c r="B3806" s="110">
        <v>1.1232112111761119</v>
      </c>
      <c r="C3806" s="110">
        <v>1.0407537295559768</v>
      </c>
      <c r="G3806" s="90">
        <v>3790</v>
      </c>
      <c r="H3806" s="100">
        <v>-7.6246545086040174E-2</v>
      </c>
      <c r="I3806" s="100">
        <v>-3.8676349603073201E-2</v>
      </c>
    </row>
    <row r="3807" spans="1:9">
      <c r="A3807" s="90">
        <v>3791</v>
      </c>
      <c r="B3807" s="110">
        <v>1.087823337301385</v>
      </c>
      <c r="C3807" s="110">
        <v>1.0450385619413898</v>
      </c>
      <c r="G3807" s="90">
        <v>3791</v>
      </c>
      <c r="H3807" s="100">
        <v>-4.0124975330567997E-2</v>
      </c>
      <c r="I3807" s="100">
        <v>-3.8659659344948465E-2</v>
      </c>
    </row>
    <row r="3808" spans="1:9">
      <c r="A3808" s="90">
        <v>3792</v>
      </c>
      <c r="B3808" s="110">
        <v>1.109482396184083</v>
      </c>
      <c r="C3808" s="110">
        <v>1.0367275637557405</v>
      </c>
      <c r="G3808" s="90">
        <v>3792</v>
      </c>
      <c r="H3808" s="100">
        <v>-6.7824417853513466E-2</v>
      </c>
      <c r="I3808" s="100">
        <v>-3.8659481487620655E-2</v>
      </c>
    </row>
    <row r="3809" spans="1:9">
      <c r="A3809" s="90">
        <v>3793</v>
      </c>
      <c r="B3809" s="110">
        <v>1.1049241983660232</v>
      </c>
      <c r="C3809" s="110">
        <v>1.064469049281874</v>
      </c>
      <c r="G3809" s="90">
        <v>3793</v>
      </c>
      <c r="H3809" s="100">
        <v>-3.7300604281795817E-2</v>
      </c>
      <c r="I3809" s="100">
        <v>-3.8650264593090108E-2</v>
      </c>
    </row>
    <row r="3810" spans="1:9">
      <c r="A3810" s="90">
        <v>3794</v>
      </c>
      <c r="B3810" s="110">
        <v>1.0857156414711433</v>
      </c>
      <c r="C3810" s="110">
        <v>1.0674313898935661</v>
      </c>
      <c r="G3810" s="90">
        <v>3794</v>
      </c>
      <c r="H3810" s="100">
        <v>-1.6984154666956925E-2</v>
      </c>
      <c r="I3810" s="100">
        <v>-3.863797095477968E-2</v>
      </c>
    </row>
    <row r="3811" spans="1:9">
      <c r="A3811" s="90">
        <v>3795</v>
      </c>
      <c r="B3811" s="110">
        <v>1.1320633778919837</v>
      </c>
      <c r="C3811" s="110">
        <v>1.0335780204389371</v>
      </c>
      <c r="G3811" s="90">
        <v>3795</v>
      </c>
      <c r="H3811" s="100">
        <v>-9.1015376985947707E-2</v>
      </c>
      <c r="I3811" s="100">
        <v>-3.8633374223684458E-2</v>
      </c>
    </row>
    <row r="3812" spans="1:9">
      <c r="A3812" s="90">
        <v>3796</v>
      </c>
      <c r="B3812" s="110">
        <v>1.111427208319911</v>
      </c>
      <c r="C3812" s="110">
        <v>1.0350677552046414</v>
      </c>
      <c r="G3812" s="90">
        <v>3796</v>
      </c>
      <c r="H3812" s="100">
        <v>-7.1178074146356352E-2</v>
      </c>
      <c r="I3812" s="100">
        <v>-3.8629033850340735E-2</v>
      </c>
    </row>
    <row r="3813" spans="1:9">
      <c r="A3813" s="90">
        <v>3797</v>
      </c>
      <c r="B3813" s="110">
        <v>1.0972498515643283</v>
      </c>
      <c r="C3813" s="110">
        <v>1.049942148441265</v>
      </c>
      <c r="G3813" s="90">
        <v>3797</v>
      </c>
      <c r="H3813" s="100">
        <v>-4.4071848377531087E-2</v>
      </c>
      <c r="I3813" s="100">
        <v>-3.8586037910281756E-2</v>
      </c>
    </row>
    <row r="3814" spans="1:9">
      <c r="A3814" s="90">
        <v>3798</v>
      </c>
      <c r="B3814" s="110">
        <v>1.1176422726084576</v>
      </c>
      <c r="C3814" s="110">
        <v>1.0590346993368915</v>
      </c>
      <c r="G3814" s="90">
        <v>3798</v>
      </c>
      <c r="H3814" s="100">
        <v>-5.3863520480693934E-2</v>
      </c>
      <c r="I3814" s="100">
        <v>-3.8585115942441378E-2</v>
      </c>
    </row>
    <row r="3815" spans="1:9">
      <c r="A3815" s="90">
        <v>3799</v>
      </c>
      <c r="B3815" s="110">
        <v>1.1289678155732761</v>
      </c>
      <c r="C3815" s="110">
        <v>1.0518700208702982</v>
      </c>
      <c r="G3815" s="90">
        <v>3799</v>
      </c>
      <c r="H3815" s="100">
        <v>-7.0734225363923001E-2</v>
      </c>
      <c r="I3815" s="100">
        <v>-3.8558994891070821E-2</v>
      </c>
    </row>
    <row r="3816" spans="1:9">
      <c r="A3816" s="90">
        <v>3800</v>
      </c>
      <c r="B3816" s="110">
        <v>1.1207564158839749</v>
      </c>
      <c r="C3816" s="110">
        <v>1.0414353164383769</v>
      </c>
      <c r="G3816" s="90">
        <v>3800</v>
      </c>
      <c r="H3816" s="100">
        <v>-7.340395503732107E-2</v>
      </c>
      <c r="I3816" s="100">
        <v>-3.8553345234211299E-2</v>
      </c>
    </row>
    <row r="3817" spans="1:9">
      <c r="A3817" s="90">
        <v>3801</v>
      </c>
      <c r="B3817" s="110">
        <v>1.1123384920574311</v>
      </c>
      <c r="C3817" s="110">
        <v>1.0597645703870913</v>
      </c>
      <c r="G3817" s="90">
        <v>3801</v>
      </c>
      <c r="H3817" s="100">
        <v>-4.8417768793579126E-2</v>
      </c>
      <c r="I3817" s="100">
        <v>-3.8532640109886093E-2</v>
      </c>
    </row>
    <row r="3818" spans="1:9">
      <c r="A3818" s="90">
        <v>3802</v>
      </c>
      <c r="B3818" s="110">
        <v>1.13682898275774</v>
      </c>
      <c r="C3818" s="110">
        <v>1.0616616579144877</v>
      </c>
      <c r="G3818" s="90">
        <v>3802</v>
      </c>
      <c r="H3818" s="100">
        <v>-6.8407509987538764E-2</v>
      </c>
      <c r="I3818" s="100">
        <v>-3.8529782010825221E-2</v>
      </c>
    </row>
    <row r="3819" spans="1:9">
      <c r="A3819" s="90">
        <v>3803</v>
      </c>
      <c r="B3819" s="110">
        <v>1.100362082761118</v>
      </c>
      <c r="C3819" s="110">
        <v>1.070820792801878</v>
      </c>
      <c r="G3819" s="90">
        <v>3803</v>
      </c>
      <c r="H3819" s="100">
        <v>-2.7213841304988388E-2</v>
      </c>
      <c r="I3819" s="100">
        <v>-3.8507866967133521E-2</v>
      </c>
    </row>
    <row r="3820" spans="1:9">
      <c r="A3820" s="90">
        <v>3804</v>
      </c>
      <c r="B3820" s="110">
        <v>1.1129670134218403</v>
      </c>
      <c r="C3820" s="110">
        <v>1.0446730022180128</v>
      </c>
      <c r="G3820" s="90">
        <v>3804</v>
      </c>
      <c r="H3820" s="100">
        <v>-6.3325514407283567E-2</v>
      </c>
      <c r="I3820" s="100">
        <v>-3.8499397248085071E-2</v>
      </c>
    </row>
    <row r="3821" spans="1:9">
      <c r="A3821" s="90">
        <v>3805</v>
      </c>
      <c r="B3821" s="110">
        <v>1.1172523411603774</v>
      </c>
      <c r="C3821" s="110">
        <v>1.0539096799549801</v>
      </c>
      <c r="G3821" s="90">
        <v>3805</v>
      </c>
      <c r="H3821" s="100">
        <v>-5.8365650491101019E-2</v>
      </c>
      <c r="I3821" s="100">
        <v>-3.8490096737440208E-2</v>
      </c>
    </row>
    <row r="3822" spans="1:9">
      <c r="A3822" s="90">
        <v>3806</v>
      </c>
      <c r="B3822" s="110">
        <v>1.1210402233013026</v>
      </c>
      <c r="C3822" s="110">
        <v>1.0500671473543415</v>
      </c>
      <c r="G3822" s="90">
        <v>3806</v>
      </c>
      <c r="H3822" s="100">
        <v>-6.540291308500075E-2</v>
      </c>
      <c r="I3822" s="100">
        <v>-3.8476517594345623E-2</v>
      </c>
    </row>
    <row r="3823" spans="1:9">
      <c r="A3823" s="90">
        <v>3807</v>
      </c>
      <c r="B3823" s="110">
        <v>1.1101880775314763</v>
      </c>
      <c r="C3823" s="110">
        <v>1.0508036204727993</v>
      </c>
      <c r="G3823" s="90">
        <v>3807</v>
      </c>
      <c r="H3823" s="100">
        <v>-5.4974215921041514E-2</v>
      </c>
      <c r="I3823" s="100">
        <v>-3.844256557847979E-2</v>
      </c>
    </row>
    <row r="3824" spans="1:9">
      <c r="A3824" s="90">
        <v>3808</v>
      </c>
      <c r="B3824" s="110">
        <v>1.1157783826398686</v>
      </c>
      <c r="C3824" s="110">
        <v>1.0448395300656261</v>
      </c>
      <c r="G3824" s="90">
        <v>3808</v>
      </c>
      <c r="H3824" s="100">
        <v>-6.5688948495755989E-2</v>
      </c>
      <c r="I3824" s="100">
        <v>-3.8433102692492074E-2</v>
      </c>
    </row>
    <row r="3825" spans="1:9">
      <c r="A3825" s="90">
        <v>3809</v>
      </c>
      <c r="B3825" s="110">
        <v>1.0817078358585888</v>
      </c>
      <c r="C3825" s="110">
        <v>1.0424663809546444</v>
      </c>
      <c r="G3825" s="90">
        <v>3809</v>
      </c>
      <c r="H3825" s="100">
        <v>-3.6951695963788771E-2</v>
      </c>
      <c r="I3825" s="100">
        <v>-3.8416773542049483E-2</v>
      </c>
    </row>
    <row r="3826" spans="1:9">
      <c r="A3826" s="90">
        <v>3810</v>
      </c>
      <c r="B3826" s="110">
        <v>1.1224200378625968</v>
      </c>
      <c r="C3826" s="110">
        <v>1.0772308016580472</v>
      </c>
      <c r="G3826" s="90">
        <v>3810</v>
      </c>
      <c r="H3826" s="100">
        <v>-4.1093426606407982E-2</v>
      </c>
      <c r="I3826" s="100">
        <v>-3.8401850770590891E-2</v>
      </c>
    </row>
    <row r="3827" spans="1:9">
      <c r="A3827" s="90">
        <v>3811</v>
      </c>
      <c r="B3827" s="110">
        <v>1.0978822708290443</v>
      </c>
      <c r="C3827" s="110">
        <v>1.0409961807636801</v>
      </c>
      <c r="G3827" s="90">
        <v>3811</v>
      </c>
      <c r="H3827" s="100">
        <v>-5.3204995060340647E-2</v>
      </c>
      <c r="I3827" s="100">
        <v>-3.8379031110284206E-2</v>
      </c>
    </row>
    <row r="3828" spans="1:9">
      <c r="A3828" s="90">
        <v>3812</v>
      </c>
      <c r="B3828" s="110">
        <v>1.0896193824353619</v>
      </c>
      <c r="C3828" s="110">
        <v>1.0695805789550128</v>
      </c>
      <c r="G3828" s="90">
        <v>3812</v>
      </c>
      <c r="H3828" s="100">
        <v>-1.8561855489963319E-2</v>
      </c>
      <c r="I3828" s="100">
        <v>-3.8373568714815877E-2</v>
      </c>
    </row>
    <row r="3829" spans="1:9">
      <c r="A3829" s="90">
        <v>3813</v>
      </c>
      <c r="B3829" s="110">
        <v>1.0858095616710368</v>
      </c>
      <c r="C3829" s="110">
        <v>1.0717716560468791</v>
      </c>
      <c r="G3829" s="90">
        <v>3813</v>
      </c>
      <c r="H3829" s="100">
        <v>-1.3012816017140013E-2</v>
      </c>
      <c r="I3829" s="100">
        <v>-3.83499273797413E-2</v>
      </c>
    </row>
    <row r="3830" spans="1:9">
      <c r="A3830" s="90">
        <v>3814</v>
      </c>
      <c r="B3830" s="110">
        <v>1.1147959328681294</v>
      </c>
      <c r="C3830" s="110">
        <v>1.0408461343788964</v>
      </c>
      <c r="G3830" s="90">
        <v>3814</v>
      </c>
      <c r="H3830" s="100">
        <v>-6.8637395196023784E-2</v>
      </c>
      <c r="I3830" s="100">
        <v>-3.8334257102677058E-2</v>
      </c>
    </row>
    <row r="3831" spans="1:9">
      <c r="A3831" s="90">
        <v>3815</v>
      </c>
      <c r="B3831" s="110">
        <v>1.0925566381647347</v>
      </c>
      <c r="C3831" s="110">
        <v>1.0289104483348799</v>
      </c>
      <c r="G3831" s="90">
        <v>3815</v>
      </c>
      <c r="H3831" s="100">
        <v>-6.0020064150027808E-2</v>
      </c>
      <c r="I3831" s="100">
        <v>-3.8316233054296482E-2</v>
      </c>
    </row>
    <row r="3832" spans="1:9">
      <c r="A3832" s="90">
        <v>3816</v>
      </c>
      <c r="B3832" s="110">
        <v>1.0922033663591879</v>
      </c>
      <c r="C3832" s="110">
        <v>1.0645447889938477</v>
      </c>
      <c r="G3832" s="90">
        <v>3816</v>
      </c>
      <c r="H3832" s="100">
        <v>-2.5649813300035941E-2</v>
      </c>
      <c r="I3832" s="100">
        <v>-3.8312324788088319E-2</v>
      </c>
    </row>
    <row r="3833" spans="1:9">
      <c r="A3833" s="90">
        <v>3817</v>
      </c>
      <c r="B3833" s="110">
        <v>1.0817522973239648</v>
      </c>
      <c r="C3833" s="110">
        <v>1.0592784036489402</v>
      </c>
      <c r="G3833" s="90">
        <v>3817</v>
      </c>
      <c r="H3833" s="100">
        <v>-2.099429879819361E-2</v>
      </c>
      <c r="I3833" s="100">
        <v>-3.8239353365708002E-2</v>
      </c>
    </row>
    <row r="3834" spans="1:9">
      <c r="A3834" s="90">
        <v>3818</v>
      </c>
      <c r="B3834" s="110">
        <v>1.1420219756203001</v>
      </c>
      <c r="C3834" s="110">
        <v>1.0420086548164027</v>
      </c>
      <c r="G3834" s="90">
        <v>3818</v>
      </c>
      <c r="H3834" s="100">
        <v>-9.1650104886241715E-2</v>
      </c>
      <c r="I3834" s="100">
        <v>-3.8230031884560832E-2</v>
      </c>
    </row>
    <row r="3835" spans="1:9">
      <c r="A3835" s="90">
        <v>3819</v>
      </c>
      <c r="B3835" s="110">
        <v>1.1071310927740718</v>
      </c>
      <c r="C3835" s="110">
        <v>1.0765895934049825</v>
      </c>
      <c r="G3835" s="90">
        <v>3819</v>
      </c>
      <c r="H3835" s="100">
        <v>-2.7973807440653579E-2</v>
      </c>
      <c r="I3835" s="100">
        <v>-3.8206789855822473E-2</v>
      </c>
    </row>
    <row r="3836" spans="1:9">
      <c r="A3836" s="90">
        <v>3820</v>
      </c>
      <c r="B3836" s="110">
        <v>1.1079222380921021</v>
      </c>
      <c r="C3836" s="110">
        <v>1.044615596661814</v>
      </c>
      <c r="G3836" s="90">
        <v>3820</v>
      </c>
      <c r="H3836" s="100">
        <v>-5.8837435975912428E-2</v>
      </c>
      <c r="I3836" s="100">
        <v>-3.8198003239762308E-2</v>
      </c>
    </row>
    <row r="3837" spans="1:9">
      <c r="A3837" s="90">
        <v>3821</v>
      </c>
      <c r="B3837" s="110">
        <v>1.0881112752816138</v>
      </c>
      <c r="C3837" s="110">
        <v>1.0519183353749235</v>
      </c>
      <c r="G3837" s="90">
        <v>3821</v>
      </c>
      <c r="H3837" s="100">
        <v>-3.3827934947318353E-2</v>
      </c>
      <c r="I3837" s="100">
        <v>-3.8185389541774452E-2</v>
      </c>
    </row>
    <row r="3838" spans="1:9">
      <c r="A3838" s="90">
        <v>3822</v>
      </c>
      <c r="B3838" s="110">
        <v>1.1168948251726081</v>
      </c>
      <c r="C3838" s="110">
        <v>1.0839685577475984</v>
      </c>
      <c r="G3838" s="90">
        <v>3822</v>
      </c>
      <c r="H3838" s="100">
        <v>-2.9923460519378359E-2</v>
      </c>
      <c r="I3838" s="100">
        <v>-3.8182630899525852E-2</v>
      </c>
    </row>
    <row r="3839" spans="1:9">
      <c r="A3839" s="90">
        <v>3823</v>
      </c>
      <c r="B3839" s="110">
        <v>1.1221960876753359</v>
      </c>
      <c r="C3839" s="110">
        <v>1.0547918873870261</v>
      </c>
      <c r="G3839" s="90">
        <v>3823</v>
      </c>
      <c r="H3839" s="100">
        <v>-6.1944073700885172E-2</v>
      </c>
      <c r="I3839" s="100">
        <v>-3.816537127812189E-2</v>
      </c>
    </row>
    <row r="3840" spans="1:9">
      <c r="A3840" s="90">
        <v>3824</v>
      </c>
      <c r="B3840" s="110">
        <v>1.1215868109545823</v>
      </c>
      <c r="C3840" s="110">
        <v>1.0701650848182709</v>
      </c>
      <c r="G3840" s="90">
        <v>3824</v>
      </c>
      <c r="H3840" s="100">
        <v>-4.6931556644388701E-2</v>
      </c>
      <c r="I3840" s="100">
        <v>-3.8160795040112598E-2</v>
      </c>
    </row>
    <row r="3841" spans="1:9">
      <c r="A3841" s="90">
        <v>3825</v>
      </c>
      <c r="B3841" s="110">
        <v>1.1162622629730277</v>
      </c>
      <c r="C3841" s="110">
        <v>1.04110940778564</v>
      </c>
      <c r="G3841" s="90">
        <v>3825</v>
      </c>
      <c r="H3841" s="100">
        <v>-6.9698956166569029E-2</v>
      </c>
      <c r="I3841" s="100">
        <v>-3.8155070376321404E-2</v>
      </c>
    </row>
    <row r="3842" spans="1:9">
      <c r="A3842" s="90">
        <v>3826</v>
      </c>
      <c r="B3842" s="110">
        <v>1.1157601650590054</v>
      </c>
      <c r="C3842" s="110">
        <v>1.0552761186950836</v>
      </c>
      <c r="G3842" s="90">
        <v>3826</v>
      </c>
      <c r="H3842" s="100">
        <v>-5.5733478436533992E-2</v>
      </c>
      <c r="I3842" s="100">
        <v>-3.8114262407762736E-2</v>
      </c>
    </row>
    <row r="3843" spans="1:9">
      <c r="A3843" s="90">
        <v>3827</v>
      </c>
      <c r="B3843" s="110">
        <v>1.1327094756238876</v>
      </c>
      <c r="C3843" s="110">
        <v>1.0496450568173465</v>
      </c>
      <c r="G3843" s="90">
        <v>3827</v>
      </c>
      <c r="H3843" s="100">
        <v>-7.6160462814681529E-2</v>
      </c>
      <c r="I3843" s="100">
        <v>-3.8102780562606568E-2</v>
      </c>
    </row>
    <row r="3844" spans="1:9">
      <c r="A3844" s="90">
        <v>3828</v>
      </c>
      <c r="B3844" s="110">
        <v>1.1094559646630344</v>
      </c>
      <c r="C3844" s="110">
        <v>1.0276791859308938</v>
      </c>
      <c r="G3844" s="90">
        <v>3828</v>
      </c>
      <c r="H3844" s="100">
        <v>-7.6566730865605254E-2</v>
      </c>
      <c r="I3844" s="100">
        <v>-3.8026040765426469E-2</v>
      </c>
    </row>
    <row r="3845" spans="1:9">
      <c r="A3845" s="90">
        <v>3829</v>
      </c>
      <c r="B3845" s="110">
        <v>1.1053072590246034</v>
      </c>
      <c r="C3845" s="110">
        <v>1.0542785170007747</v>
      </c>
      <c r="G3845" s="90">
        <v>3829</v>
      </c>
      <c r="H3845" s="100">
        <v>-4.7266695942484366E-2</v>
      </c>
      <c r="I3845" s="100">
        <v>-3.8011146715517183E-2</v>
      </c>
    </row>
    <row r="3846" spans="1:9">
      <c r="A3846" s="90">
        <v>3830</v>
      </c>
      <c r="B3846" s="110">
        <v>1.1163761164608719</v>
      </c>
      <c r="C3846" s="110">
        <v>1.0633825052149293</v>
      </c>
      <c r="G3846" s="90">
        <v>3830</v>
      </c>
      <c r="H3846" s="100">
        <v>-4.8632958890034869E-2</v>
      </c>
      <c r="I3846" s="100">
        <v>-3.7997651610316409E-2</v>
      </c>
    </row>
    <row r="3847" spans="1:9">
      <c r="A3847" s="90">
        <v>3831</v>
      </c>
      <c r="B3847" s="110">
        <v>1.1148215182962389</v>
      </c>
      <c r="C3847" s="110">
        <v>1.0508759783988884</v>
      </c>
      <c r="G3847" s="90">
        <v>3831</v>
      </c>
      <c r="H3847" s="100">
        <v>-5.9070237316576867E-2</v>
      </c>
      <c r="I3847" s="100">
        <v>-3.7992325537354689E-2</v>
      </c>
    </row>
    <row r="3848" spans="1:9">
      <c r="A3848" s="90">
        <v>3832</v>
      </c>
      <c r="B3848" s="110">
        <v>1.0776059587149911</v>
      </c>
      <c r="C3848" s="110">
        <v>1.0459262456010201</v>
      </c>
      <c r="G3848" s="90">
        <v>3832</v>
      </c>
      <c r="H3848" s="100">
        <v>-2.9839023456426944E-2</v>
      </c>
      <c r="I3848" s="100">
        <v>-3.7986405023574629E-2</v>
      </c>
    </row>
    <row r="3849" spans="1:9">
      <c r="A3849" s="90">
        <v>3833</v>
      </c>
      <c r="B3849" s="110">
        <v>1.1082967711855687</v>
      </c>
      <c r="C3849" s="110">
        <v>1.0565309065585935</v>
      </c>
      <c r="G3849" s="90">
        <v>3833</v>
      </c>
      <c r="H3849" s="100">
        <v>-4.7833585122256807E-2</v>
      </c>
      <c r="I3849" s="100">
        <v>-3.7950172706769258E-2</v>
      </c>
    </row>
    <row r="3850" spans="1:9">
      <c r="A3850" s="90">
        <v>3834</v>
      </c>
      <c r="B3850" s="110">
        <v>1.1150631736572056</v>
      </c>
      <c r="C3850" s="110">
        <v>1.0381750827483063</v>
      </c>
      <c r="G3850" s="90">
        <v>3834</v>
      </c>
      <c r="H3850" s="100">
        <v>-7.1446617607701407E-2</v>
      </c>
      <c r="I3850" s="100">
        <v>-3.7928513069896135E-2</v>
      </c>
    </row>
    <row r="3851" spans="1:9">
      <c r="A3851" s="90">
        <v>3835</v>
      </c>
      <c r="B3851" s="110">
        <v>1.0992943736332466</v>
      </c>
      <c r="C3851" s="110">
        <v>1.0606769578891553</v>
      </c>
      <c r="G3851" s="90">
        <v>3835</v>
      </c>
      <c r="H3851" s="100">
        <v>-3.5761151655107522E-2</v>
      </c>
      <c r="I3851" s="100">
        <v>-3.7923585168324385E-2</v>
      </c>
    </row>
    <row r="3852" spans="1:9">
      <c r="A3852" s="90">
        <v>3836</v>
      </c>
      <c r="B3852" s="110">
        <v>1.1226345903850368</v>
      </c>
      <c r="C3852" s="110">
        <v>1.0714910671248437</v>
      </c>
      <c r="G3852" s="90">
        <v>3836</v>
      </c>
      <c r="H3852" s="100">
        <v>-4.662703669164818E-2</v>
      </c>
      <c r="I3852" s="100">
        <v>-3.7920253830128321E-2</v>
      </c>
    </row>
    <row r="3853" spans="1:9">
      <c r="A3853" s="90">
        <v>3837</v>
      </c>
      <c r="B3853" s="110">
        <v>1.08985622276163</v>
      </c>
      <c r="C3853" s="110">
        <v>1.0459695217281217</v>
      </c>
      <c r="G3853" s="90">
        <v>3837</v>
      </c>
      <c r="H3853" s="100">
        <v>-4.1101554526464398E-2</v>
      </c>
      <c r="I3853" s="100">
        <v>-3.7920047779456796E-2</v>
      </c>
    </row>
    <row r="3854" spans="1:9">
      <c r="A3854" s="90">
        <v>3838</v>
      </c>
      <c r="B3854" s="110">
        <v>1.0932113981521607</v>
      </c>
      <c r="C3854" s="110">
        <v>1.053369146348951</v>
      </c>
      <c r="G3854" s="90">
        <v>3838</v>
      </c>
      <c r="H3854" s="100">
        <v>-3.7125863377000599E-2</v>
      </c>
      <c r="I3854" s="100">
        <v>-3.7886987022125944E-2</v>
      </c>
    </row>
    <row r="3855" spans="1:9">
      <c r="A3855" s="90">
        <v>3839</v>
      </c>
      <c r="B3855" s="110">
        <v>1.1108638295029865</v>
      </c>
      <c r="C3855" s="110">
        <v>1.0541151785347478</v>
      </c>
      <c r="G3855" s="90">
        <v>3839</v>
      </c>
      <c r="H3855" s="100">
        <v>-5.2436215745807313E-2</v>
      </c>
      <c r="I3855" s="100">
        <v>-3.7886083851966831E-2</v>
      </c>
    </row>
    <row r="3856" spans="1:9">
      <c r="A3856" s="90">
        <v>3840</v>
      </c>
      <c r="B3856" s="110">
        <v>1.0977840614431054</v>
      </c>
      <c r="C3856" s="110">
        <v>1.045701570712444</v>
      </c>
      <c r="G3856" s="90">
        <v>3840</v>
      </c>
      <c r="H3856" s="100">
        <v>-4.8605638704592453E-2</v>
      </c>
      <c r="I3856" s="100">
        <v>-3.7881451113578345E-2</v>
      </c>
    </row>
    <row r="3857" spans="1:9">
      <c r="A3857" s="90">
        <v>3841</v>
      </c>
      <c r="B3857" s="110">
        <v>1.1112034437175264</v>
      </c>
      <c r="C3857" s="110">
        <v>1.0769233510426803</v>
      </c>
      <c r="G3857" s="90">
        <v>3841</v>
      </c>
      <c r="H3857" s="100">
        <v>-3.1335384857719521E-2</v>
      </c>
      <c r="I3857" s="100">
        <v>-3.787966954940334E-2</v>
      </c>
    </row>
    <row r="3858" spans="1:9">
      <c r="A3858" s="90">
        <v>3842</v>
      </c>
      <c r="B3858" s="110">
        <v>1.1205164961765608</v>
      </c>
      <c r="C3858" s="110">
        <v>1.031774773379303</v>
      </c>
      <c r="G3858" s="90">
        <v>3842</v>
      </c>
      <c r="H3858" s="100">
        <v>-8.2509335915733326E-2</v>
      </c>
      <c r="I3858" s="100">
        <v>-3.7877406882332133E-2</v>
      </c>
    </row>
    <row r="3859" spans="1:9">
      <c r="A3859" s="90">
        <v>3843</v>
      </c>
      <c r="B3859" s="110">
        <v>1.1290788097833058</v>
      </c>
      <c r="C3859" s="110">
        <v>1.057162239120307</v>
      </c>
      <c r="G3859" s="90">
        <v>3843</v>
      </c>
      <c r="H3859" s="100">
        <v>-6.5813902386895509E-2</v>
      </c>
      <c r="I3859" s="100">
        <v>-3.7847689132933869E-2</v>
      </c>
    </row>
    <row r="3860" spans="1:9">
      <c r="A3860" s="90">
        <v>3844</v>
      </c>
      <c r="B3860" s="110">
        <v>1.1006617176256388</v>
      </c>
      <c r="C3860" s="110">
        <v>1.0551657870400659</v>
      </c>
      <c r="G3860" s="90">
        <v>3844</v>
      </c>
      <c r="H3860" s="100">
        <v>-4.2213661720609877E-2</v>
      </c>
      <c r="I3860" s="100">
        <v>-3.7831761576118762E-2</v>
      </c>
    </row>
    <row r="3861" spans="1:9">
      <c r="A3861" s="90">
        <v>3845</v>
      </c>
      <c r="B3861" s="110">
        <v>1.1119251316618315</v>
      </c>
      <c r="C3861" s="110">
        <v>1.0569015222698133</v>
      </c>
      <c r="G3861" s="90">
        <v>3845</v>
      </c>
      <c r="H3861" s="100">
        <v>-5.0751330571576124E-2</v>
      </c>
      <c r="I3861" s="100">
        <v>-3.7824896763716274E-2</v>
      </c>
    </row>
    <row r="3862" spans="1:9">
      <c r="A3862" s="90">
        <v>3846</v>
      </c>
      <c r="B3862" s="110">
        <v>1.1526233666564463</v>
      </c>
      <c r="C3862" s="110">
        <v>1.0279316443122803</v>
      </c>
      <c r="G3862" s="90">
        <v>3846</v>
      </c>
      <c r="H3862" s="100">
        <v>-0.11449186184951554</v>
      </c>
      <c r="I3862" s="100">
        <v>-3.7779073860421952E-2</v>
      </c>
    </row>
    <row r="3863" spans="1:9">
      <c r="A3863" s="90">
        <v>3847</v>
      </c>
      <c r="B3863" s="110">
        <v>1.1341568422835129</v>
      </c>
      <c r="C3863" s="110">
        <v>1.0538417214198963</v>
      </c>
      <c r="G3863" s="90">
        <v>3847</v>
      </c>
      <c r="H3863" s="100">
        <v>-7.3447235221979795E-2</v>
      </c>
      <c r="I3863" s="100">
        <v>-3.7777638519401267E-2</v>
      </c>
    </row>
    <row r="3864" spans="1:9">
      <c r="A3864" s="90">
        <v>3848</v>
      </c>
      <c r="B3864" s="110">
        <v>1.1051283498376991</v>
      </c>
      <c r="C3864" s="110">
        <v>1.0719458918359566</v>
      </c>
      <c r="G3864" s="90">
        <v>3848</v>
      </c>
      <c r="H3864" s="100">
        <v>-3.0485894582542038E-2</v>
      </c>
      <c r="I3864" s="100">
        <v>-3.7776124259175002E-2</v>
      </c>
    </row>
    <row r="3865" spans="1:9">
      <c r="A3865" s="90">
        <v>3849</v>
      </c>
      <c r="B3865" s="110">
        <v>1.0870671578959361</v>
      </c>
      <c r="C3865" s="110">
        <v>1.065922548441169</v>
      </c>
      <c r="G3865" s="90">
        <v>3849</v>
      </c>
      <c r="H3865" s="100">
        <v>-1.9642722166042136E-2</v>
      </c>
      <c r="I3865" s="100">
        <v>-3.7746713083039403E-2</v>
      </c>
    </row>
    <row r="3866" spans="1:9">
      <c r="A3866" s="90">
        <v>3850</v>
      </c>
      <c r="B3866" s="110">
        <v>1.0806888018476537</v>
      </c>
      <c r="C3866" s="110">
        <v>1.0467259318859765</v>
      </c>
      <c r="G3866" s="90">
        <v>3850</v>
      </c>
      <c r="H3866" s="100">
        <v>-3.1931484859754597E-2</v>
      </c>
      <c r="I3866" s="100">
        <v>-3.7736557282221327E-2</v>
      </c>
    </row>
    <row r="3867" spans="1:9">
      <c r="A3867" s="90">
        <v>3851</v>
      </c>
      <c r="B3867" s="110">
        <v>1.1012220129457304</v>
      </c>
      <c r="C3867" s="110">
        <v>1.0529951090924936</v>
      </c>
      <c r="G3867" s="90">
        <v>3851</v>
      </c>
      <c r="H3867" s="100">
        <v>-4.4781895643555288E-2</v>
      </c>
      <c r="I3867" s="100">
        <v>-3.7736503888989602E-2</v>
      </c>
    </row>
    <row r="3868" spans="1:9">
      <c r="A3868" s="90">
        <v>3852</v>
      </c>
      <c r="B3868" s="110">
        <v>1.0954010605012414</v>
      </c>
      <c r="C3868" s="110">
        <v>1.0470740653308901</v>
      </c>
      <c r="G3868" s="90">
        <v>3852</v>
      </c>
      <c r="H3868" s="100">
        <v>-4.5120891595073667E-2</v>
      </c>
      <c r="I3868" s="100">
        <v>-3.7732744483249953E-2</v>
      </c>
    </row>
    <row r="3869" spans="1:9">
      <c r="A3869" s="90">
        <v>3853</v>
      </c>
      <c r="B3869" s="110">
        <v>1.099144365341318</v>
      </c>
      <c r="C3869" s="110">
        <v>1.0566789559992587</v>
      </c>
      <c r="G3869" s="90">
        <v>3853</v>
      </c>
      <c r="H3869" s="100">
        <v>-3.9401097995914743E-2</v>
      </c>
      <c r="I3869" s="100">
        <v>-3.7732658326447635E-2</v>
      </c>
    </row>
    <row r="3870" spans="1:9">
      <c r="A3870" s="90">
        <v>3854</v>
      </c>
      <c r="B3870" s="110">
        <v>1.105245393343943</v>
      </c>
      <c r="C3870" s="110">
        <v>1.0475187992540176</v>
      </c>
      <c r="G3870" s="90">
        <v>3854</v>
      </c>
      <c r="H3870" s="100">
        <v>-5.364306630400948E-2</v>
      </c>
      <c r="I3870" s="100">
        <v>-3.7660809628404492E-2</v>
      </c>
    </row>
    <row r="3871" spans="1:9">
      <c r="A3871" s="90">
        <v>3855</v>
      </c>
      <c r="B3871" s="110">
        <v>1.0990785329216406</v>
      </c>
      <c r="C3871" s="110">
        <v>1.0678285321380361</v>
      </c>
      <c r="G3871" s="90">
        <v>3855</v>
      </c>
      <c r="H3871" s="100">
        <v>-2.88449541800186E-2</v>
      </c>
      <c r="I3871" s="100">
        <v>-3.7659072433740552E-2</v>
      </c>
    </row>
    <row r="3872" spans="1:9">
      <c r="A3872" s="90">
        <v>3856</v>
      </c>
      <c r="B3872" s="110">
        <v>1.1083336194064477</v>
      </c>
      <c r="C3872" s="110">
        <v>1.0441433805280207</v>
      </c>
      <c r="G3872" s="90">
        <v>3856</v>
      </c>
      <c r="H3872" s="100">
        <v>-5.9660825849744671E-2</v>
      </c>
      <c r="I3872" s="100">
        <v>-3.7653867463775539E-2</v>
      </c>
    </row>
    <row r="3873" spans="1:9">
      <c r="A3873" s="90">
        <v>3857</v>
      </c>
      <c r="B3873" s="110">
        <v>1.1196594241742415</v>
      </c>
      <c r="C3873" s="110">
        <v>1.060726335773817</v>
      </c>
      <c r="G3873" s="90">
        <v>3857</v>
      </c>
      <c r="H3873" s="100">
        <v>-5.4070657610495745E-2</v>
      </c>
      <c r="I3873" s="100">
        <v>-3.7637894795663096E-2</v>
      </c>
    </row>
    <row r="3874" spans="1:9">
      <c r="A3874" s="90">
        <v>3858</v>
      </c>
      <c r="B3874" s="110">
        <v>1.1239565439800858</v>
      </c>
      <c r="C3874" s="110">
        <v>1.058462407152843</v>
      </c>
      <c r="G3874" s="90">
        <v>3858</v>
      </c>
      <c r="H3874" s="100">
        <v>-6.0037793030096161E-2</v>
      </c>
      <c r="I3874" s="100">
        <v>-3.7625367855899296E-2</v>
      </c>
    </row>
    <row r="3875" spans="1:9">
      <c r="A3875" s="90">
        <v>3859</v>
      </c>
      <c r="B3875" s="110">
        <v>1.1024087134270704</v>
      </c>
      <c r="C3875" s="110">
        <v>1.0700740883012525</v>
      </c>
      <c r="G3875" s="90">
        <v>3859</v>
      </c>
      <c r="H3875" s="100">
        <v>-2.9769637818372992E-2</v>
      </c>
      <c r="I3875" s="100">
        <v>-3.7622435157222071E-2</v>
      </c>
    </row>
    <row r="3876" spans="1:9">
      <c r="A3876" s="90">
        <v>3860</v>
      </c>
      <c r="B3876" s="110">
        <v>1.118176239772706</v>
      </c>
      <c r="C3876" s="110">
        <v>1.0422187619776548</v>
      </c>
      <c r="G3876" s="90">
        <v>3860</v>
      </c>
      <c r="H3876" s="100">
        <v>-7.0347135134081126E-2</v>
      </c>
      <c r="I3876" s="100">
        <v>-3.7600555177831257E-2</v>
      </c>
    </row>
    <row r="3877" spans="1:9">
      <c r="A3877" s="90">
        <v>3861</v>
      </c>
      <c r="B3877" s="110">
        <v>1.1350980890489093</v>
      </c>
      <c r="C3877" s="110">
        <v>1.085901687315995</v>
      </c>
      <c r="G3877" s="90">
        <v>3861</v>
      </c>
      <c r="H3877" s="100">
        <v>-4.4308379188158276E-2</v>
      </c>
      <c r="I3877" s="100">
        <v>-3.7596703649236556E-2</v>
      </c>
    </row>
    <row r="3878" spans="1:9">
      <c r="A3878" s="90">
        <v>3862</v>
      </c>
      <c r="B3878" s="110">
        <v>1.1048433594080274</v>
      </c>
      <c r="C3878" s="110">
        <v>1.0564771862211708</v>
      </c>
      <c r="G3878" s="90">
        <v>3862</v>
      </c>
      <c r="H3878" s="100">
        <v>-4.476360462161999E-2</v>
      </c>
      <c r="I3878" s="100">
        <v>-3.7596136655009771E-2</v>
      </c>
    </row>
    <row r="3879" spans="1:9">
      <c r="A3879" s="90">
        <v>3863</v>
      </c>
      <c r="B3879" s="110">
        <v>1.1069653108054307</v>
      </c>
      <c r="C3879" s="110">
        <v>1.0662283576904363</v>
      </c>
      <c r="G3879" s="90">
        <v>3863</v>
      </c>
      <c r="H3879" s="100">
        <v>-3.7494794992597801E-2</v>
      </c>
      <c r="I3879" s="100">
        <v>-3.7583394178239922E-2</v>
      </c>
    </row>
    <row r="3880" spans="1:9">
      <c r="A3880" s="90">
        <v>3864</v>
      </c>
      <c r="B3880" s="110">
        <v>1.1637090742359908</v>
      </c>
      <c r="C3880" s="110">
        <v>1.0288091648290651</v>
      </c>
      <c r="G3880" s="90">
        <v>3864</v>
      </c>
      <c r="H3880" s="100">
        <v>-0.12321039911420348</v>
      </c>
      <c r="I3880" s="100">
        <v>-3.7572492637368893E-2</v>
      </c>
    </row>
    <row r="3881" spans="1:9">
      <c r="A3881" s="90">
        <v>3865</v>
      </c>
      <c r="B3881" s="110">
        <v>1.1163161674342026</v>
      </c>
      <c r="C3881" s="110">
        <v>1.080347825287383</v>
      </c>
      <c r="G3881" s="90">
        <v>3865</v>
      </c>
      <c r="H3881" s="100">
        <v>-3.2751078251512834E-2</v>
      </c>
      <c r="I3881" s="100">
        <v>-3.749781739922909E-2</v>
      </c>
    </row>
    <row r="3882" spans="1:9">
      <c r="A3882" s="90">
        <v>3866</v>
      </c>
      <c r="B3882" s="110">
        <v>1.1101562945970089</v>
      </c>
      <c r="C3882" s="110">
        <v>1.0543630087039777</v>
      </c>
      <c r="G3882" s="90">
        <v>3866</v>
      </c>
      <c r="H3882" s="100">
        <v>-5.1564009996707974E-2</v>
      </c>
      <c r="I3882" s="100">
        <v>-3.7495021129598495E-2</v>
      </c>
    </row>
    <row r="3883" spans="1:9">
      <c r="A3883" s="90">
        <v>3867</v>
      </c>
      <c r="B3883" s="110">
        <v>1.0892121824887628</v>
      </c>
      <c r="C3883" s="110">
        <v>1.053569592676092</v>
      </c>
      <c r="G3883" s="90">
        <v>3867</v>
      </c>
      <c r="H3883" s="100">
        <v>-3.3270655934818233E-2</v>
      </c>
      <c r="I3883" s="100">
        <v>-3.7494794992597801E-2</v>
      </c>
    </row>
    <row r="3884" spans="1:9">
      <c r="A3884" s="90">
        <v>3868</v>
      </c>
      <c r="B3884" s="110">
        <v>1.1333759280981464</v>
      </c>
      <c r="C3884" s="110">
        <v>1.0585674376269427</v>
      </c>
      <c r="G3884" s="90">
        <v>3868</v>
      </c>
      <c r="H3884" s="100">
        <v>-6.8284205741191914E-2</v>
      </c>
      <c r="I3884" s="100">
        <v>-3.7469135375148052E-2</v>
      </c>
    </row>
    <row r="3885" spans="1:9">
      <c r="A3885" s="90">
        <v>3869</v>
      </c>
      <c r="B3885" s="110">
        <v>1.1230628645148715</v>
      </c>
      <c r="C3885" s="110">
        <v>1.0604267690896967</v>
      </c>
      <c r="G3885" s="90">
        <v>3869</v>
      </c>
      <c r="H3885" s="100">
        <v>-5.7388213830545334E-2</v>
      </c>
      <c r="I3885" s="100">
        <v>-3.7461528814170815E-2</v>
      </c>
    </row>
    <row r="3886" spans="1:9">
      <c r="A3886" s="90">
        <v>3870</v>
      </c>
      <c r="B3886" s="110">
        <v>1.1050345389578178</v>
      </c>
      <c r="C3886" s="110">
        <v>1.0472230391704369</v>
      </c>
      <c r="G3886" s="90">
        <v>3870</v>
      </c>
      <c r="H3886" s="100">
        <v>-5.3734655349375958E-2</v>
      </c>
      <c r="I3886" s="100">
        <v>-3.7414128013497215E-2</v>
      </c>
    </row>
    <row r="3887" spans="1:9">
      <c r="A3887" s="90">
        <v>3871</v>
      </c>
      <c r="B3887" s="110">
        <v>1.1303231343873317</v>
      </c>
      <c r="C3887" s="110">
        <v>1.0664107147133086</v>
      </c>
      <c r="G3887" s="90">
        <v>3871</v>
      </c>
      <c r="H3887" s="100">
        <v>-5.8205014092891243E-2</v>
      </c>
      <c r="I3887" s="100">
        <v>-3.7396340324637012E-2</v>
      </c>
    </row>
    <row r="3888" spans="1:9">
      <c r="A3888" s="90">
        <v>3872</v>
      </c>
      <c r="B3888" s="110">
        <v>1.1008982092311732</v>
      </c>
      <c r="C3888" s="110">
        <v>1.0752830166608511</v>
      </c>
      <c r="G3888" s="90">
        <v>3872</v>
      </c>
      <c r="H3888" s="100">
        <v>-2.354250220988938E-2</v>
      </c>
      <c r="I3888" s="100">
        <v>-3.7379034622080101E-2</v>
      </c>
    </row>
    <row r="3889" spans="1:9">
      <c r="A3889" s="90">
        <v>3873</v>
      </c>
      <c r="B3889" s="110">
        <v>1.1315206579299106</v>
      </c>
      <c r="C3889" s="110">
        <v>1.0649835152904967</v>
      </c>
      <c r="G3889" s="90">
        <v>3873</v>
      </c>
      <c r="H3889" s="100">
        <v>-6.0603122602464504E-2</v>
      </c>
      <c r="I3889" s="100">
        <v>-3.7364400345194844E-2</v>
      </c>
    </row>
    <row r="3890" spans="1:9">
      <c r="A3890" s="90">
        <v>3874</v>
      </c>
      <c r="B3890" s="110">
        <v>1.1161064538237471</v>
      </c>
      <c r="C3890" s="110">
        <v>1.0508966919942297</v>
      </c>
      <c r="G3890" s="90">
        <v>3874</v>
      </c>
      <c r="H3890" s="100">
        <v>-6.020245603998594E-2</v>
      </c>
      <c r="I3890" s="100">
        <v>-3.735080977708892E-2</v>
      </c>
    </row>
    <row r="3891" spans="1:9">
      <c r="A3891" s="90">
        <v>3875</v>
      </c>
      <c r="B3891" s="110">
        <v>1.0937474478132692</v>
      </c>
      <c r="C3891" s="110">
        <v>1.0446167292182469</v>
      </c>
      <c r="G3891" s="90">
        <v>3875</v>
      </c>
      <c r="H3891" s="100">
        <v>-4.5959773415859301E-2</v>
      </c>
      <c r="I3891" s="100">
        <v>-3.7344327509949447E-2</v>
      </c>
    </row>
    <row r="3892" spans="1:9">
      <c r="A3892" s="90">
        <v>3876</v>
      </c>
      <c r="B3892" s="110">
        <v>1.0964017106288209</v>
      </c>
      <c r="C3892" s="110">
        <v>1.0412193033522008</v>
      </c>
      <c r="G3892" s="90">
        <v>3876</v>
      </c>
      <c r="H3892" s="100">
        <v>-5.1641212178333916E-2</v>
      </c>
      <c r="I3892" s="100">
        <v>-3.7338800893776947E-2</v>
      </c>
    </row>
    <row r="3893" spans="1:9">
      <c r="A3893" s="90">
        <v>3877</v>
      </c>
      <c r="B3893" s="110">
        <v>1.1020322389697967</v>
      </c>
      <c r="C3893" s="110">
        <v>1.0314452115373984</v>
      </c>
      <c r="G3893" s="90">
        <v>3877</v>
      </c>
      <c r="H3893" s="100">
        <v>-6.6195028477537651E-2</v>
      </c>
      <c r="I3893" s="100">
        <v>-3.7338480435739924E-2</v>
      </c>
    </row>
    <row r="3894" spans="1:9">
      <c r="A3894" s="90">
        <v>3878</v>
      </c>
      <c r="B3894" s="110">
        <v>1.1165486016370207</v>
      </c>
      <c r="C3894" s="110">
        <v>1.0456839467436221</v>
      </c>
      <c r="G3894" s="90">
        <v>3878</v>
      </c>
      <c r="H3894" s="100">
        <v>-6.5571155881606114E-2</v>
      </c>
      <c r="I3894" s="100">
        <v>-3.7331450988654535E-2</v>
      </c>
    </row>
    <row r="3895" spans="1:9">
      <c r="A3895" s="90">
        <v>3879</v>
      </c>
      <c r="B3895" s="110">
        <v>1.110883552683462</v>
      </c>
      <c r="C3895" s="110">
        <v>1.0531894049341133</v>
      </c>
      <c r="G3895" s="90">
        <v>3879</v>
      </c>
      <c r="H3895" s="100">
        <v>-5.3332603388869533E-2</v>
      </c>
      <c r="I3895" s="100">
        <v>-3.7329325590292631E-2</v>
      </c>
    </row>
    <row r="3896" spans="1:9">
      <c r="A3896" s="90">
        <v>3880</v>
      </c>
      <c r="B3896" s="110">
        <v>1.1236264221048076</v>
      </c>
      <c r="C3896" s="110">
        <v>1.0596514642843862</v>
      </c>
      <c r="G3896" s="90">
        <v>3880</v>
      </c>
      <c r="H3896" s="100">
        <v>-5.8621284774552099E-2</v>
      </c>
      <c r="I3896" s="100">
        <v>-3.7326124573107126E-2</v>
      </c>
    </row>
    <row r="3897" spans="1:9">
      <c r="A3897" s="90">
        <v>3881</v>
      </c>
      <c r="B3897" s="110">
        <v>1.0793869326831016</v>
      </c>
      <c r="C3897" s="110">
        <v>1.076281097770641</v>
      </c>
      <c r="G3897" s="90">
        <v>3881</v>
      </c>
      <c r="H3897" s="100">
        <v>-2.8815541332467948E-3</v>
      </c>
      <c r="I3897" s="100">
        <v>-3.7319255152845718E-2</v>
      </c>
    </row>
    <row r="3898" spans="1:9">
      <c r="A3898" s="90">
        <v>3882</v>
      </c>
      <c r="B3898" s="110">
        <v>1.1088483760627998</v>
      </c>
      <c r="C3898" s="110">
        <v>1.0507488219074022</v>
      </c>
      <c r="G3898" s="90">
        <v>3882</v>
      </c>
      <c r="H3898" s="100">
        <v>-5.3818903996680857E-2</v>
      </c>
      <c r="I3898" s="100">
        <v>-3.7300604281795817E-2</v>
      </c>
    </row>
    <row r="3899" spans="1:9">
      <c r="A3899" s="90">
        <v>3883</v>
      </c>
      <c r="B3899" s="110">
        <v>1.122017942900674</v>
      </c>
      <c r="C3899" s="110">
        <v>1.0518519277416738</v>
      </c>
      <c r="G3899" s="90">
        <v>3883</v>
      </c>
      <c r="H3899" s="100">
        <v>-6.457644755111637E-2</v>
      </c>
      <c r="I3899" s="100">
        <v>-3.7287415648584607E-2</v>
      </c>
    </row>
    <row r="3900" spans="1:9">
      <c r="A3900" s="90">
        <v>3884</v>
      </c>
      <c r="B3900" s="110">
        <v>1.1021107661485656</v>
      </c>
      <c r="C3900" s="110">
        <v>1.0545654887188556</v>
      </c>
      <c r="G3900" s="90">
        <v>3884</v>
      </c>
      <c r="H3900" s="100">
        <v>-4.4098396369441503E-2</v>
      </c>
      <c r="I3900" s="100">
        <v>-3.7276197219627973E-2</v>
      </c>
    </row>
    <row r="3901" spans="1:9">
      <c r="A3901" s="90">
        <v>3885</v>
      </c>
      <c r="B3901" s="110">
        <v>1.0939149150976064</v>
      </c>
      <c r="C3901" s="110">
        <v>1.034945092746919</v>
      </c>
      <c r="G3901" s="90">
        <v>3885</v>
      </c>
      <c r="H3901" s="100">
        <v>-5.5414552017372672E-2</v>
      </c>
      <c r="I3901" s="100">
        <v>-3.7273200248077086E-2</v>
      </c>
    </row>
    <row r="3902" spans="1:9">
      <c r="A3902" s="90">
        <v>3886</v>
      </c>
      <c r="B3902" s="110">
        <v>1.0982273211601239</v>
      </c>
      <c r="C3902" s="110">
        <v>1.0499166512381586</v>
      </c>
      <c r="G3902" s="90">
        <v>3886</v>
      </c>
      <c r="H3902" s="100">
        <v>-4.4986572435629368E-2</v>
      </c>
      <c r="I3902" s="100">
        <v>-3.7266207949684077E-2</v>
      </c>
    </row>
    <row r="3903" spans="1:9">
      <c r="A3903" s="90">
        <v>3887</v>
      </c>
      <c r="B3903" s="110">
        <v>1.1159755237760136</v>
      </c>
      <c r="C3903" s="110">
        <v>1.060907867792301</v>
      </c>
      <c r="G3903" s="90">
        <v>3887</v>
      </c>
      <c r="H3903" s="100">
        <v>-5.0603911013834844E-2</v>
      </c>
      <c r="I3903" s="100">
        <v>-3.7212556697913381E-2</v>
      </c>
    </row>
    <row r="3904" spans="1:9">
      <c r="A3904" s="90">
        <v>3888</v>
      </c>
      <c r="B3904" s="110">
        <v>1.0977067256820559</v>
      </c>
      <c r="C3904" s="110">
        <v>1.0325329627241959</v>
      </c>
      <c r="G3904" s="90">
        <v>3888</v>
      </c>
      <c r="H3904" s="100">
        <v>-6.1208238259858952E-2</v>
      </c>
      <c r="I3904" s="100">
        <v>-3.7194317996772169E-2</v>
      </c>
    </row>
    <row r="3905" spans="1:9">
      <c r="A3905" s="90">
        <v>3889</v>
      </c>
      <c r="B3905" s="110">
        <v>1.1323871385042064</v>
      </c>
      <c r="C3905" s="110">
        <v>1.0487983518506394</v>
      </c>
      <c r="G3905" s="90">
        <v>3889</v>
      </c>
      <c r="H3905" s="100">
        <v>-7.6682834454936108E-2</v>
      </c>
      <c r="I3905" s="100">
        <v>-3.7159197209827098E-2</v>
      </c>
    </row>
    <row r="3906" spans="1:9">
      <c r="A3906" s="90">
        <v>3890</v>
      </c>
      <c r="B3906" s="110">
        <v>1.1256286096145276</v>
      </c>
      <c r="C3906" s="110">
        <v>1.0589328407633574</v>
      </c>
      <c r="G3906" s="90">
        <v>3890</v>
      </c>
      <c r="H3906" s="100">
        <v>-6.1079996697704669E-2</v>
      </c>
      <c r="I3906" s="100">
        <v>-3.7153283747893742E-2</v>
      </c>
    </row>
    <row r="3907" spans="1:9">
      <c r="A3907" s="90">
        <v>3891</v>
      </c>
      <c r="B3907" s="110">
        <v>1.1182098274272667</v>
      </c>
      <c r="C3907" s="110">
        <v>1.0480384966314302</v>
      </c>
      <c r="G3907" s="90">
        <v>3891</v>
      </c>
      <c r="H3907" s="100">
        <v>-6.4808719533844247E-2</v>
      </c>
      <c r="I3907" s="100">
        <v>-3.7125863377000599E-2</v>
      </c>
    </row>
    <row r="3908" spans="1:9">
      <c r="A3908" s="90">
        <v>3892</v>
      </c>
      <c r="B3908" s="110">
        <v>1.115396208788197</v>
      </c>
      <c r="C3908" s="110">
        <v>1.0523001606179538</v>
      </c>
      <c r="G3908" s="90">
        <v>3892</v>
      </c>
      <c r="H3908" s="100">
        <v>-5.8231288597189512E-2</v>
      </c>
      <c r="I3908" s="100">
        <v>-3.7110026830422492E-2</v>
      </c>
    </row>
    <row r="3909" spans="1:9">
      <c r="A3909" s="90">
        <v>3893</v>
      </c>
      <c r="B3909" s="110">
        <v>1.1128498089241401</v>
      </c>
      <c r="C3909" s="110">
        <v>1.0438369789584923</v>
      </c>
      <c r="G3909" s="90">
        <v>3893</v>
      </c>
      <c r="H3909" s="100">
        <v>-6.4020793777128437E-2</v>
      </c>
      <c r="I3909" s="100">
        <v>-3.7099677502624544E-2</v>
      </c>
    </row>
    <row r="3910" spans="1:9">
      <c r="A3910" s="90">
        <v>3894</v>
      </c>
      <c r="B3910" s="110">
        <v>1.1283982416910285</v>
      </c>
      <c r="C3910" s="110">
        <v>1.0448174742301237</v>
      </c>
      <c r="G3910" s="90">
        <v>3894</v>
      </c>
      <c r="H3910" s="100">
        <v>-7.695693756007406E-2</v>
      </c>
      <c r="I3910" s="100">
        <v>-3.709073510114301E-2</v>
      </c>
    </row>
    <row r="3911" spans="1:9">
      <c r="A3911" s="90">
        <v>3895</v>
      </c>
      <c r="B3911" s="110">
        <v>1.1074353246843882</v>
      </c>
      <c r="C3911" s="110">
        <v>1.042944115900664</v>
      </c>
      <c r="G3911" s="90">
        <v>3895</v>
      </c>
      <c r="H3911" s="100">
        <v>-5.9999229225374845E-2</v>
      </c>
      <c r="I3911" s="100">
        <v>-3.707328736098147E-2</v>
      </c>
    </row>
    <row r="3912" spans="1:9">
      <c r="A3912" s="90">
        <v>3896</v>
      </c>
      <c r="B3912" s="110">
        <v>1.1089034078142348</v>
      </c>
      <c r="C3912" s="110">
        <v>1.062531497059799</v>
      </c>
      <c r="G3912" s="90">
        <v>3896</v>
      </c>
      <c r="H3912" s="100">
        <v>-4.2717340452060548E-2</v>
      </c>
      <c r="I3912" s="100">
        <v>-3.7066661903840767E-2</v>
      </c>
    </row>
    <row r="3913" spans="1:9">
      <c r="A3913" s="90">
        <v>3897</v>
      </c>
      <c r="B3913" s="110">
        <v>1.1326430509100169</v>
      </c>
      <c r="C3913" s="110">
        <v>1.0503573671979305</v>
      </c>
      <c r="G3913" s="90">
        <v>3897</v>
      </c>
      <c r="H3913" s="100">
        <v>-7.5423428691485231E-2</v>
      </c>
      <c r="I3913" s="100">
        <v>-3.706261372816913E-2</v>
      </c>
    </row>
    <row r="3914" spans="1:9">
      <c r="A3914" s="90">
        <v>3898</v>
      </c>
      <c r="B3914" s="110">
        <v>1.0996974000321234</v>
      </c>
      <c r="C3914" s="110">
        <v>1.0435144720816651</v>
      </c>
      <c r="G3914" s="90">
        <v>3898</v>
      </c>
      <c r="H3914" s="100">
        <v>-5.2440734851723382E-2</v>
      </c>
      <c r="I3914" s="100">
        <v>-3.7058888872902304E-2</v>
      </c>
    </row>
    <row r="3915" spans="1:9">
      <c r="A3915" s="90">
        <v>3899</v>
      </c>
      <c r="B3915" s="110">
        <v>1.0997405130005204</v>
      </c>
      <c r="C3915" s="110">
        <v>1.0465080825893296</v>
      </c>
      <c r="G3915" s="90">
        <v>3899</v>
      </c>
      <c r="H3915" s="100">
        <v>-4.9615268380887791E-2</v>
      </c>
      <c r="I3915" s="100">
        <v>-3.7052742477981876E-2</v>
      </c>
    </row>
    <row r="3916" spans="1:9">
      <c r="A3916" s="90">
        <v>3900</v>
      </c>
      <c r="B3916" s="110">
        <v>1.0826049800037871</v>
      </c>
      <c r="C3916" s="110">
        <v>1.1004388433105678</v>
      </c>
      <c r="G3916" s="90">
        <v>3900</v>
      </c>
      <c r="H3916" s="100">
        <v>1.6338893299091519E-2</v>
      </c>
      <c r="I3916" s="100">
        <v>-3.7046572188723481E-2</v>
      </c>
    </row>
    <row r="3917" spans="1:9">
      <c r="A3917" s="90">
        <v>3901</v>
      </c>
      <c r="B3917" s="110">
        <v>1.1138619905748628</v>
      </c>
      <c r="C3917" s="110">
        <v>1.0570460407850155</v>
      </c>
      <c r="G3917" s="90">
        <v>3901</v>
      </c>
      <c r="H3917" s="100">
        <v>-5.2354983532874017E-2</v>
      </c>
      <c r="I3917" s="100">
        <v>-3.700773370890522E-2</v>
      </c>
    </row>
    <row r="3918" spans="1:9">
      <c r="A3918" s="90">
        <v>3902</v>
      </c>
      <c r="B3918" s="110">
        <v>1.095414628385101</v>
      </c>
      <c r="C3918" s="110">
        <v>1.0526885714858454</v>
      </c>
      <c r="G3918" s="90">
        <v>3902</v>
      </c>
      <c r="H3918" s="100">
        <v>-3.9785511822374463E-2</v>
      </c>
      <c r="I3918" s="100">
        <v>-3.7005434104412843E-2</v>
      </c>
    </row>
    <row r="3919" spans="1:9">
      <c r="A3919" s="90">
        <v>3903</v>
      </c>
      <c r="B3919" s="110">
        <v>1.0651343384063399</v>
      </c>
      <c r="C3919" s="110">
        <v>1.0503586150732025</v>
      </c>
      <c r="G3919" s="90">
        <v>3903</v>
      </c>
      <c r="H3919" s="100">
        <v>-1.3969286531661376E-2</v>
      </c>
      <c r="I3919" s="100">
        <v>-3.6990113938349528E-2</v>
      </c>
    </row>
    <row r="3920" spans="1:9">
      <c r="A3920" s="90">
        <v>3904</v>
      </c>
      <c r="B3920" s="110">
        <v>1.1271899567930519</v>
      </c>
      <c r="C3920" s="110">
        <v>1.0439426003203511</v>
      </c>
      <c r="G3920" s="90">
        <v>3904</v>
      </c>
      <c r="H3920" s="100">
        <v>-7.6723264278423881E-2</v>
      </c>
      <c r="I3920" s="100">
        <v>-3.6977687713825258E-2</v>
      </c>
    </row>
    <row r="3921" spans="1:9">
      <c r="A3921" s="90">
        <v>3905</v>
      </c>
      <c r="B3921" s="110">
        <v>1.1065722041254928</v>
      </c>
      <c r="C3921" s="110">
        <v>1.0496195682535869</v>
      </c>
      <c r="G3921" s="90">
        <v>3905</v>
      </c>
      <c r="H3921" s="100">
        <v>-5.2839350330996709E-2</v>
      </c>
      <c r="I3921" s="100">
        <v>-3.6951695963788771E-2</v>
      </c>
    </row>
    <row r="3922" spans="1:9">
      <c r="A3922" s="90">
        <v>3906</v>
      </c>
      <c r="B3922" s="110">
        <v>1.1098211948680521</v>
      </c>
      <c r="C3922" s="110">
        <v>1.072367719169312</v>
      </c>
      <c r="G3922" s="90">
        <v>3906</v>
      </c>
      <c r="H3922" s="100">
        <v>-3.4329891200778451E-2</v>
      </c>
      <c r="I3922" s="100">
        <v>-3.6944063053615764E-2</v>
      </c>
    </row>
    <row r="3923" spans="1:9">
      <c r="A3923" s="90">
        <v>3907</v>
      </c>
      <c r="B3923" s="110">
        <v>1.1117066113390157</v>
      </c>
      <c r="C3923" s="110">
        <v>1.0446616809229818</v>
      </c>
      <c r="G3923" s="90">
        <v>3907</v>
      </c>
      <c r="H3923" s="100">
        <v>-6.220323960753283E-2</v>
      </c>
      <c r="I3923" s="100">
        <v>-3.6891503265005468E-2</v>
      </c>
    </row>
    <row r="3924" spans="1:9">
      <c r="A3924" s="90">
        <v>3908</v>
      </c>
      <c r="B3924" s="110">
        <v>1.1021829397303347</v>
      </c>
      <c r="C3924" s="110">
        <v>1.0676203551819978</v>
      </c>
      <c r="G3924" s="90">
        <v>3908</v>
      </c>
      <c r="H3924" s="100">
        <v>-3.1860499301322981E-2</v>
      </c>
      <c r="I3924" s="100">
        <v>-3.6879014698808714E-2</v>
      </c>
    </row>
    <row r="3925" spans="1:9">
      <c r="A3925" s="90">
        <v>3909</v>
      </c>
      <c r="B3925" s="110">
        <v>1.0878024960740742</v>
      </c>
      <c r="C3925" s="110">
        <v>1.0592045848640055</v>
      </c>
      <c r="G3925" s="90">
        <v>3909</v>
      </c>
      <c r="H3925" s="100">
        <v>-2.6641367810108174E-2</v>
      </c>
      <c r="I3925" s="100">
        <v>-3.6876658494975685E-2</v>
      </c>
    </row>
    <row r="3926" spans="1:9">
      <c r="A3926" s="90">
        <v>3910</v>
      </c>
      <c r="B3926" s="110">
        <v>1.1375024253662114</v>
      </c>
      <c r="C3926" s="110">
        <v>1.0460071190729021</v>
      </c>
      <c r="G3926" s="90">
        <v>3910</v>
      </c>
      <c r="H3926" s="100">
        <v>-8.3854832414162486E-2</v>
      </c>
      <c r="I3926" s="100">
        <v>-3.6861879257017588E-2</v>
      </c>
    </row>
    <row r="3927" spans="1:9">
      <c r="A3927" s="90">
        <v>3911</v>
      </c>
      <c r="B3927" s="110">
        <v>1.1164595124233352</v>
      </c>
      <c r="C3927" s="110">
        <v>1.0518661301201457</v>
      </c>
      <c r="G3927" s="90">
        <v>3911</v>
      </c>
      <c r="H3927" s="100">
        <v>-5.9596675216140288E-2</v>
      </c>
      <c r="I3927" s="100">
        <v>-3.685679691130752E-2</v>
      </c>
    </row>
    <row r="3928" spans="1:9">
      <c r="A3928" s="90">
        <v>3912</v>
      </c>
      <c r="B3928" s="110">
        <v>1.0977835859679539</v>
      </c>
      <c r="C3928" s="110">
        <v>1.0421489732081439</v>
      </c>
      <c r="G3928" s="90">
        <v>3912</v>
      </c>
      <c r="H3928" s="100">
        <v>-5.2008323629019471E-2</v>
      </c>
      <c r="I3928" s="100">
        <v>-3.6850435888474899E-2</v>
      </c>
    </row>
    <row r="3929" spans="1:9">
      <c r="A3929" s="90">
        <v>3913</v>
      </c>
      <c r="B3929" s="110">
        <v>1.1085722459327232</v>
      </c>
      <c r="C3929" s="110">
        <v>1.035776883666526</v>
      </c>
      <c r="G3929" s="90">
        <v>3913</v>
      </c>
      <c r="H3929" s="100">
        <v>-6.7921165062942337E-2</v>
      </c>
      <c r="I3929" s="100">
        <v>-3.6848819933673505E-2</v>
      </c>
    </row>
    <row r="3930" spans="1:9">
      <c r="A3930" s="90">
        <v>3914</v>
      </c>
      <c r="B3930" s="110">
        <v>1.0758596923047508</v>
      </c>
      <c r="C3930" s="110">
        <v>1.058082945966301</v>
      </c>
      <c r="G3930" s="90">
        <v>3914</v>
      </c>
      <c r="H3930" s="100">
        <v>-1.6661326553797561E-2</v>
      </c>
      <c r="I3930" s="100">
        <v>-3.6846974002478806E-2</v>
      </c>
    </row>
    <row r="3931" spans="1:9">
      <c r="A3931" s="90">
        <v>3915</v>
      </c>
      <c r="B3931" s="110">
        <v>1.1043781300514157</v>
      </c>
      <c r="C3931" s="110">
        <v>1.0582633045383094</v>
      </c>
      <c r="G3931" s="90">
        <v>3915</v>
      </c>
      <c r="H3931" s="100">
        <v>-4.2653225769489274E-2</v>
      </c>
      <c r="I3931" s="100">
        <v>-3.6844411349755128E-2</v>
      </c>
    </row>
    <row r="3932" spans="1:9">
      <c r="A3932" s="90">
        <v>3916</v>
      </c>
      <c r="B3932" s="110">
        <v>1.1058222285998958</v>
      </c>
      <c r="C3932" s="110">
        <v>1.0638315332273596</v>
      </c>
      <c r="G3932" s="90">
        <v>3916</v>
      </c>
      <c r="H3932" s="100">
        <v>-3.8712111595835451E-2</v>
      </c>
      <c r="I3932" s="100">
        <v>-3.684324380172057E-2</v>
      </c>
    </row>
    <row r="3933" spans="1:9">
      <c r="A3933" s="90">
        <v>3917</v>
      </c>
      <c r="B3933" s="110">
        <v>1.0989139555885965</v>
      </c>
      <c r="C3933" s="110">
        <v>1.0640714658377393</v>
      </c>
      <c r="G3933" s="90">
        <v>3917</v>
      </c>
      <c r="H3933" s="100">
        <v>-3.2219823183850894E-2</v>
      </c>
      <c r="I3933" s="100">
        <v>-3.6820174527287898E-2</v>
      </c>
    </row>
    <row r="3934" spans="1:9">
      <c r="A3934" s="90">
        <v>3918</v>
      </c>
      <c r="B3934" s="110">
        <v>1.0968895611573417</v>
      </c>
      <c r="C3934" s="110">
        <v>1.0525173497091189</v>
      </c>
      <c r="G3934" s="90">
        <v>3918</v>
      </c>
      <c r="H3934" s="100">
        <v>-4.1293731990446648E-2</v>
      </c>
      <c r="I3934" s="100">
        <v>-3.6811650942911986E-2</v>
      </c>
    </row>
    <row r="3935" spans="1:9">
      <c r="A3935" s="90">
        <v>3919</v>
      </c>
      <c r="B3935" s="110">
        <v>1.0993625312767588</v>
      </c>
      <c r="C3935" s="110">
        <v>1.0540237808958177</v>
      </c>
      <c r="G3935" s="90">
        <v>3919</v>
      </c>
      <c r="H3935" s="100">
        <v>-4.2115482413912393E-2</v>
      </c>
      <c r="I3935" s="100">
        <v>-3.6809378935211141E-2</v>
      </c>
    </row>
    <row r="3936" spans="1:9">
      <c r="A3936" s="90">
        <v>3920</v>
      </c>
      <c r="B3936" s="110">
        <v>1.117314970856895</v>
      </c>
      <c r="C3936" s="110">
        <v>1.0385825827281823</v>
      </c>
      <c r="G3936" s="90">
        <v>3920</v>
      </c>
      <c r="H3936" s="100">
        <v>-7.3071577283612771E-2</v>
      </c>
      <c r="I3936" s="100">
        <v>-3.680045463376156E-2</v>
      </c>
    </row>
    <row r="3937" spans="1:9">
      <c r="A3937" s="90">
        <v>3921</v>
      </c>
      <c r="B3937" s="110">
        <v>1.132145384844458</v>
      </c>
      <c r="C3937" s="110">
        <v>1.0492291143336758</v>
      </c>
      <c r="G3937" s="90">
        <v>3921</v>
      </c>
      <c r="H3937" s="100">
        <v>-7.6058685671149776E-2</v>
      </c>
      <c r="I3937" s="100">
        <v>-3.677903245430765E-2</v>
      </c>
    </row>
    <row r="3938" spans="1:9">
      <c r="A3938" s="90">
        <v>3922</v>
      </c>
      <c r="B3938" s="110">
        <v>1.1258870847690099</v>
      </c>
      <c r="C3938" s="110">
        <v>1.066213305121015</v>
      </c>
      <c r="G3938" s="90">
        <v>3922</v>
      </c>
      <c r="H3938" s="100">
        <v>-5.4457840393473234E-2</v>
      </c>
      <c r="I3938" s="100">
        <v>-3.6760044848528968E-2</v>
      </c>
    </row>
    <row r="3939" spans="1:9">
      <c r="A3939" s="90">
        <v>3923</v>
      </c>
      <c r="B3939" s="110">
        <v>1.118085170043517</v>
      </c>
      <c r="C3939" s="110">
        <v>1.0476623611930989</v>
      </c>
      <c r="G3939" s="90">
        <v>3923</v>
      </c>
      <c r="H3939" s="100">
        <v>-6.5056192994561252E-2</v>
      </c>
      <c r="I3939" s="100">
        <v>-3.6746840281085352E-2</v>
      </c>
    </row>
    <row r="3940" spans="1:9">
      <c r="A3940" s="90">
        <v>3924</v>
      </c>
      <c r="B3940" s="110">
        <v>1.1039074902729633</v>
      </c>
      <c r="C3940" s="110">
        <v>1.0531149893868264</v>
      </c>
      <c r="G3940" s="90">
        <v>3924</v>
      </c>
      <c r="H3940" s="100">
        <v>-4.7103720414638804E-2</v>
      </c>
      <c r="I3940" s="100">
        <v>-3.6741741998201308E-2</v>
      </c>
    </row>
    <row r="3941" spans="1:9">
      <c r="A3941" s="90">
        <v>3925</v>
      </c>
      <c r="B3941" s="110">
        <v>1.0952180481721234</v>
      </c>
      <c r="C3941" s="110">
        <v>1.0522332855498535</v>
      </c>
      <c r="G3941" s="90">
        <v>3925</v>
      </c>
      <c r="H3941" s="100">
        <v>-4.0038630138747512E-2</v>
      </c>
      <c r="I3941" s="100">
        <v>-3.6727094623634597E-2</v>
      </c>
    </row>
    <row r="3942" spans="1:9">
      <c r="A3942" s="90">
        <v>3926</v>
      </c>
      <c r="B3942" s="110">
        <v>1.0922721304769594</v>
      </c>
      <c r="C3942" s="110">
        <v>1.0459358473229723</v>
      </c>
      <c r="G3942" s="90">
        <v>3926</v>
      </c>
      <c r="H3942" s="100">
        <v>-4.3348017679410766E-2</v>
      </c>
      <c r="I3942" s="100">
        <v>-3.6722207448100466E-2</v>
      </c>
    </row>
    <row r="3943" spans="1:9">
      <c r="A3943" s="90">
        <v>3927</v>
      </c>
      <c r="B3943" s="110">
        <v>1.0918076837997808</v>
      </c>
      <c r="C3943" s="110">
        <v>1.0502508425156074</v>
      </c>
      <c r="G3943" s="90">
        <v>3927</v>
      </c>
      <c r="H3943" s="100">
        <v>-3.8805714804555677E-2</v>
      </c>
      <c r="I3943" s="100">
        <v>-3.6707365276659042E-2</v>
      </c>
    </row>
    <row r="3944" spans="1:9">
      <c r="A3944" s="90">
        <v>3928</v>
      </c>
      <c r="B3944" s="110">
        <v>1.1269979886142896</v>
      </c>
      <c r="C3944" s="110">
        <v>1.0413856791606508</v>
      </c>
      <c r="G3944" s="90">
        <v>3928</v>
      </c>
      <c r="H3944" s="100">
        <v>-7.9005240204540209E-2</v>
      </c>
      <c r="I3944" s="100">
        <v>-3.669969713729479E-2</v>
      </c>
    </row>
    <row r="3945" spans="1:9">
      <c r="A3945" s="90">
        <v>3929</v>
      </c>
      <c r="B3945" s="110">
        <v>1.1104593461680836</v>
      </c>
      <c r="C3945" s="110">
        <v>1.0619385844666038</v>
      </c>
      <c r="G3945" s="90">
        <v>3929</v>
      </c>
      <c r="H3945" s="100">
        <v>-4.4677664020375936E-2</v>
      </c>
      <c r="I3945" s="100">
        <v>-3.6693313209190941E-2</v>
      </c>
    </row>
    <row r="3946" spans="1:9">
      <c r="A3946" s="90">
        <v>3930</v>
      </c>
      <c r="B3946" s="110">
        <v>1.0974727935716226</v>
      </c>
      <c r="C3946" s="110">
        <v>1.0632719715345189</v>
      </c>
      <c r="G3946" s="90">
        <v>3930</v>
      </c>
      <c r="H3946" s="100">
        <v>-3.165915676084468E-2</v>
      </c>
      <c r="I3946" s="100">
        <v>-3.6680419993182056E-2</v>
      </c>
    </row>
    <row r="3947" spans="1:9">
      <c r="A3947" s="90">
        <v>3931</v>
      </c>
      <c r="B3947" s="110">
        <v>1.1225109796973893</v>
      </c>
      <c r="C3947" s="110">
        <v>1.0426363642428498</v>
      </c>
      <c r="G3947" s="90">
        <v>3931</v>
      </c>
      <c r="H3947" s="100">
        <v>-7.3815650888341452E-2</v>
      </c>
      <c r="I3947" s="100">
        <v>-3.6664674793636907E-2</v>
      </c>
    </row>
    <row r="3948" spans="1:9">
      <c r="A3948" s="90">
        <v>3932</v>
      </c>
      <c r="B3948" s="110">
        <v>1.1288240128881408</v>
      </c>
      <c r="C3948" s="110">
        <v>1.0538566955377835</v>
      </c>
      <c r="G3948" s="90">
        <v>3932</v>
      </c>
      <c r="H3948" s="100">
        <v>-6.8719915876853346E-2</v>
      </c>
      <c r="I3948" s="100">
        <v>-3.6653662975658481E-2</v>
      </c>
    </row>
    <row r="3949" spans="1:9">
      <c r="A3949" s="90">
        <v>3933</v>
      </c>
      <c r="B3949" s="110">
        <v>1.1267838275331494</v>
      </c>
      <c r="C3949" s="110">
        <v>1.0353119198243268</v>
      </c>
      <c r="G3949" s="90">
        <v>3933</v>
      </c>
      <c r="H3949" s="100">
        <v>-8.4664651230177315E-2</v>
      </c>
      <c r="I3949" s="100">
        <v>-3.6647879834791661E-2</v>
      </c>
    </row>
    <row r="3950" spans="1:9">
      <c r="A3950" s="90">
        <v>3934</v>
      </c>
      <c r="B3950" s="110">
        <v>1.1070398209487813</v>
      </c>
      <c r="C3950" s="110">
        <v>1.0727025844433782</v>
      </c>
      <c r="G3950" s="90">
        <v>3934</v>
      </c>
      <c r="H3950" s="100">
        <v>-3.1508381123168068E-2</v>
      </c>
      <c r="I3950" s="100">
        <v>-3.6627916623775764E-2</v>
      </c>
    </row>
    <row r="3951" spans="1:9">
      <c r="A3951" s="90">
        <v>3935</v>
      </c>
      <c r="B3951" s="110">
        <v>1.1196350883617099</v>
      </c>
      <c r="C3951" s="110">
        <v>1.0588960674108332</v>
      </c>
      <c r="G3951" s="90">
        <v>3935</v>
      </c>
      <c r="H3951" s="100">
        <v>-5.5775898651736752E-2</v>
      </c>
      <c r="I3951" s="100">
        <v>-3.6613939519496881E-2</v>
      </c>
    </row>
    <row r="3952" spans="1:9">
      <c r="A3952" s="90">
        <v>3936</v>
      </c>
      <c r="B3952" s="110">
        <v>1.1034755224151405</v>
      </c>
      <c r="C3952" s="110">
        <v>1.064358899050152</v>
      </c>
      <c r="G3952" s="90">
        <v>3936</v>
      </c>
      <c r="H3952" s="100">
        <v>-3.6092119516924953E-2</v>
      </c>
      <c r="I3952" s="100">
        <v>-3.6597214659207421E-2</v>
      </c>
    </row>
    <row r="3953" spans="1:9">
      <c r="A3953" s="90">
        <v>3937</v>
      </c>
      <c r="B3953" s="110">
        <v>1.1005444434294918</v>
      </c>
      <c r="C3953" s="110">
        <v>1.0522615755933762</v>
      </c>
      <c r="G3953" s="90">
        <v>3937</v>
      </c>
      <c r="H3953" s="100">
        <v>-4.486327652041458E-2</v>
      </c>
      <c r="I3953" s="100">
        <v>-3.6594638068456344E-2</v>
      </c>
    </row>
    <row r="3954" spans="1:9">
      <c r="A3954" s="90">
        <v>3938</v>
      </c>
      <c r="B3954" s="110">
        <v>1.0959824000372445</v>
      </c>
      <c r="C3954" s="110">
        <v>1.0552771574438411</v>
      </c>
      <c r="G3954" s="90">
        <v>3938</v>
      </c>
      <c r="H3954" s="100">
        <v>-3.7847689132933869E-2</v>
      </c>
      <c r="I3954" s="100">
        <v>-3.6592636940979952E-2</v>
      </c>
    </row>
    <row r="3955" spans="1:9">
      <c r="A3955" s="90">
        <v>3939</v>
      </c>
      <c r="B3955" s="110">
        <v>1.1024117657460453</v>
      </c>
      <c r="C3955" s="110">
        <v>1.0556515670493727</v>
      </c>
      <c r="G3955" s="90">
        <v>3939</v>
      </c>
      <c r="H3955" s="100">
        <v>-4.3342118675735598E-2</v>
      </c>
      <c r="I3955" s="100">
        <v>-3.6589822085387608E-2</v>
      </c>
    </row>
    <row r="3956" spans="1:9">
      <c r="A3956" s="90">
        <v>3940</v>
      </c>
      <c r="B3956" s="110">
        <v>1.1267596410908416</v>
      </c>
      <c r="C3956" s="110">
        <v>1.0377885759632974</v>
      </c>
      <c r="G3956" s="90">
        <v>3940</v>
      </c>
      <c r="H3956" s="100">
        <v>-8.2253859146134159E-2</v>
      </c>
      <c r="I3956" s="100">
        <v>-3.6581365558349885E-2</v>
      </c>
    </row>
    <row r="3957" spans="1:9">
      <c r="A3957" s="90">
        <v>3941</v>
      </c>
      <c r="B3957" s="110">
        <v>1.1078971347069873</v>
      </c>
      <c r="C3957" s="110">
        <v>1.0368849538651677</v>
      </c>
      <c r="G3957" s="90">
        <v>3941</v>
      </c>
      <c r="H3957" s="100">
        <v>-6.6242763516750527E-2</v>
      </c>
      <c r="I3957" s="100">
        <v>-3.6544365807301443E-2</v>
      </c>
    </row>
    <row r="3958" spans="1:9">
      <c r="A3958" s="90">
        <v>3942</v>
      </c>
      <c r="B3958" s="110">
        <v>1.0983304919832968</v>
      </c>
      <c r="C3958" s="110">
        <v>1.0271941760270962</v>
      </c>
      <c r="G3958" s="90">
        <v>3942</v>
      </c>
      <c r="H3958" s="100">
        <v>-6.696030813594904E-2</v>
      </c>
      <c r="I3958" s="100">
        <v>-3.6542146265146166E-2</v>
      </c>
    </row>
    <row r="3959" spans="1:9">
      <c r="A3959" s="90">
        <v>3943</v>
      </c>
      <c r="B3959" s="110">
        <v>1.1150881142815294</v>
      </c>
      <c r="C3959" s="110">
        <v>1.056901033725886</v>
      </c>
      <c r="G3959" s="90">
        <v>3943</v>
      </c>
      <c r="H3959" s="100">
        <v>-5.3592354944943091E-2</v>
      </c>
      <c r="I3959" s="100">
        <v>-3.6527857323725509E-2</v>
      </c>
    </row>
    <row r="3960" spans="1:9">
      <c r="A3960" s="90">
        <v>3944</v>
      </c>
      <c r="B3960" s="110">
        <v>1.1088388607474389</v>
      </c>
      <c r="C3960" s="110">
        <v>1.0331794168714612</v>
      </c>
      <c r="G3960" s="90">
        <v>3944</v>
      </c>
      <c r="H3960" s="100">
        <v>-7.067253609708174E-2</v>
      </c>
      <c r="I3960" s="100">
        <v>-3.6516947679726908E-2</v>
      </c>
    </row>
    <row r="3961" spans="1:9">
      <c r="A3961" s="90">
        <v>3945</v>
      </c>
      <c r="B3961" s="110">
        <v>1.0882209213180432</v>
      </c>
      <c r="C3961" s="110">
        <v>1.0379582380994077</v>
      </c>
      <c r="G3961" s="90">
        <v>3945</v>
      </c>
      <c r="H3961" s="100">
        <v>-4.7288629613930593E-2</v>
      </c>
      <c r="I3961" s="100">
        <v>-3.6499584165639261E-2</v>
      </c>
    </row>
    <row r="3962" spans="1:9">
      <c r="A3962" s="90">
        <v>3946</v>
      </c>
      <c r="B3962" s="110">
        <v>1.0977251123702112</v>
      </c>
      <c r="C3962" s="110">
        <v>1.0399453172950042</v>
      </c>
      <c r="G3962" s="90">
        <v>3946</v>
      </c>
      <c r="H3962" s="100">
        <v>-5.4071826464297319E-2</v>
      </c>
      <c r="I3962" s="100">
        <v>-3.6464102557960489E-2</v>
      </c>
    </row>
    <row r="3963" spans="1:9">
      <c r="A3963" s="90">
        <v>3947</v>
      </c>
      <c r="B3963" s="110">
        <v>1.0777442227134431</v>
      </c>
      <c r="C3963" s="110">
        <v>1.0557163156275813</v>
      </c>
      <c r="G3963" s="90">
        <v>3947</v>
      </c>
      <c r="H3963" s="100">
        <v>-2.0650665434050232E-2</v>
      </c>
      <c r="I3963" s="100">
        <v>-3.645685737314238E-2</v>
      </c>
    </row>
    <row r="3964" spans="1:9">
      <c r="A3964" s="90">
        <v>3948</v>
      </c>
      <c r="B3964" s="110">
        <v>1.1082375048808584</v>
      </c>
      <c r="C3964" s="110">
        <v>1.0660926943591704</v>
      </c>
      <c r="G3964" s="90">
        <v>3948</v>
      </c>
      <c r="H3964" s="100">
        <v>-3.8770642667993328E-2</v>
      </c>
      <c r="I3964" s="100">
        <v>-3.6455989981274278E-2</v>
      </c>
    </row>
    <row r="3965" spans="1:9">
      <c r="A3965" s="90">
        <v>3949</v>
      </c>
      <c r="B3965" s="110">
        <v>1.0741097089756044</v>
      </c>
      <c r="C3965" s="110">
        <v>1.0417561816543457</v>
      </c>
      <c r="G3965" s="90">
        <v>3949</v>
      </c>
      <c r="H3965" s="100">
        <v>-3.0584215537625217E-2</v>
      </c>
      <c r="I3965" s="100">
        <v>-3.6451191347143683E-2</v>
      </c>
    </row>
    <row r="3966" spans="1:9">
      <c r="A3966" s="90">
        <v>3950</v>
      </c>
      <c r="B3966" s="110">
        <v>1.1235172212865503</v>
      </c>
      <c r="C3966" s="110">
        <v>1.0689366784182668</v>
      </c>
      <c r="G3966" s="90">
        <v>3950</v>
      </c>
      <c r="H3966" s="100">
        <v>-4.9799744892828186E-2</v>
      </c>
      <c r="I3966" s="100">
        <v>-3.6449285761639444E-2</v>
      </c>
    </row>
    <row r="3967" spans="1:9">
      <c r="A3967" s="90">
        <v>3951</v>
      </c>
      <c r="B3967" s="110">
        <v>1.110429558007479</v>
      </c>
      <c r="C3967" s="110">
        <v>1.0580326294553724</v>
      </c>
      <c r="G3967" s="90">
        <v>3951</v>
      </c>
      <c r="H3967" s="100">
        <v>-4.8335756003561783E-2</v>
      </c>
      <c r="I3967" s="100">
        <v>-3.644136327935743E-2</v>
      </c>
    </row>
    <row r="3968" spans="1:9">
      <c r="A3968" s="90">
        <v>3952</v>
      </c>
      <c r="B3968" s="110">
        <v>1.1426694524209751</v>
      </c>
      <c r="C3968" s="110">
        <v>1.0468176115962076</v>
      </c>
      <c r="G3968" s="90">
        <v>3952</v>
      </c>
      <c r="H3968" s="100">
        <v>-8.7612434250876822E-2</v>
      </c>
      <c r="I3968" s="100">
        <v>-3.6441217943032032E-2</v>
      </c>
    </row>
    <row r="3969" spans="1:9">
      <c r="A3969" s="90">
        <v>3953</v>
      </c>
      <c r="B3969" s="110">
        <v>1.1239161205314283</v>
      </c>
      <c r="C3969" s="110">
        <v>1.0872374680929102</v>
      </c>
      <c r="G3969" s="90">
        <v>3953</v>
      </c>
      <c r="H3969" s="100">
        <v>-3.3179076638386595E-2</v>
      </c>
      <c r="I3969" s="100">
        <v>-3.643987112999815E-2</v>
      </c>
    </row>
    <row r="3970" spans="1:9">
      <c r="A3970" s="90">
        <v>3954</v>
      </c>
      <c r="B3970" s="110">
        <v>1.1010388222477672</v>
      </c>
      <c r="C3970" s="110">
        <v>1.0576188034073848</v>
      </c>
      <c r="G3970" s="90">
        <v>3954</v>
      </c>
      <c r="H3970" s="100">
        <v>-4.023414874018047E-2</v>
      </c>
      <c r="I3970" s="100">
        <v>-3.643237660729079E-2</v>
      </c>
    </row>
    <row r="3971" spans="1:9">
      <c r="A3971" s="90">
        <v>3955</v>
      </c>
      <c r="B3971" s="110">
        <v>1.1199405590666138</v>
      </c>
      <c r="C3971" s="110">
        <v>1.0419590653381048</v>
      </c>
      <c r="G3971" s="90">
        <v>3955</v>
      </c>
      <c r="H3971" s="100">
        <v>-7.2172953781471941E-2</v>
      </c>
      <c r="I3971" s="100">
        <v>-3.6391988870046452E-2</v>
      </c>
    </row>
    <row r="3972" spans="1:9">
      <c r="A3972" s="90">
        <v>3956</v>
      </c>
      <c r="B3972" s="110">
        <v>1.120248925701727</v>
      </c>
      <c r="C3972" s="110">
        <v>1.0691149671076039</v>
      </c>
      <c r="G3972" s="90">
        <v>3956</v>
      </c>
      <c r="H3972" s="100">
        <v>-4.6719743037002652E-2</v>
      </c>
      <c r="I3972" s="100">
        <v>-3.6372734691840922E-2</v>
      </c>
    </row>
    <row r="3973" spans="1:9">
      <c r="A3973" s="90">
        <v>3957</v>
      </c>
      <c r="B3973" s="110">
        <v>1.0987629298960266</v>
      </c>
      <c r="C3973" s="110">
        <v>1.0425884750474799</v>
      </c>
      <c r="G3973" s="90">
        <v>3957</v>
      </c>
      <c r="H3973" s="100">
        <v>-5.247839853068792E-2</v>
      </c>
      <c r="I3973" s="100">
        <v>-3.6338928266210747E-2</v>
      </c>
    </row>
    <row r="3974" spans="1:9">
      <c r="A3974" s="90">
        <v>3958</v>
      </c>
      <c r="B3974" s="110">
        <v>1.1169893201005849</v>
      </c>
      <c r="C3974" s="110">
        <v>1.0647756689449963</v>
      </c>
      <c r="G3974" s="90">
        <v>3958</v>
      </c>
      <c r="H3974" s="100">
        <v>-4.7872821320917074E-2</v>
      </c>
      <c r="I3974" s="100">
        <v>-3.6332876429770983E-2</v>
      </c>
    </row>
    <row r="3975" spans="1:9">
      <c r="A3975" s="90">
        <v>3959</v>
      </c>
      <c r="B3975" s="110">
        <v>1.1293715342066881</v>
      </c>
      <c r="C3975" s="110">
        <v>1.0757177056273635</v>
      </c>
      <c r="G3975" s="90">
        <v>3959</v>
      </c>
      <c r="H3975" s="100">
        <v>-4.8673241635091173E-2</v>
      </c>
      <c r="I3975" s="100">
        <v>-3.6321801941455005E-2</v>
      </c>
    </row>
    <row r="3976" spans="1:9">
      <c r="A3976" s="90">
        <v>3960</v>
      </c>
      <c r="B3976" s="110">
        <v>1.0929860735369987</v>
      </c>
      <c r="C3976" s="110">
        <v>1.0655150886273166</v>
      </c>
      <c r="G3976" s="90">
        <v>3960</v>
      </c>
      <c r="H3976" s="100">
        <v>-2.5455134076969754E-2</v>
      </c>
      <c r="I3976" s="100">
        <v>-3.6314655617678465E-2</v>
      </c>
    </row>
    <row r="3977" spans="1:9">
      <c r="A3977" s="90">
        <v>3961</v>
      </c>
      <c r="B3977" s="110">
        <v>1.1172287903183882</v>
      </c>
      <c r="C3977" s="110">
        <v>1.042816747267312</v>
      </c>
      <c r="G3977" s="90">
        <v>3961</v>
      </c>
      <c r="H3977" s="100">
        <v>-6.8925861971731325E-2</v>
      </c>
      <c r="I3977" s="100">
        <v>-3.6312590534947252E-2</v>
      </c>
    </row>
    <row r="3978" spans="1:9">
      <c r="A3978" s="90">
        <v>3962</v>
      </c>
      <c r="B3978" s="110">
        <v>1.1427899866898046</v>
      </c>
      <c r="C3978" s="110">
        <v>1.0435643470331297</v>
      </c>
      <c r="G3978" s="90">
        <v>3962</v>
      </c>
      <c r="H3978" s="100">
        <v>-9.0830518995565018E-2</v>
      </c>
      <c r="I3978" s="100">
        <v>-3.6294201337425218E-2</v>
      </c>
    </row>
    <row r="3979" spans="1:9">
      <c r="A3979" s="90">
        <v>3963</v>
      </c>
      <c r="B3979" s="110">
        <v>1.1337742463144487</v>
      </c>
      <c r="C3979" s="110">
        <v>1.0549560910951099</v>
      </c>
      <c r="G3979" s="90">
        <v>3963</v>
      </c>
      <c r="H3979" s="100">
        <v>-7.2052961916080654E-2</v>
      </c>
      <c r="I3979" s="100">
        <v>-3.6291660370892841E-2</v>
      </c>
    </row>
    <row r="3980" spans="1:9">
      <c r="A3980" s="90">
        <v>3964</v>
      </c>
      <c r="B3980" s="110">
        <v>1.1277819501213926</v>
      </c>
      <c r="C3980" s="110">
        <v>1.0689455285631002</v>
      </c>
      <c r="G3980" s="90">
        <v>3964</v>
      </c>
      <c r="H3980" s="100">
        <v>-5.3580152522051248E-2</v>
      </c>
      <c r="I3980" s="100">
        <v>-3.6291323508937094E-2</v>
      </c>
    </row>
    <row r="3981" spans="1:9">
      <c r="A3981" s="90">
        <v>3965</v>
      </c>
      <c r="B3981" s="110">
        <v>1.1019601716545229</v>
      </c>
      <c r="C3981" s="110">
        <v>1.0497566695678919</v>
      </c>
      <c r="G3981" s="90">
        <v>3965</v>
      </c>
      <c r="H3981" s="100">
        <v>-4.8532174159153729E-2</v>
      </c>
      <c r="I3981" s="100">
        <v>-3.6262738722526583E-2</v>
      </c>
    </row>
    <row r="3982" spans="1:9">
      <c r="A3982" s="90">
        <v>3966</v>
      </c>
      <c r="B3982" s="110">
        <v>1.0926376244366243</v>
      </c>
      <c r="C3982" s="110">
        <v>1.0491312906245853</v>
      </c>
      <c r="G3982" s="90">
        <v>3966</v>
      </c>
      <c r="H3982" s="100">
        <v>-4.063213260753408E-2</v>
      </c>
      <c r="I3982" s="100">
        <v>-3.6261700049046115E-2</v>
      </c>
    </row>
    <row r="3983" spans="1:9">
      <c r="A3983" s="90">
        <v>3967</v>
      </c>
      <c r="B3983" s="110">
        <v>1.1291724278705257</v>
      </c>
      <c r="C3983" s="110">
        <v>1.04979108660386</v>
      </c>
      <c r="G3983" s="90">
        <v>3967</v>
      </c>
      <c r="H3983" s="100">
        <v>-7.2893820463790976E-2</v>
      </c>
      <c r="I3983" s="100">
        <v>-3.6261416954157466E-2</v>
      </c>
    </row>
    <row r="3984" spans="1:9">
      <c r="A3984" s="90">
        <v>3968</v>
      </c>
      <c r="B3984" s="110">
        <v>1.0990530848948361</v>
      </c>
      <c r="C3984" s="110">
        <v>1.0716969514429424</v>
      </c>
      <c r="G3984" s="90">
        <v>3968</v>
      </c>
      <c r="H3984" s="100">
        <v>-2.5205649028495779E-2</v>
      </c>
      <c r="I3984" s="100">
        <v>-3.6260597719775037E-2</v>
      </c>
    </row>
    <row r="3985" spans="1:9">
      <c r="A3985" s="90">
        <v>3969</v>
      </c>
      <c r="B3985" s="110">
        <v>1.0953558615925532</v>
      </c>
      <c r="C3985" s="110">
        <v>1.0704443725358768</v>
      </c>
      <c r="G3985" s="90">
        <v>3969</v>
      </c>
      <c r="H3985" s="100">
        <v>-2.3005434531696872E-2</v>
      </c>
      <c r="I3985" s="100">
        <v>-3.6239715894514801E-2</v>
      </c>
    </row>
    <row r="3986" spans="1:9">
      <c r="A3986" s="90">
        <v>3970</v>
      </c>
      <c r="B3986" s="110">
        <v>1.1113878782401942</v>
      </c>
      <c r="C3986" s="110">
        <v>1.0421169157874504</v>
      </c>
      <c r="G3986" s="90">
        <v>3970</v>
      </c>
      <c r="H3986" s="100">
        <v>-6.4355434768360864E-2</v>
      </c>
      <c r="I3986" s="100">
        <v>-3.6230538866803177E-2</v>
      </c>
    </row>
    <row r="3987" spans="1:9">
      <c r="A3987" s="90">
        <v>3971</v>
      </c>
      <c r="B3987" s="110">
        <v>1.1102190587502212</v>
      </c>
      <c r="C3987" s="110">
        <v>1.0571463313001106</v>
      </c>
      <c r="G3987" s="90">
        <v>3971</v>
      </c>
      <c r="H3987" s="100">
        <v>-4.8984208564293072E-2</v>
      </c>
      <c r="I3987" s="100">
        <v>-3.6230059638180663E-2</v>
      </c>
    </row>
    <row r="3988" spans="1:9">
      <c r="A3988" s="90">
        <v>3972</v>
      </c>
      <c r="B3988" s="110">
        <v>1.1064787506976479</v>
      </c>
      <c r="C3988" s="110">
        <v>1.0675025037779622</v>
      </c>
      <c r="G3988" s="90">
        <v>3972</v>
      </c>
      <c r="H3988" s="100">
        <v>-3.5860864678222221E-2</v>
      </c>
      <c r="I3988" s="100">
        <v>-3.6208400629636317E-2</v>
      </c>
    </row>
    <row r="3989" spans="1:9">
      <c r="A3989" s="90">
        <v>3973</v>
      </c>
      <c r="B3989" s="110">
        <v>1.0761795457936485</v>
      </c>
      <c r="C3989" s="110">
        <v>1.0518845446944789</v>
      </c>
      <c r="G3989" s="90">
        <v>3973</v>
      </c>
      <c r="H3989" s="100">
        <v>-2.2833952036370619E-2</v>
      </c>
      <c r="I3989" s="100">
        <v>-3.6206836111924254E-2</v>
      </c>
    </row>
    <row r="3990" spans="1:9">
      <c r="A3990" s="90">
        <v>3974</v>
      </c>
      <c r="B3990" s="110">
        <v>1.095307508552964</v>
      </c>
      <c r="C3990" s="110">
        <v>1.0596143002409588</v>
      </c>
      <c r="G3990" s="90">
        <v>3974</v>
      </c>
      <c r="H3990" s="100">
        <v>-3.3130179361057652E-2</v>
      </c>
      <c r="I3990" s="100">
        <v>-3.6182979515885262E-2</v>
      </c>
    </row>
    <row r="3991" spans="1:9">
      <c r="A3991" s="90">
        <v>3975</v>
      </c>
      <c r="B3991" s="110">
        <v>1.1204120201569183</v>
      </c>
      <c r="C3991" s="110">
        <v>1.0663751075804808</v>
      </c>
      <c r="G3991" s="90">
        <v>3975</v>
      </c>
      <c r="H3991" s="100">
        <v>-4.9431345666637004E-2</v>
      </c>
      <c r="I3991" s="100">
        <v>-3.61744581166085E-2</v>
      </c>
    </row>
    <row r="3992" spans="1:9">
      <c r="A3992" s="90">
        <v>3976</v>
      </c>
      <c r="B3992" s="110">
        <v>1.1332043234542253</v>
      </c>
      <c r="C3992" s="110">
        <v>1.034722202262607</v>
      </c>
      <c r="G3992" s="90">
        <v>3976</v>
      </c>
      <c r="H3992" s="100">
        <v>-9.0916317148723447E-2</v>
      </c>
      <c r="I3992" s="100">
        <v>-3.6152796127891816E-2</v>
      </c>
    </row>
    <row r="3993" spans="1:9">
      <c r="A3993" s="90">
        <v>3977</v>
      </c>
      <c r="B3993" s="110">
        <v>1.1390418279155252</v>
      </c>
      <c r="C3993" s="110">
        <v>1.0666130455845726</v>
      </c>
      <c r="G3993" s="90">
        <v>3977</v>
      </c>
      <c r="H3993" s="100">
        <v>-6.5699157048667481E-2</v>
      </c>
      <c r="I3993" s="100">
        <v>-3.6151258603305335E-2</v>
      </c>
    </row>
    <row r="3994" spans="1:9">
      <c r="A3994" s="90">
        <v>3978</v>
      </c>
      <c r="B3994" s="110">
        <v>1.1354911161689905</v>
      </c>
      <c r="C3994" s="110">
        <v>1.0664570990987796</v>
      </c>
      <c r="G3994" s="90">
        <v>3978</v>
      </c>
      <c r="H3994" s="100">
        <v>-6.2723226575559204E-2</v>
      </c>
      <c r="I3994" s="100">
        <v>-3.6136993721438547E-2</v>
      </c>
    </row>
    <row r="3995" spans="1:9">
      <c r="A3995" s="90">
        <v>3979</v>
      </c>
      <c r="B3995" s="110">
        <v>1.1198779308456974</v>
      </c>
      <c r="C3995" s="110">
        <v>1.0601354755817285</v>
      </c>
      <c r="G3995" s="90">
        <v>3979</v>
      </c>
      <c r="H3995" s="100">
        <v>-5.4822981940873948E-2</v>
      </c>
      <c r="I3995" s="100">
        <v>-3.6135474012781041E-2</v>
      </c>
    </row>
    <row r="3996" spans="1:9">
      <c r="A3996" s="90">
        <v>3980</v>
      </c>
      <c r="B3996" s="110">
        <v>1.1105240661709892</v>
      </c>
      <c r="C3996" s="110">
        <v>1.0698171094115854</v>
      </c>
      <c r="G3996" s="90">
        <v>3980</v>
      </c>
      <c r="H3996" s="100">
        <v>-3.7344327509949447E-2</v>
      </c>
      <c r="I3996" s="100">
        <v>-3.6119111618684183E-2</v>
      </c>
    </row>
    <row r="3997" spans="1:9">
      <c r="A3997" s="90">
        <v>3981</v>
      </c>
      <c r="B3997" s="110">
        <v>1.1452133742638695</v>
      </c>
      <c r="C3997" s="110">
        <v>1.0945905990034399</v>
      </c>
      <c r="G3997" s="90">
        <v>3981</v>
      </c>
      <c r="H3997" s="100">
        <v>-4.5210561545055379E-2</v>
      </c>
      <c r="I3997" s="100">
        <v>-3.6111845005466998E-2</v>
      </c>
    </row>
    <row r="3998" spans="1:9">
      <c r="A3998" s="90">
        <v>3982</v>
      </c>
      <c r="B3998" s="110">
        <v>1.0798156353063151</v>
      </c>
      <c r="C3998" s="110">
        <v>1.0347814386244714</v>
      </c>
      <c r="G3998" s="90">
        <v>3982</v>
      </c>
      <c r="H3998" s="100">
        <v>-4.2600084507559567E-2</v>
      </c>
      <c r="I3998" s="100">
        <v>-3.6094983775882709E-2</v>
      </c>
    </row>
    <row r="3999" spans="1:9">
      <c r="A3999" s="90">
        <v>3983</v>
      </c>
      <c r="B3999" s="110">
        <v>1.111405524791989</v>
      </c>
      <c r="C3999" s="110">
        <v>1.0678552770308005</v>
      </c>
      <c r="G3999" s="90">
        <v>3983</v>
      </c>
      <c r="H3999" s="100">
        <v>-3.9973229913869368E-2</v>
      </c>
      <c r="I3999" s="100">
        <v>-3.6092119516924953E-2</v>
      </c>
    </row>
    <row r="4000" spans="1:9">
      <c r="A4000" s="90">
        <v>3984</v>
      </c>
      <c r="B4000" s="110">
        <v>1.1134243646719943</v>
      </c>
      <c r="C4000" s="110">
        <v>1.0456041990185487</v>
      </c>
      <c r="G4000" s="90">
        <v>3984</v>
      </c>
      <c r="H4000" s="100">
        <v>-6.284538043979121E-2</v>
      </c>
      <c r="I4000" s="100">
        <v>-3.6042063422292658E-2</v>
      </c>
    </row>
    <row r="4001" spans="1:9">
      <c r="A4001" s="90">
        <v>3985</v>
      </c>
      <c r="B4001" s="110">
        <v>1.0768871036374295</v>
      </c>
      <c r="C4001" s="110">
        <v>1.0467198753691316</v>
      </c>
      <c r="G4001" s="90">
        <v>3985</v>
      </c>
      <c r="H4001" s="100">
        <v>-2.841322153069566E-2</v>
      </c>
      <c r="I4001" s="100">
        <v>-3.6029501006801648E-2</v>
      </c>
    </row>
    <row r="4002" spans="1:9">
      <c r="A4002" s="90">
        <v>3986</v>
      </c>
      <c r="B4002" s="110">
        <v>1.0876320930425099</v>
      </c>
      <c r="C4002" s="110">
        <v>1.0417711603591038</v>
      </c>
      <c r="G4002" s="90">
        <v>3986</v>
      </c>
      <c r="H4002" s="100">
        <v>-4.3080638037230772E-2</v>
      </c>
      <c r="I4002" s="100">
        <v>-3.6007806786450887E-2</v>
      </c>
    </row>
    <row r="4003" spans="1:9">
      <c r="A4003" s="90">
        <v>3987</v>
      </c>
      <c r="B4003" s="110">
        <v>1.1173077029125298</v>
      </c>
      <c r="C4003" s="110">
        <v>1.0526696709179408</v>
      </c>
      <c r="G4003" s="90">
        <v>3987</v>
      </c>
      <c r="H4003" s="100">
        <v>-5.959247366301177E-2</v>
      </c>
      <c r="I4003" s="100">
        <v>-3.5991204686783428E-2</v>
      </c>
    </row>
    <row r="4004" spans="1:9">
      <c r="A4004" s="90">
        <v>3988</v>
      </c>
      <c r="B4004" s="110">
        <v>1.1204144400483449</v>
      </c>
      <c r="C4004" s="110">
        <v>1.0652494078778161</v>
      </c>
      <c r="G4004" s="90">
        <v>3988</v>
      </c>
      <c r="H4004" s="100">
        <v>-5.0489695073167189E-2</v>
      </c>
      <c r="I4004" s="100">
        <v>-3.5917140408028576E-2</v>
      </c>
    </row>
    <row r="4005" spans="1:9">
      <c r="A4005" s="90">
        <v>3989</v>
      </c>
      <c r="B4005" s="110">
        <v>1.1057431279969847</v>
      </c>
      <c r="C4005" s="110">
        <v>1.0421346383906822</v>
      </c>
      <c r="G4005" s="90">
        <v>3989</v>
      </c>
      <c r="H4005" s="100">
        <v>-5.9246476466456185E-2</v>
      </c>
      <c r="I4005" s="100">
        <v>-3.5909934224613298E-2</v>
      </c>
    </row>
    <row r="4006" spans="1:9">
      <c r="A4006" s="90">
        <v>3990</v>
      </c>
      <c r="B4006" s="110">
        <v>1.1117120809662708</v>
      </c>
      <c r="C4006" s="110">
        <v>1.0364899092116773</v>
      </c>
      <c r="G4006" s="90">
        <v>3990</v>
      </c>
      <c r="H4006" s="100">
        <v>-7.0061324906748518E-2</v>
      </c>
      <c r="I4006" s="100">
        <v>-3.5904656180573126E-2</v>
      </c>
    </row>
    <row r="4007" spans="1:9">
      <c r="A4007" s="90">
        <v>3991</v>
      </c>
      <c r="B4007" s="110">
        <v>1.1342051231000623</v>
      </c>
      <c r="C4007" s="110">
        <v>1.0690333720648226</v>
      </c>
      <c r="G4007" s="90">
        <v>3991</v>
      </c>
      <c r="H4007" s="100">
        <v>-5.9177223938890154E-2</v>
      </c>
      <c r="I4007" s="100">
        <v>-3.5893919836584215E-2</v>
      </c>
    </row>
    <row r="4008" spans="1:9">
      <c r="A4008" s="90">
        <v>3992</v>
      </c>
      <c r="B4008" s="110">
        <v>1.1186069324850669</v>
      </c>
      <c r="C4008" s="110">
        <v>1.068494581162116</v>
      </c>
      <c r="G4008" s="90">
        <v>3992</v>
      </c>
      <c r="H4008" s="100">
        <v>-4.5833376531554594E-2</v>
      </c>
      <c r="I4008" s="100">
        <v>-3.5890442758741953E-2</v>
      </c>
    </row>
    <row r="4009" spans="1:9">
      <c r="A4009" s="90">
        <v>3993</v>
      </c>
      <c r="B4009" s="110">
        <v>1.1252855675077578</v>
      </c>
      <c r="C4009" s="110">
        <v>1.0735690767659247</v>
      </c>
      <c r="G4009" s="90">
        <v>3993</v>
      </c>
      <c r="H4009" s="100">
        <v>-4.7048157719668235E-2</v>
      </c>
      <c r="I4009" s="100">
        <v>-3.5860864678222221E-2</v>
      </c>
    </row>
    <row r="4010" spans="1:9">
      <c r="A4010" s="90">
        <v>3994</v>
      </c>
      <c r="B4010" s="110">
        <v>1.0937986538596842</v>
      </c>
      <c r="C4010" s="110">
        <v>1.0551315346421715</v>
      </c>
      <c r="G4010" s="90">
        <v>3994</v>
      </c>
      <c r="H4010" s="100">
        <v>-3.5991204686783428E-2</v>
      </c>
      <c r="I4010" s="100">
        <v>-3.5855265700983366E-2</v>
      </c>
    </row>
    <row r="4011" spans="1:9">
      <c r="A4011" s="90">
        <v>3995</v>
      </c>
      <c r="B4011" s="110">
        <v>1.1211633985464433</v>
      </c>
      <c r="C4011" s="110">
        <v>1.0514734339465472</v>
      </c>
      <c r="G4011" s="90">
        <v>3995</v>
      </c>
      <c r="H4011" s="100">
        <v>-6.4174443952168397E-2</v>
      </c>
      <c r="I4011" s="100">
        <v>-3.5852745658398466E-2</v>
      </c>
    </row>
    <row r="4012" spans="1:9">
      <c r="A4012" s="90">
        <v>3996</v>
      </c>
      <c r="B4012" s="110">
        <v>1.0875745016505156</v>
      </c>
      <c r="C4012" s="110">
        <v>1.0506207455567824</v>
      </c>
      <c r="G4012" s="90">
        <v>3996</v>
      </c>
      <c r="H4012" s="100">
        <v>-3.4568813166786838E-2</v>
      </c>
      <c r="I4012" s="100">
        <v>-3.5833495548306664E-2</v>
      </c>
    </row>
    <row r="4013" spans="1:9">
      <c r="A4013" s="90">
        <v>3997</v>
      </c>
      <c r="B4013" s="110">
        <v>1.1301912334003816</v>
      </c>
      <c r="C4013" s="110">
        <v>1.0681173483192385</v>
      </c>
      <c r="G4013" s="90">
        <v>3997</v>
      </c>
      <c r="H4013" s="100">
        <v>-5.6489240298219619E-2</v>
      </c>
      <c r="I4013" s="100">
        <v>-3.5825585375986922E-2</v>
      </c>
    </row>
    <row r="4014" spans="1:9">
      <c r="A4014" s="90">
        <v>3998</v>
      </c>
      <c r="B4014" s="110">
        <v>1.123228229481307</v>
      </c>
      <c r="C4014" s="110">
        <v>1.0709951817564314</v>
      </c>
      <c r="G4014" s="90">
        <v>3998</v>
      </c>
      <c r="H4014" s="100">
        <v>-4.7618594430157632E-2</v>
      </c>
      <c r="I4014" s="100">
        <v>-3.5797655789897402E-2</v>
      </c>
    </row>
    <row r="4015" spans="1:9">
      <c r="A4015" s="90">
        <v>3999</v>
      </c>
      <c r="B4015" s="110">
        <v>1.1093222584809792</v>
      </c>
      <c r="C4015" s="110">
        <v>1.0570270317649537</v>
      </c>
      <c r="G4015" s="90">
        <v>3999</v>
      </c>
      <c r="H4015" s="100">
        <v>-4.8288970295043122E-2</v>
      </c>
      <c r="I4015" s="100">
        <v>-3.5794395293557241E-2</v>
      </c>
    </row>
    <row r="4016" spans="1:9">
      <c r="A4016" s="90">
        <v>4000</v>
      </c>
      <c r="B4016" s="110">
        <v>1.1205677680304604</v>
      </c>
      <c r="C4016" s="110">
        <v>1.0594736267395732</v>
      </c>
      <c r="G4016" s="90">
        <v>4000</v>
      </c>
      <c r="H4016" s="100">
        <v>-5.6063286359526864E-2</v>
      </c>
      <c r="I4016" s="100">
        <v>-3.5790518119620265E-2</v>
      </c>
    </row>
    <row r="4017" spans="1:9">
      <c r="A4017" s="90">
        <v>4001</v>
      </c>
      <c r="B4017" s="110">
        <v>1.1023943679128971</v>
      </c>
      <c r="C4017" s="110">
        <v>1.0751982862000315</v>
      </c>
      <c r="G4017" s="90">
        <v>4001</v>
      </c>
      <c r="H4017" s="100">
        <v>-2.4979415482288467E-2</v>
      </c>
      <c r="I4017" s="100">
        <v>-3.5781677219089335E-2</v>
      </c>
    </row>
    <row r="4018" spans="1:9">
      <c r="A4018" s="90">
        <v>4002</v>
      </c>
      <c r="B4018" s="110">
        <v>1.1002164880988647</v>
      </c>
      <c r="C4018" s="110">
        <v>1.0660075571157868</v>
      </c>
      <c r="G4018" s="90">
        <v>4002</v>
      </c>
      <c r="H4018" s="100">
        <v>-3.1586552857559631E-2</v>
      </c>
      <c r="I4018" s="100">
        <v>-3.5766074624038593E-2</v>
      </c>
    </row>
    <row r="4019" spans="1:9">
      <c r="A4019" s="90">
        <v>4003</v>
      </c>
      <c r="B4019" s="110">
        <v>1.1187726351896856</v>
      </c>
      <c r="C4019" s="110">
        <v>1.0572979918317946</v>
      </c>
      <c r="G4019" s="90">
        <v>4003</v>
      </c>
      <c r="H4019" s="100">
        <v>-5.6515633555737271E-2</v>
      </c>
      <c r="I4019" s="100">
        <v>-3.5761151655107522E-2</v>
      </c>
    </row>
    <row r="4020" spans="1:9">
      <c r="A4020" s="90">
        <v>4004</v>
      </c>
      <c r="B4020" s="110">
        <v>1.1052604231380596</v>
      </c>
      <c r="C4020" s="110">
        <v>1.0506489161353576</v>
      </c>
      <c r="G4020" s="90">
        <v>4004</v>
      </c>
      <c r="H4020" s="100">
        <v>-5.0672995606673016E-2</v>
      </c>
      <c r="I4020" s="100">
        <v>-3.5727513705584552E-2</v>
      </c>
    </row>
    <row r="4021" spans="1:9">
      <c r="A4021" s="90">
        <v>4005</v>
      </c>
      <c r="B4021" s="110">
        <v>1.1028738359698571</v>
      </c>
      <c r="C4021" s="110">
        <v>1.068636889240731</v>
      </c>
      <c r="G4021" s="90">
        <v>4005</v>
      </c>
      <c r="H4021" s="100">
        <v>-3.1535450069520569E-2</v>
      </c>
      <c r="I4021" s="100">
        <v>-3.5723914653384467E-2</v>
      </c>
    </row>
    <row r="4022" spans="1:9">
      <c r="A4022" s="90">
        <v>4006</v>
      </c>
      <c r="B4022" s="110">
        <v>1.1172062580697675</v>
      </c>
      <c r="C4022" s="110">
        <v>1.0563814112248973</v>
      </c>
      <c r="G4022" s="90">
        <v>4006</v>
      </c>
      <c r="H4022" s="100">
        <v>-5.598185169482639E-2</v>
      </c>
      <c r="I4022" s="100">
        <v>-3.5719062625164714E-2</v>
      </c>
    </row>
    <row r="4023" spans="1:9">
      <c r="A4023" s="90">
        <v>4007</v>
      </c>
      <c r="B4023" s="110">
        <v>1.1002037689125976</v>
      </c>
      <c r="C4023" s="110">
        <v>1.0559041022686984</v>
      </c>
      <c r="G4023" s="90">
        <v>4007</v>
      </c>
      <c r="H4023" s="100">
        <v>-4.1098038199847933E-2</v>
      </c>
      <c r="I4023" s="100">
        <v>-3.5711255589232688E-2</v>
      </c>
    </row>
    <row r="4024" spans="1:9">
      <c r="A4024" s="90">
        <v>4008</v>
      </c>
      <c r="B4024" s="110">
        <v>1.1136526609807407</v>
      </c>
      <c r="C4024" s="110">
        <v>1.0668783055146536</v>
      </c>
      <c r="G4024" s="90">
        <v>4008</v>
      </c>
      <c r="H4024" s="100">
        <v>-4.2908385558720855E-2</v>
      </c>
      <c r="I4024" s="100">
        <v>-3.5709038209413943E-2</v>
      </c>
    </row>
    <row r="4025" spans="1:9">
      <c r="A4025" s="90">
        <v>4009</v>
      </c>
      <c r="B4025" s="110">
        <v>1.0791550744853116</v>
      </c>
      <c r="C4025" s="110">
        <v>1.0405218920145864</v>
      </c>
      <c r="G4025" s="90">
        <v>4009</v>
      </c>
      <c r="H4025" s="100">
        <v>-3.6455989981274278E-2</v>
      </c>
      <c r="I4025" s="100">
        <v>-3.5707308160270415E-2</v>
      </c>
    </row>
    <row r="4026" spans="1:9">
      <c r="A4026" s="90">
        <v>4010</v>
      </c>
      <c r="B4026" s="110">
        <v>1.1032000578082464</v>
      </c>
      <c r="C4026" s="110">
        <v>1.0503142923247988</v>
      </c>
      <c r="G4026" s="90">
        <v>4010</v>
      </c>
      <c r="H4026" s="100">
        <v>-4.9125654493513853E-2</v>
      </c>
      <c r="I4026" s="100">
        <v>-3.5706881185859449E-2</v>
      </c>
    </row>
    <row r="4027" spans="1:9">
      <c r="A4027" s="90">
        <v>4011</v>
      </c>
      <c r="B4027" s="110">
        <v>1.0819120350053768</v>
      </c>
      <c r="C4027" s="110">
        <v>1.0720492122021856</v>
      </c>
      <c r="G4027" s="90">
        <v>4011</v>
      </c>
      <c r="H4027" s="100">
        <v>-9.1579101031542837E-3</v>
      </c>
      <c r="I4027" s="100">
        <v>-3.5686166691157012E-2</v>
      </c>
    </row>
    <row r="4028" spans="1:9">
      <c r="A4028" s="90">
        <v>4012</v>
      </c>
      <c r="B4028" s="110">
        <v>1.1065220736661232</v>
      </c>
      <c r="C4028" s="110">
        <v>1.0612635552580683</v>
      </c>
      <c r="G4028" s="90">
        <v>4012</v>
      </c>
      <c r="H4028" s="100">
        <v>-4.1761597919459242E-2</v>
      </c>
      <c r="I4028" s="100">
        <v>-3.5655617240590388E-2</v>
      </c>
    </row>
    <row r="4029" spans="1:9">
      <c r="A4029" s="90">
        <v>4013</v>
      </c>
      <c r="B4029" s="110">
        <v>1.0849527051469119</v>
      </c>
      <c r="C4029" s="110">
        <v>1.0719911965341453</v>
      </c>
      <c r="G4029" s="90">
        <v>4013</v>
      </c>
      <c r="H4029" s="100">
        <v>-1.2018545889421878E-2</v>
      </c>
      <c r="I4029" s="100">
        <v>-3.5621016740188034E-2</v>
      </c>
    </row>
    <row r="4030" spans="1:9">
      <c r="A4030" s="90">
        <v>4014</v>
      </c>
      <c r="B4030" s="110">
        <v>1.1334714883751125</v>
      </c>
      <c r="C4030" s="110">
        <v>1.0342372512155205</v>
      </c>
      <c r="G4030" s="90">
        <v>4014</v>
      </c>
      <c r="H4030" s="100">
        <v>-9.1620837347144032E-2</v>
      </c>
      <c r="I4030" s="100">
        <v>-3.5612386646469582E-2</v>
      </c>
    </row>
    <row r="4031" spans="1:9">
      <c r="A4031" s="90">
        <v>4015</v>
      </c>
      <c r="B4031" s="110">
        <v>1.1053481867706532</v>
      </c>
      <c r="C4031" s="110">
        <v>1.0584182361685668</v>
      </c>
      <c r="G4031" s="90">
        <v>4015</v>
      </c>
      <c r="H4031" s="100">
        <v>-4.3384822875445324E-2</v>
      </c>
      <c r="I4031" s="100">
        <v>-3.5565244804231011E-2</v>
      </c>
    </row>
    <row r="4032" spans="1:9">
      <c r="A4032" s="90">
        <v>4016</v>
      </c>
      <c r="B4032" s="110">
        <v>1.12546963396066</v>
      </c>
      <c r="C4032" s="110">
        <v>1.0543692378573946</v>
      </c>
      <c r="G4032" s="90">
        <v>4016</v>
      </c>
      <c r="H4032" s="100">
        <v>-6.525769163777638E-2</v>
      </c>
      <c r="I4032" s="100">
        <v>-3.556461368289459E-2</v>
      </c>
    </row>
    <row r="4033" spans="1:9">
      <c r="A4033" s="90">
        <v>4017</v>
      </c>
      <c r="B4033" s="110">
        <v>1.1145968282984973</v>
      </c>
      <c r="C4033" s="110">
        <v>1.0540509591815381</v>
      </c>
      <c r="G4033" s="90">
        <v>4017</v>
      </c>
      <c r="H4033" s="100">
        <v>-5.5851953233063176E-2</v>
      </c>
      <c r="I4033" s="100">
        <v>-3.5546519239206834E-2</v>
      </c>
    </row>
    <row r="4034" spans="1:9">
      <c r="A4034" s="90">
        <v>4018</v>
      </c>
      <c r="B4034" s="110">
        <v>1.0974615595440584</v>
      </c>
      <c r="C4034" s="110">
        <v>1.0493565609980149</v>
      </c>
      <c r="G4034" s="90">
        <v>4018</v>
      </c>
      <c r="H4034" s="100">
        <v>-4.4822662599556119E-2</v>
      </c>
      <c r="I4034" s="100">
        <v>-3.5544395902412672E-2</v>
      </c>
    </row>
    <row r="4035" spans="1:9">
      <c r="A4035" s="90">
        <v>4019</v>
      </c>
      <c r="B4035" s="110">
        <v>1.1455004376345108</v>
      </c>
      <c r="C4035" s="110">
        <v>1.0499601364574289</v>
      </c>
      <c r="G4035" s="90">
        <v>4019</v>
      </c>
      <c r="H4035" s="100">
        <v>-8.7089406787960719E-2</v>
      </c>
      <c r="I4035" s="100">
        <v>-3.5512205679973818E-2</v>
      </c>
    </row>
    <row r="4036" spans="1:9">
      <c r="A4036" s="90">
        <v>4020</v>
      </c>
      <c r="B4036" s="110">
        <v>1.1305319787982524</v>
      </c>
      <c r="C4036" s="110">
        <v>1.0494506360614937</v>
      </c>
      <c r="G4036" s="90">
        <v>4020</v>
      </c>
      <c r="H4036" s="100">
        <v>-7.4421476141133577E-2</v>
      </c>
      <c r="I4036" s="100">
        <v>-3.5470091287578921E-2</v>
      </c>
    </row>
    <row r="4037" spans="1:9">
      <c r="A4037" s="90">
        <v>4021</v>
      </c>
      <c r="B4037" s="110">
        <v>1.1141032651616822</v>
      </c>
      <c r="C4037" s="110">
        <v>1.0425152733819951</v>
      </c>
      <c r="G4037" s="90">
        <v>4021</v>
      </c>
      <c r="H4037" s="100">
        <v>-6.6413509530970929E-2</v>
      </c>
      <c r="I4037" s="100">
        <v>-3.5457818351840469E-2</v>
      </c>
    </row>
    <row r="4038" spans="1:9">
      <c r="A4038" s="90">
        <v>4022</v>
      </c>
      <c r="B4038" s="110">
        <v>1.1154273620958022</v>
      </c>
      <c r="C4038" s="110">
        <v>1.0428099806081794</v>
      </c>
      <c r="G4038" s="90">
        <v>4022</v>
      </c>
      <c r="H4038" s="100">
        <v>-6.7318641866193241E-2</v>
      </c>
      <c r="I4038" s="100">
        <v>-3.5450227039575635E-2</v>
      </c>
    </row>
    <row r="4039" spans="1:9">
      <c r="A4039" s="90">
        <v>4023</v>
      </c>
      <c r="B4039" s="110">
        <v>1.1095146851930009</v>
      </c>
      <c r="C4039" s="110">
        <v>1.0393148157828989</v>
      </c>
      <c r="G4039" s="90">
        <v>4023</v>
      </c>
      <c r="H4039" s="100">
        <v>-6.5361034117824499E-2</v>
      </c>
      <c r="I4039" s="100">
        <v>-3.543889547829121E-2</v>
      </c>
    </row>
    <row r="4040" spans="1:9">
      <c r="A4040" s="90">
        <v>4024</v>
      </c>
      <c r="B4040" s="110">
        <v>1.1180489070333641</v>
      </c>
      <c r="C4040" s="110">
        <v>1.0617701029293785</v>
      </c>
      <c r="G4040" s="90">
        <v>4024</v>
      </c>
      <c r="H4040" s="100">
        <v>-5.1647695085325226E-2</v>
      </c>
      <c r="I4040" s="100">
        <v>-3.543595930918713E-2</v>
      </c>
    </row>
    <row r="4041" spans="1:9">
      <c r="A4041" s="90">
        <v>4025</v>
      </c>
      <c r="B4041" s="110">
        <v>1.1265431675739519</v>
      </c>
      <c r="C4041" s="110">
        <v>1.0444657853018073</v>
      </c>
      <c r="G4041" s="90">
        <v>4025</v>
      </c>
      <c r="H4041" s="100">
        <v>-7.5648255772601675E-2</v>
      </c>
      <c r="I4041" s="100">
        <v>-3.543239097175295E-2</v>
      </c>
    </row>
    <row r="4042" spans="1:9">
      <c r="A4042" s="90">
        <v>4026</v>
      </c>
      <c r="B4042" s="110">
        <v>1.1087805241364752</v>
      </c>
      <c r="C4042" s="110">
        <v>1.0539781844841414</v>
      </c>
      <c r="G4042" s="90">
        <v>4026</v>
      </c>
      <c r="H4042" s="100">
        <v>-5.0689032415172808E-2</v>
      </c>
      <c r="I4042" s="100">
        <v>-3.5421859296560464E-2</v>
      </c>
    </row>
    <row r="4043" spans="1:9">
      <c r="A4043" s="90">
        <v>4027</v>
      </c>
      <c r="B4043" s="110">
        <v>1.0887515697021006</v>
      </c>
      <c r="C4043" s="110">
        <v>1.0443591131903904</v>
      </c>
      <c r="G4043" s="90">
        <v>4027</v>
      </c>
      <c r="H4043" s="100">
        <v>-4.162828246534548E-2</v>
      </c>
      <c r="I4043" s="100">
        <v>-3.5409257384037128E-2</v>
      </c>
    </row>
    <row r="4044" spans="1:9">
      <c r="A4044" s="90">
        <v>4028</v>
      </c>
      <c r="B4044" s="110">
        <v>1.076125111984944</v>
      </c>
      <c r="C4044" s="110">
        <v>1.0437510206392602</v>
      </c>
      <c r="G4044" s="90">
        <v>4028</v>
      </c>
      <c r="H4044" s="100">
        <v>-3.0545755018689925E-2</v>
      </c>
      <c r="I4044" s="100">
        <v>-3.5393714930104826E-2</v>
      </c>
    </row>
    <row r="4045" spans="1:9">
      <c r="A4045" s="90">
        <v>4029</v>
      </c>
      <c r="B4045" s="110">
        <v>1.1306030307046939</v>
      </c>
      <c r="C4045" s="110">
        <v>1.0358180439438938</v>
      </c>
      <c r="G4045" s="90">
        <v>4029</v>
      </c>
      <c r="H4045" s="100">
        <v>-8.7559650718502108E-2</v>
      </c>
      <c r="I4045" s="100">
        <v>-3.5381865783864382E-2</v>
      </c>
    </row>
    <row r="4046" spans="1:9">
      <c r="A4046" s="90">
        <v>4030</v>
      </c>
      <c r="B4046" s="110">
        <v>1.1242069191724726</v>
      </c>
      <c r="C4046" s="110">
        <v>1.0542963041905709</v>
      </c>
      <c r="G4046" s="90">
        <v>4030</v>
      </c>
      <c r="H4046" s="100">
        <v>-6.4204292187317435E-2</v>
      </c>
      <c r="I4046" s="100">
        <v>-3.5381120978411666E-2</v>
      </c>
    </row>
    <row r="4047" spans="1:9">
      <c r="A4047" s="90">
        <v>4031</v>
      </c>
      <c r="B4047" s="110">
        <v>1.136024769997702</v>
      </c>
      <c r="C4047" s="110">
        <v>1.0532257471339923</v>
      </c>
      <c r="G4047" s="90">
        <v>4031</v>
      </c>
      <c r="H4047" s="100">
        <v>-7.5677529719338998E-2</v>
      </c>
      <c r="I4047" s="100">
        <v>-3.5376954860901477E-2</v>
      </c>
    </row>
    <row r="4048" spans="1:9">
      <c r="A4048" s="90">
        <v>4032</v>
      </c>
      <c r="B4048" s="110">
        <v>1.1096901505658894</v>
      </c>
      <c r="C4048" s="110">
        <v>1.0736730728012958</v>
      </c>
      <c r="G4048" s="90">
        <v>4032</v>
      </c>
      <c r="H4048" s="100">
        <v>-3.2995284463488407E-2</v>
      </c>
      <c r="I4048" s="100">
        <v>-3.5358998721767371E-2</v>
      </c>
    </row>
    <row r="4049" spans="1:9">
      <c r="A4049" s="90">
        <v>4033</v>
      </c>
      <c r="B4049" s="110">
        <v>1.1073847385238316</v>
      </c>
      <c r="C4049" s="110">
        <v>1.0486317601182831</v>
      </c>
      <c r="G4049" s="90">
        <v>4033</v>
      </c>
      <c r="H4049" s="100">
        <v>-5.4514915140005366E-2</v>
      </c>
      <c r="I4049" s="100">
        <v>-3.5358159809245567E-2</v>
      </c>
    </row>
    <row r="4050" spans="1:9">
      <c r="A4050" s="90">
        <v>4034</v>
      </c>
      <c r="B4050" s="110">
        <v>1.1199413040928055</v>
      </c>
      <c r="C4050" s="110">
        <v>1.0593530469846357</v>
      </c>
      <c r="G4050" s="90">
        <v>4034</v>
      </c>
      <c r="H4050" s="100">
        <v>-5.5617888112121677E-2</v>
      </c>
      <c r="I4050" s="100">
        <v>-3.532982125883067E-2</v>
      </c>
    </row>
    <row r="4051" spans="1:9">
      <c r="A4051" s="90">
        <v>4035</v>
      </c>
      <c r="B4051" s="110">
        <v>1.0733392403030997</v>
      </c>
      <c r="C4051" s="110">
        <v>1.0436312391937035</v>
      </c>
      <c r="G4051" s="90">
        <v>4035</v>
      </c>
      <c r="H4051" s="100">
        <v>-2.8068366360299163E-2</v>
      </c>
      <c r="I4051" s="100">
        <v>-3.5302852570497228E-2</v>
      </c>
    </row>
    <row r="4052" spans="1:9">
      <c r="A4052" s="90">
        <v>4036</v>
      </c>
      <c r="B4052" s="110">
        <v>1.1120254736566746</v>
      </c>
      <c r="C4052" s="110">
        <v>1.0635803793183518</v>
      </c>
      <c r="G4052" s="90">
        <v>4036</v>
      </c>
      <c r="H4052" s="100">
        <v>-4.4542170739463996E-2</v>
      </c>
      <c r="I4052" s="100">
        <v>-3.528919493481554E-2</v>
      </c>
    </row>
    <row r="4053" spans="1:9">
      <c r="A4053" s="90">
        <v>4037</v>
      </c>
      <c r="B4053" s="110">
        <v>1.0845643138403231</v>
      </c>
      <c r="C4053" s="110">
        <v>1.0546351728315999</v>
      </c>
      <c r="G4053" s="90">
        <v>4037</v>
      </c>
      <c r="H4053" s="100">
        <v>-2.7983452903596585E-2</v>
      </c>
      <c r="I4053" s="100">
        <v>-3.5277521106758934E-2</v>
      </c>
    </row>
    <row r="4054" spans="1:9">
      <c r="A4054" s="90">
        <v>4038</v>
      </c>
      <c r="B4054" s="110">
        <v>1.1418134839835439</v>
      </c>
      <c r="C4054" s="110">
        <v>1.0426021097016185</v>
      </c>
      <c r="G4054" s="90">
        <v>4038</v>
      </c>
      <c r="H4054" s="100">
        <v>-9.089815703727723E-2</v>
      </c>
      <c r="I4054" s="100">
        <v>-3.527505756436064E-2</v>
      </c>
    </row>
    <row r="4055" spans="1:9">
      <c r="A4055" s="90">
        <v>4039</v>
      </c>
      <c r="B4055" s="110">
        <v>1.1270930614996755</v>
      </c>
      <c r="C4055" s="110">
        <v>1.0665490506930473</v>
      </c>
      <c r="G4055" s="90">
        <v>4039</v>
      </c>
      <c r="H4055" s="100">
        <v>-5.5213556099749914E-2</v>
      </c>
      <c r="I4055" s="100">
        <v>-3.5264645401396094E-2</v>
      </c>
    </row>
    <row r="4056" spans="1:9">
      <c r="A4056" s="90">
        <v>4040</v>
      </c>
      <c r="B4056" s="110">
        <v>1.1199369990384132</v>
      </c>
      <c r="C4056" s="110">
        <v>1.0681661893478007</v>
      </c>
      <c r="G4056" s="90">
        <v>4040</v>
      </c>
      <c r="H4056" s="100">
        <v>-4.7329096430412408E-2</v>
      </c>
      <c r="I4056" s="100">
        <v>-3.5258431294028593E-2</v>
      </c>
    </row>
    <row r="4057" spans="1:9">
      <c r="A4057" s="90">
        <v>4041</v>
      </c>
      <c r="B4057" s="110">
        <v>1.1009201448032868</v>
      </c>
      <c r="C4057" s="110">
        <v>1.0575664834425038</v>
      </c>
      <c r="G4057" s="90">
        <v>4041</v>
      </c>
      <c r="H4057" s="100">
        <v>-4.0175826947145915E-2</v>
      </c>
      <c r="I4057" s="100">
        <v>-3.5243960077414371E-2</v>
      </c>
    </row>
    <row r="4058" spans="1:9">
      <c r="A4058" s="90">
        <v>4042</v>
      </c>
      <c r="B4058" s="110">
        <v>1.1129908980346599</v>
      </c>
      <c r="C4058" s="110">
        <v>1.054819317160383</v>
      </c>
      <c r="G4058" s="90">
        <v>4042</v>
      </c>
      <c r="H4058" s="100">
        <v>-5.3681405487836065E-2</v>
      </c>
      <c r="I4058" s="100">
        <v>-3.5243823124789818E-2</v>
      </c>
    </row>
    <row r="4059" spans="1:9">
      <c r="A4059" s="90">
        <v>4043</v>
      </c>
      <c r="B4059" s="110">
        <v>1.0944284801246251</v>
      </c>
      <c r="C4059" s="110">
        <v>1.0336094196134769</v>
      </c>
      <c r="G4059" s="90">
        <v>4043</v>
      </c>
      <c r="H4059" s="100">
        <v>-5.7175323645426344E-2</v>
      </c>
      <c r="I4059" s="100">
        <v>-3.522840609381777E-2</v>
      </c>
    </row>
    <row r="4060" spans="1:9">
      <c r="A4060" s="90">
        <v>4044</v>
      </c>
      <c r="B4060" s="110">
        <v>1.1038668035657391</v>
      </c>
      <c r="C4060" s="110">
        <v>1.0654199754696854</v>
      </c>
      <c r="G4060" s="90">
        <v>4044</v>
      </c>
      <c r="H4060" s="100">
        <v>-3.5450227039575635E-2</v>
      </c>
      <c r="I4060" s="100">
        <v>-3.5213918178894979E-2</v>
      </c>
    </row>
    <row r="4061" spans="1:9">
      <c r="A4061" s="90">
        <v>4045</v>
      </c>
      <c r="B4061" s="110">
        <v>1.0980672659310289</v>
      </c>
      <c r="C4061" s="110">
        <v>1.0656251641828798</v>
      </c>
      <c r="G4061" s="90">
        <v>4045</v>
      </c>
      <c r="H4061" s="100">
        <v>-2.9989967881508369E-2</v>
      </c>
      <c r="I4061" s="100">
        <v>-3.5212054250257911E-2</v>
      </c>
    </row>
    <row r="4062" spans="1:9">
      <c r="A4062" s="90">
        <v>4046</v>
      </c>
      <c r="B4062" s="110">
        <v>1.0959378642140836</v>
      </c>
      <c r="C4062" s="110">
        <v>1.0522372798311053</v>
      </c>
      <c r="G4062" s="90">
        <v>4046</v>
      </c>
      <c r="H4062" s="100">
        <v>-4.069185363044707E-2</v>
      </c>
      <c r="I4062" s="100">
        <v>-3.5190970832443567E-2</v>
      </c>
    </row>
    <row r="4063" spans="1:9">
      <c r="A4063" s="90">
        <v>4047</v>
      </c>
      <c r="B4063" s="110">
        <v>1.125159649595074</v>
      </c>
      <c r="C4063" s="110">
        <v>1.0670160635651196</v>
      </c>
      <c r="G4063" s="90">
        <v>4047</v>
      </c>
      <c r="H4063" s="100">
        <v>-5.3058909245242376E-2</v>
      </c>
      <c r="I4063" s="100">
        <v>-3.5190955552302124E-2</v>
      </c>
    </row>
    <row r="4064" spans="1:9">
      <c r="A4064" s="90">
        <v>4048</v>
      </c>
      <c r="B4064" s="110">
        <v>1.0856225955181853</v>
      </c>
      <c r="C4064" s="110">
        <v>1.0594263371401844</v>
      </c>
      <c r="G4064" s="90">
        <v>4048</v>
      </c>
      <c r="H4064" s="100">
        <v>-2.4426072924455186E-2</v>
      </c>
      <c r="I4064" s="100">
        <v>-3.5184947296053724E-2</v>
      </c>
    </row>
    <row r="4065" spans="1:9">
      <c r="A4065" s="90">
        <v>4049</v>
      </c>
      <c r="B4065" s="110">
        <v>1.1080842657171017</v>
      </c>
      <c r="C4065" s="110">
        <v>1.0416919224505452</v>
      </c>
      <c r="G4065" s="90">
        <v>4049</v>
      </c>
      <c r="H4065" s="100">
        <v>-6.1786397745665585E-2</v>
      </c>
      <c r="I4065" s="100">
        <v>-3.5161886769324337E-2</v>
      </c>
    </row>
    <row r="4066" spans="1:9">
      <c r="A4066" s="90">
        <v>4050</v>
      </c>
      <c r="B4066" s="110">
        <v>1.11972044216918</v>
      </c>
      <c r="C4066" s="110">
        <v>1.0721548560494203</v>
      </c>
      <c r="G4066" s="90">
        <v>4050</v>
      </c>
      <c r="H4066" s="100">
        <v>-4.3408541458415717E-2</v>
      </c>
      <c r="I4066" s="100">
        <v>-3.5159415479751724E-2</v>
      </c>
    </row>
    <row r="4067" spans="1:9">
      <c r="A4067" s="90">
        <v>4051</v>
      </c>
      <c r="B4067" s="110">
        <v>1.1241313158686235</v>
      </c>
      <c r="C4067" s="110">
        <v>1.0414030593361121</v>
      </c>
      <c r="G4067" s="90">
        <v>4051</v>
      </c>
      <c r="H4067" s="100">
        <v>-7.6441674255058073E-2</v>
      </c>
      <c r="I4067" s="100">
        <v>-3.5148224337977027E-2</v>
      </c>
    </row>
    <row r="4068" spans="1:9">
      <c r="A4068" s="90">
        <v>4052</v>
      </c>
      <c r="B4068" s="110">
        <v>1.1301936137556503</v>
      </c>
      <c r="C4068" s="110">
        <v>1.0604468725523084</v>
      </c>
      <c r="G4068" s="90">
        <v>4052</v>
      </c>
      <c r="H4068" s="100">
        <v>-6.3698560489540215E-2</v>
      </c>
      <c r="I4068" s="100">
        <v>-3.51252759153435E-2</v>
      </c>
    </row>
    <row r="4069" spans="1:9">
      <c r="A4069" s="90">
        <v>4053</v>
      </c>
      <c r="B4069" s="110">
        <v>1.1315040616923122</v>
      </c>
      <c r="C4069" s="110">
        <v>1.0519314166709561</v>
      </c>
      <c r="G4069" s="90">
        <v>4053</v>
      </c>
      <c r="H4069" s="100">
        <v>-7.291985682617641E-2</v>
      </c>
      <c r="I4069" s="100">
        <v>-3.5123781650104609E-2</v>
      </c>
    </row>
    <row r="4070" spans="1:9">
      <c r="A4070" s="90">
        <v>4054</v>
      </c>
      <c r="B4070" s="110">
        <v>1.1111425462631552</v>
      </c>
      <c r="C4070" s="110">
        <v>1.0389078559612801</v>
      </c>
      <c r="G4070" s="90">
        <v>4054</v>
      </c>
      <c r="H4070" s="100">
        <v>-6.7218784021718367E-2</v>
      </c>
      <c r="I4070" s="100">
        <v>-3.5117873923888633E-2</v>
      </c>
    </row>
    <row r="4071" spans="1:9">
      <c r="A4071" s="90">
        <v>4055</v>
      </c>
      <c r="B4071" s="110">
        <v>1.1380889089641302</v>
      </c>
      <c r="C4071" s="110">
        <v>1.0258896710205625</v>
      </c>
      <c r="G4071" s="90">
        <v>4055</v>
      </c>
      <c r="H4071" s="100">
        <v>-0.10379025218923679</v>
      </c>
      <c r="I4071" s="100">
        <v>-3.5112084362473928E-2</v>
      </c>
    </row>
    <row r="4072" spans="1:9">
      <c r="A4072" s="90">
        <v>4056</v>
      </c>
      <c r="B4072" s="110">
        <v>1.113433349318613</v>
      </c>
      <c r="C4072" s="110">
        <v>1.0795201447279514</v>
      </c>
      <c r="G4072" s="90">
        <v>4056</v>
      </c>
      <c r="H4072" s="100">
        <v>-3.0931717039002934E-2</v>
      </c>
      <c r="I4072" s="100">
        <v>-3.5069674666849703E-2</v>
      </c>
    </row>
    <row r="4073" spans="1:9">
      <c r="A4073" s="90">
        <v>4057</v>
      </c>
      <c r="B4073" s="110">
        <v>1.1188594776817586</v>
      </c>
      <c r="C4073" s="110">
        <v>1.0418109590523987</v>
      </c>
      <c r="G4073" s="90">
        <v>4057</v>
      </c>
      <c r="H4073" s="100">
        <v>-7.1349337347483027E-2</v>
      </c>
      <c r="I4073" s="100">
        <v>-3.5017035482090932E-2</v>
      </c>
    </row>
    <row r="4074" spans="1:9">
      <c r="A4074" s="90">
        <v>4058</v>
      </c>
      <c r="B4074" s="110">
        <v>1.1357140373280372</v>
      </c>
      <c r="C4074" s="110">
        <v>1.0546464167908034</v>
      </c>
      <c r="G4074" s="90">
        <v>4058</v>
      </c>
      <c r="H4074" s="100">
        <v>-7.4056000114624418E-2</v>
      </c>
      <c r="I4074" s="100">
        <v>-3.5014090952676699E-2</v>
      </c>
    </row>
    <row r="4075" spans="1:9">
      <c r="A4075" s="90">
        <v>4059</v>
      </c>
      <c r="B4075" s="110">
        <v>1.1010513607954566</v>
      </c>
      <c r="C4075" s="110">
        <v>1.0402360677902205</v>
      </c>
      <c r="G4075" s="90">
        <v>4059</v>
      </c>
      <c r="H4075" s="100">
        <v>-5.681783022117827E-2</v>
      </c>
      <c r="I4075" s="100">
        <v>-3.498878643937324E-2</v>
      </c>
    </row>
    <row r="4076" spans="1:9">
      <c r="A4076" s="90">
        <v>4060</v>
      </c>
      <c r="B4076" s="110">
        <v>1.1103249282875307</v>
      </c>
      <c r="C4076" s="110">
        <v>1.0682293194565931</v>
      </c>
      <c r="G4076" s="90">
        <v>4060</v>
      </c>
      <c r="H4076" s="100">
        <v>-3.8650264593090108E-2</v>
      </c>
      <c r="I4076" s="100">
        <v>-3.4982912510837523E-2</v>
      </c>
    </row>
    <row r="4077" spans="1:9">
      <c r="A4077" s="90">
        <v>4061</v>
      </c>
      <c r="B4077" s="110">
        <v>1.1151890421387893</v>
      </c>
      <c r="C4077" s="110">
        <v>1.0465129182266926</v>
      </c>
      <c r="G4077" s="90">
        <v>4061</v>
      </c>
      <c r="H4077" s="100">
        <v>-6.3560328011957851E-2</v>
      </c>
      <c r="I4077" s="100">
        <v>-3.4982668042838526E-2</v>
      </c>
    </row>
    <row r="4078" spans="1:9">
      <c r="A4078" s="90">
        <v>4062</v>
      </c>
      <c r="B4078" s="110">
        <v>1.1042854415181291</v>
      </c>
      <c r="C4078" s="110">
        <v>1.0534337820541353</v>
      </c>
      <c r="G4078" s="90">
        <v>4062</v>
      </c>
      <c r="H4078" s="100">
        <v>-4.7143369442225205E-2</v>
      </c>
      <c r="I4078" s="100">
        <v>-3.4963015290418648E-2</v>
      </c>
    </row>
    <row r="4079" spans="1:9">
      <c r="A4079" s="90">
        <v>4063</v>
      </c>
      <c r="B4079" s="110">
        <v>1.1008048814494811</v>
      </c>
      <c r="C4079" s="110">
        <v>1.0490496251482275</v>
      </c>
      <c r="G4079" s="90">
        <v>4063</v>
      </c>
      <c r="H4079" s="100">
        <v>-4.8156987247870556E-2</v>
      </c>
      <c r="I4079" s="100">
        <v>-3.4960224020762432E-2</v>
      </c>
    </row>
    <row r="4080" spans="1:9">
      <c r="A4080" s="90">
        <v>4064</v>
      </c>
      <c r="B4080" s="110">
        <v>1.1399278504174108</v>
      </c>
      <c r="C4080" s="110">
        <v>1.0697079363437509</v>
      </c>
      <c r="G4080" s="90">
        <v>4064</v>
      </c>
      <c r="H4080" s="100">
        <v>-6.3579316769755145E-2</v>
      </c>
      <c r="I4080" s="100">
        <v>-3.4926169745264704E-2</v>
      </c>
    </row>
    <row r="4081" spans="1:9">
      <c r="A4081" s="90">
        <v>4065</v>
      </c>
      <c r="B4081" s="110">
        <v>1.105863323971005</v>
      </c>
      <c r="C4081" s="110">
        <v>1.0398303882325386</v>
      </c>
      <c r="G4081" s="90">
        <v>4065</v>
      </c>
      <c r="H4081" s="100">
        <v>-6.1568706969144155E-2</v>
      </c>
      <c r="I4081" s="100">
        <v>-3.4885119614573863E-2</v>
      </c>
    </row>
    <row r="4082" spans="1:9">
      <c r="A4082" s="90">
        <v>4066</v>
      </c>
      <c r="B4082" s="110">
        <v>1.0954311708951008</v>
      </c>
      <c r="C4082" s="110">
        <v>1.0541620631123456</v>
      </c>
      <c r="G4082" s="90">
        <v>4066</v>
      </c>
      <c r="H4082" s="100">
        <v>-3.8401850770590891E-2</v>
      </c>
      <c r="I4082" s="100">
        <v>-3.4852974131609697E-2</v>
      </c>
    </row>
    <row r="4083" spans="1:9">
      <c r="A4083" s="90">
        <v>4067</v>
      </c>
      <c r="B4083" s="110">
        <v>1.0966778296658115</v>
      </c>
      <c r="C4083" s="110">
        <v>1.0482502946986874</v>
      </c>
      <c r="G4083" s="90">
        <v>4067</v>
      </c>
      <c r="H4083" s="100">
        <v>-4.5163066881272119E-2</v>
      </c>
      <c r="I4083" s="100">
        <v>-3.4823254379729961E-2</v>
      </c>
    </row>
    <row r="4084" spans="1:9">
      <c r="A4084" s="90">
        <v>4068</v>
      </c>
      <c r="B4084" s="110">
        <v>1.0956678250885428</v>
      </c>
      <c r="C4084" s="110">
        <v>1.0587402124181937</v>
      </c>
      <c r="G4084" s="90">
        <v>4068</v>
      </c>
      <c r="H4084" s="100">
        <v>-3.4284340817077964E-2</v>
      </c>
      <c r="I4084" s="100">
        <v>-3.4820880106508988E-2</v>
      </c>
    </row>
    <row r="4085" spans="1:9">
      <c r="A4085" s="90">
        <v>4069</v>
      </c>
      <c r="B4085" s="110">
        <v>1.0960561548904526</v>
      </c>
      <c r="C4085" s="110">
        <v>1.0266810010318601</v>
      </c>
      <c r="G4085" s="90">
        <v>4069</v>
      </c>
      <c r="H4085" s="100">
        <v>-6.5387153163285805E-2</v>
      </c>
      <c r="I4085" s="100">
        <v>-3.481978429184017E-2</v>
      </c>
    </row>
    <row r="4086" spans="1:9">
      <c r="A4086" s="90">
        <v>4070</v>
      </c>
      <c r="B4086" s="110">
        <v>1.1225923749125026</v>
      </c>
      <c r="C4086" s="110">
        <v>1.0481594359677702</v>
      </c>
      <c r="G4086" s="90">
        <v>4070</v>
      </c>
      <c r="H4086" s="100">
        <v>-6.8604923272255702E-2</v>
      </c>
      <c r="I4086" s="100">
        <v>-3.481009843449194E-2</v>
      </c>
    </row>
    <row r="4087" spans="1:9">
      <c r="A4087" s="90">
        <v>4071</v>
      </c>
      <c r="B4087" s="110">
        <v>1.0894352467159139</v>
      </c>
      <c r="C4087" s="110">
        <v>1.0399993082415493</v>
      </c>
      <c r="G4087" s="90">
        <v>4071</v>
      </c>
      <c r="H4087" s="100">
        <v>-4.6439391689641153E-2</v>
      </c>
      <c r="I4087" s="100">
        <v>-3.4800776250598887E-2</v>
      </c>
    </row>
    <row r="4088" spans="1:9">
      <c r="A4088" s="90">
        <v>4072</v>
      </c>
      <c r="B4088" s="110">
        <v>1.1180523860985307</v>
      </c>
      <c r="C4088" s="110">
        <v>1.0532660660830708</v>
      </c>
      <c r="G4088" s="90">
        <v>4072</v>
      </c>
      <c r="H4088" s="100">
        <v>-5.9692355032633489E-2</v>
      </c>
      <c r="I4088" s="100">
        <v>-3.479954227111292E-2</v>
      </c>
    </row>
    <row r="4089" spans="1:9">
      <c r="A4089" s="90">
        <v>4073</v>
      </c>
      <c r="B4089" s="110">
        <v>1.0794294397012487</v>
      </c>
      <c r="C4089" s="110">
        <v>1.0330889132171766</v>
      </c>
      <c r="G4089" s="90">
        <v>4073</v>
      </c>
      <c r="H4089" s="100">
        <v>-4.387934571765395E-2</v>
      </c>
      <c r="I4089" s="100">
        <v>-3.4776703228487797E-2</v>
      </c>
    </row>
    <row r="4090" spans="1:9">
      <c r="A4090" s="90">
        <v>4074</v>
      </c>
      <c r="B4090" s="110">
        <v>1.0941081427525365</v>
      </c>
      <c r="C4090" s="110">
        <v>1.0389464037686</v>
      </c>
      <c r="G4090" s="90">
        <v>4074</v>
      </c>
      <c r="H4090" s="100">
        <v>-5.1732423545395513E-2</v>
      </c>
      <c r="I4090" s="100">
        <v>-3.476631191343716E-2</v>
      </c>
    </row>
    <row r="4091" spans="1:9">
      <c r="A4091" s="90">
        <v>4075</v>
      </c>
      <c r="B4091" s="110">
        <v>1.158696738464146</v>
      </c>
      <c r="C4091" s="110">
        <v>1.0638183102648469</v>
      </c>
      <c r="G4091" s="90">
        <v>4075</v>
      </c>
      <c r="H4091" s="100">
        <v>-8.5431256884686016E-2</v>
      </c>
      <c r="I4091" s="100">
        <v>-3.47316046269983E-2</v>
      </c>
    </row>
    <row r="4092" spans="1:9">
      <c r="A4092" s="90">
        <v>4076</v>
      </c>
      <c r="B4092" s="110">
        <v>1.1040715514924162</v>
      </c>
      <c r="C4092" s="110">
        <v>1.0586950984328205</v>
      </c>
      <c r="G4092" s="90">
        <v>4076</v>
      </c>
      <c r="H4092" s="100">
        <v>-4.1967646330743104E-2</v>
      </c>
      <c r="I4092" s="100">
        <v>-3.4722082103549476E-2</v>
      </c>
    </row>
    <row r="4093" spans="1:9">
      <c r="A4093" s="90">
        <v>4077</v>
      </c>
      <c r="B4093" s="110">
        <v>1.132609120932468</v>
      </c>
      <c r="C4093" s="110">
        <v>1.0439981674227254</v>
      </c>
      <c r="G4093" s="90">
        <v>4077</v>
      </c>
      <c r="H4093" s="100">
        <v>-8.1466193640866227E-2</v>
      </c>
      <c r="I4093" s="100">
        <v>-3.4707681155419938E-2</v>
      </c>
    </row>
    <row r="4094" spans="1:9">
      <c r="A4094" s="90">
        <v>4078</v>
      </c>
      <c r="B4094" s="110">
        <v>1.1385341084887013</v>
      </c>
      <c r="C4094" s="110">
        <v>1.0617915116753642</v>
      </c>
      <c r="G4094" s="90">
        <v>4078</v>
      </c>
      <c r="H4094" s="100">
        <v>-6.9783978362512836E-2</v>
      </c>
      <c r="I4094" s="100">
        <v>-3.4701498629765397E-2</v>
      </c>
    </row>
    <row r="4095" spans="1:9">
      <c r="A4095" s="90">
        <v>4079</v>
      </c>
      <c r="B4095" s="110">
        <v>1.0928164885974676</v>
      </c>
      <c r="C4095" s="110">
        <v>1.0610396295839954</v>
      </c>
      <c r="G4095" s="90">
        <v>4079</v>
      </c>
      <c r="H4095" s="100">
        <v>-2.9509088017663238E-2</v>
      </c>
      <c r="I4095" s="100">
        <v>-3.4693270122893347E-2</v>
      </c>
    </row>
    <row r="4096" spans="1:9">
      <c r="A4096" s="90">
        <v>4080</v>
      </c>
      <c r="B4096" s="110">
        <v>1.0750486330745586</v>
      </c>
      <c r="C4096" s="110">
        <v>1.0539618415554382</v>
      </c>
      <c r="G4096" s="90">
        <v>4080</v>
      </c>
      <c r="H4096" s="100">
        <v>-1.9809654619710775E-2</v>
      </c>
      <c r="I4096" s="100">
        <v>-3.4693108465708854E-2</v>
      </c>
    </row>
    <row r="4097" spans="1:9">
      <c r="A4097" s="90">
        <v>4081</v>
      </c>
      <c r="B4097" s="110">
        <v>1.132689305841694</v>
      </c>
      <c r="C4097" s="110">
        <v>1.0501487323228604</v>
      </c>
      <c r="G4097" s="90">
        <v>4081</v>
      </c>
      <c r="H4097" s="100">
        <v>-7.5662917912569697E-2</v>
      </c>
      <c r="I4097" s="100">
        <v>-3.464695418337646E-2</v>
      </c>
    </row>
    <row r="4098" spans="1:9">
      <c r="A4098" s="90">
        <v>4082</v>
      </c>
      <c r="B4098" s="110">
        <v>1.0925793145519191</v>
      </c>
      <c r="C4098" s="110">
        <v>1.0666038860011167</v>
      </c>
      <c r="G4098" s="90">
        <v>4082</v>
      </c>
      <c r="H4098" s="100">
        <v>-2.4061581953125896E-2</v>
      </c>
      <c r="I4098" s="100">
        <v>-3.4646432251039173E-2</v>
      </c>
    </row>
    <row r="4099" spans="1:9">
      <c r="A4099" s="90">
        <v>4083</v>
      </c>
      <c r="B4099" s="110">
        <v>1.1319356662997768</v>
      </c>
      <c r="C4099" s="110">
        <v>1.0667892870023765</v>
      </c>
      <c r="G4099" s="90">
        <v>4083</v>
      </c>
      <c r="H4099" s="100">
        <v>-5.927567518004203E-2</v>
      </c>
      <c r="I4099" s="100">
        <v>-3.464096443819132E-2</v>
      </c>
    </row>
    <row r="4100" spans="1:9">
      <c r="A4100" s="90">
        <v>4084</v>
      </c>
      <c r="B4100" s="110">
        <v>1.1152349598123286</v>
      </c>
      <c r="C4100" s="110">
        <v>1.050128431765202</v>
      </c>
      <c r="G4100" s="90">
        <v>4084</v>
      </c>
      <c r="H4100" s="100">
        <v>-6.0152636345197137E-2</v>
      </c>
      <c r="I4100" s="100">
        <v>-3.4624415095137841E-2</v>
      </c>
    </row>
    <row r="4101" spans="1:9">
      <c r="A4101" s="90">
        <v>4085</v>
      </c>
      <c r="B4101" s="110">
        <v>1.1104847860309179</v>
      </c>
      <c r="C4101" s="110">
        <v>1.0558368403360967</v>
      </c>
      <c r="G4101" s="90">
        <v>4085</v>
      </c>
      <c r="H4101" s="100">
        <v>-5.0462998062155338E-2</v>
      </c>
      <c r="I4101" s="100">
        <v>-3.4616931853991222E-2</v>
      </c>
    </row>
    <row r="4102" spans="1:9">
      <c r="A4102" s="90">
        <v>4086</v>
      </c>
      <c r="B4102" s="110">
        <v>1.1053769294620401</v>
      </c>
      <c r="C4102" s="110">
        <v>1.0591360918683672</v>
      </c>
      <c r="G4102" s="90">
        <v>4086</v>
      </c>
      <c r="H4102" s="100">
        <v>-4.2732821286049959E-2</v>
      </c>
      <c r="I4102" s="100">
        <v>-3.4594947571802273E-2</v>
      </c>
    </row>
    <row r="4103" spans="1:9">
      <c r="A4103" s="90">
        <v>4087</v>
      </c>
      <c r="B4103" s="110">
        <v>1.1178466080479683</v>
      </c>
      <c r="C4103" s="110">
        <v>1.0623604549896515</v>
      </c>
      <c r="G4103" s="90">
        <v>4087</v>
      </c>
      <c r="H4103" s="100">
        <v>-5.0910886505336643E-2</v>
      </c>
      <c r="I4103" s="100">
        <v>-3.4590765837146313E-2</v>
      </c>
    </row>
    <row r="4104" spans="1:9">
      <c r="A4104" s="90">
        <v>4088</v>
      </c>
      <c r="B4104" s="110">
        <v>1.1134434313961445</v>
      </c>
      <c r="C4104" s="110">
        <v>1.0433310604165078</v>
      </c>
      <c r="G4104" s="90">
        <v>4088</v>
      </c>
      <c r="H4104" s="100">
        <v>-6.5038866539687643E-2</v>
      </c>
      <c r="I4104" s="100">
        <v>-3.4577854299626613E-2</v>
      </c>
    </row>
    <row r="4105" spans="1:9">
      <c r="A4105" s="90">
        <v>4089</v>
      </c>
      <c r="B4105" s="110">
        <v>1.1441731480461605</v>
      </c>
      <c r="C4105" s="110">
        <v>1.0567998540018673</v>
      </c>
      <c r="G4105" s="90">
        <v>4089</v>
      </c>
      <c r="H4105" s="100">
        <v>-7.9436898617250021E-2</v>
      </c>
      <c r="I4105" s="100">
        <v>-3.4568813166786838E-2</v>
      </c>
    </row>
    <row r="4106" spans="1:9">
      <c r="A4106" s="90">
        <v>4090</v>
      </c>
      <c r="B4106" s="110">
        <v>1.1126141929263713</v>
      </c>
      <c r="C4106" s="110">
        <v>1.0417159043354685</v>
      </c>
      <c r="G4106" s="90">
        <v>4090</v>
      </c>
      <c r="H4106" s="100">
        <v>-6.5843113552461932E-2</v>
      </c>
      <c r="I4106" s="100">
        <v>-3.4565814553342823E-2</v>
      </c>
    </row>
    <row r="4107" spans="1:9">
      <c r="A4107" s="90">
        <v>4091</v>
      </c>
      <c r="B4107" s="110">
        <v>1.090398686250688</v>
      </c>
      <c r="C4107" s="110">
        <v>1.0417665655695392</v>
      </c>
      <c r="G4107" s="90">
        <v>4091</v>
      </c>
      <c r="H4107" s="100">
        <v>-4.5625503698383092E-2</v>
      </c>
      <c r="I4107" s="100">
        <v>-3.4558409890023893E-2</v>
      </c>
    </row>
    <row r="4108" spans="1:9">
      <c r="A4108" s="90">
        <v>4092</v>
      </c>
      <c r="B4108" s="110">
        <v>1.1129140443417009</v>
      </c>
      <c r="C4108" s="110">
        <v>1.0486090797606122</v>
      </c>
      <c r="G4108" s="90">
        <v>4092</v>
      </c>
      <c r="H4108" s="100">
        <v>-5.9517240452492341E-2</v>
      </c>
      <c r="I4108" s="100">
        <v>-3.4548428686211746E-2</v>
      </c>
    </row>
    <row r="4109" spans="1:9">
      <c r="A4109" s="90">
        <v>4093</v>
      </c>
      <c r="B4109" s="110">
        <v>1.1396312099599049</v>
      </c>
      <c r="C4109" s="110">
        <v>1.0426830729193182</v>
      </c>
      <c r="G4109" s="90">
        <v>4093</v>
      </c>
      <c r="H4109" s="100">
        <v>-8.8907441245601765E-2</v>
      </c>
      <c r="I4109" s="100">
        <v>-3.4520173364722614E-2</v>
      </c>
    </row>
    <row r="4110" spans="1:9">
      <c r="A4110" s="90">
        <v>4094</v>
      </c>
      <c r="B4110" s="110">
        <v>1.1115992648523094</v>
      </c>
      <c r="C4110" s="110">
        <v>1.0802184833385133</v>
      </c>
      <c r="G4110" s="90">
        <v>4094</v>
      </c>
      <c r="H4110" s="100">
        <v>-2.8636437480182984E-2</v>
      </c>
      <c r="I4110" s="100">
        <v>-3.4505433058405789E-2</v>
      </c>
    </row>
    <row r="4111" spans="1:9">
      <c r="A4111" s="90">
        <v>4095</v>
      </c>
      <c r="B4111" s="110">
        <v>1.1389332458286168</v>
      </c>
      <c r="C4111" s="110">
        <v>1.0319712760043058</v>
      </c>
      <c r="G4111" s="90">
        <v>4095</v>
      </c>
      <c r="H4111" s="100">
        <v>-9.8621241703739995E-2</v>
      </c>
      <c r="I4111" s="100">
        <v>-3.4495948876374305E-2</v>
      </c>
    </row>
    <row r="4112" spans="1:9">
      <c r="A4112" s="90">
        <v>4096</v>
      </c>
      <c r="B4112" s="110">
        <v>1.1251716792587307</v>
      </c>
      <c r="C4112" s="110">
        <v>1.079695088192179</v>
      </c>
      <c r="G4112" s="90">
        <v>4096</v>
      </c>
      <c r="H4112" s="100">
        <v>-4.1256952272419566E-2</v>
      </c>
      <c r="I4112" s="100">
        <v>-3.4487661614762355E-2</v>
      </c>
    </row>
    <row r="4113" spans="1:9">
      <c r="A4113" s="90">
        <v>4097</v>
      </c>
      <c r="B4113" s="110">
        <v>1.149379056293568</v>
      </c>
      <c r="C4113" s="110">
        <v>1.03876484637682</v>
      </c>
      <c r="G4113" s="90">
        <v>4097</v>
      </c>
      <c r="H4113" s="100">
        <v>-0.10118948587377954</v>
      </c>
      <c r="I4113" s="100">
        <v>-3.4485253858907307E-2</v>
      </c>
    </row>
    <row r="4114" spans="1:9">
      <c r="A4114" s="90">
        <v>4098</v>
      </c>
      <c r="B4114" s="110">
        <v>1.121023881983948</v>
      </c>
      <c r="C4114" s="110">
        <v>1.0633265854341061</v>
      </c>
      <c r="G4114" s="90">
        <v>4098</v>
      </c>
      <c r="H4114" s="100">
        <v>-5.2840165919684184E-2</v>
      </c>
      <c r="I4114" s="100">
        <v>-3.4458278965124628E-2</v>
      </c>
    </row>
    <row r="4115" spans="1:9">
      <c r="A4115" s="90">
        <v>4099</v>
      </c>
      <c r="B4115" s="110">
        <v>1.0856203603190342</v>
      </c>
      <c r="C4115" s="110">
        <v>1.0323436351449506</v>
      </c>
      <c r="G4115" s="90">
        <v>4099</v>
      </c>
      <c r="H4115" s="100">
        <v>-5.0319992836755159E-2</v>
      </c>
      <c r="I4115" s="100">
        <v>-3.4406160011557718E-2</v>
      </c>
    </row>
    <row r="4116" spans="1:9">
      <c r="A4116" s="90">
        <v>4100</v>
      </c>
      <c r="B4116" s="110">
        <v>1.1209883852105482</v>
      </c>
      <c r="C4116" s="110">
        <v>1.0641758119277416</v>
      </c>
      <c r="G4116" s="90">
        <v>4100</v>
      </c>
      <c r="H4116" s="100">
        <v>-5.2010168896047086E-2</v>
      </c>
      <c r="I4116" s="100">
        <v>-3.4390677243221091E-2</v>
      </c>
    </row>
    <row r="4117" spans="1:9">
      <c r="A4117" s="90">
        <v>4101</v>
      </c>
      <c r="B4117" s="110">
        <v>1.1398653115066699</v>
      </c>
      <c r="C4117" s="110">
        <v>1.0412202079562114</v>
      </c>
      <c r="G4117" s="90">
        <v>4101</v>
      </c>
      <c r="H4117" s="100">
        <v>-9.0516805342405984E-2</v>
      </c>
      <c r="I4117" s="100">
        <v>-3.4388297593822108E-2</v>
      </c>
    </row>
    <row r="4118" spans="1:9">
      <c r="A4118" s="90">
        <v>4102</v>
      </c>
      <c r="B4118" s="110">
        <v>1.1178445640443713</v>
      </c>
      <c r="C4118" s="110">
        <v>1.0706236808366492</v>
      </c>
      <c r="G4118" s="90">
        <v>4102</v>
      </c>
      <c r="H4118" s="100">
        <v>-4.3160976743275112E-2</v>
      </c>
      <c r="I4118" s="100">
        <v>-3.4381432035855759E-2</v>
      </c>
    </row>
    <row r="4119" spans="1:9">
      <c r="A4119" s="90">
        <v>4103</v>
      </c>
      <c r="B4119" s="110">
        <v>1.107387671616088</v>
      </c>
      <c r="C4119" s="110">
        <v>1.0857809154270026</v>
      </c>
      <c r="G4119" s="90">
        <v>4103</v>
      </c>
      <c r="H4119" s="100">
        <v>-1.9704326789743053E-2</v>
      </c>
      <c r="I4119" s="100">
        <v>-3.4356805981878624E-2</v>
      </c>
    </row>
    <row r="4120" spans="1:9">
      <c r="A4120" s="90">
        <v>4104</v>
      </c>
      <c r="B4120" s="110">
        <v>1.1047355578158409</v>
      </c>
      <c r="C4120" s="110">
        <v>1.0592500838461196</v>
      </c>
      <c r="G4120" s="90">
        <v>4104</v>
      </c>
      <c r="H4120" s="100">
        <v>-4.2044802455047867E-2</v>
      </c>
      <c r="I4120" s="100">
        <v>-3.4352163659331129E-2</v>
      </c>
    </row>
    <row r="4121" spans="1:9">
      <c r="A4121" s="90">
        <v>4105</v>
      </c>
      <c r="B4121" s="110">
        <v>1.117905705054318</v>
      </c>
      <c r="C4121" s="110">
        <v>1.0267881092330058</v>
      </c>
      <c r="G4121" s="90">
        <v>4105</v>
      </c>
      <c r="H4121" s="100">
        <v>-8.5021439112591787E-2</v>
      </c>
      <c r="I4121" s="100">
        <v>-3.4342298862313665E-2</v>
      </c>
    </row>
    <row r="4122" spans="1:9">
      <c r="A4122" s="90">
        <v>4106</v>
      </c>
      <c r="B4122" s="110">
        <v>1.0775117542790251</v>
      </c>
      <c r="C4122" s="110">
        <v>1.0354440452773606</v>
      </c>
      <c r="G4122" s="90">
        <v>4106</v>
      </c>
      <c r="H4122" s="100">
        <v>-3.9824087815822182E-2</v>
      </c>
      <c r="I4122" s="100">
        <v>-3.4329891200778451E-2</v>
      </c>
    </row>
    <row r="4123" spans="1:9">
      <c r="A4123" s="90">
        <v>4107</v>
      </c>
      <c r="B4123" s="110">
        <v>1.1125628077627436</v>
      </c>
      <c r="C4123" s="110">
        <v>1.0428099775723485</v>
      </c>
      <c r="G4123" s="90">
        <v>4107</v>
      </c>
      <c r="H4123" s="100">
        <v>-6.4747218789762168E-2</v>
      </c>
      <c r="I4123" s="100">
        <v>-3.4326724168811946E-2</v>
      </c>
    </row>
    <row r="4124" spans="1:9">
      <c r="A4124" s="90">
        <v>4108</v>
      </c>
      <c r="B4124" s="110">
        <v>1.0936619161502628</v>
      </c>
      <c r="C4124" s="110">
        <v>1.0472520400326089</v>
      </c>
      <c r="G4124" s="90">
        <v>4108</v>
      </c>
      <c r="H4124" s="100">
        <v>-4.3361992808004478E-2</v>
      </c>
      <c r="I4124" s="100">
        <v>-3.429573399598583E-2</v>
      </c>
    </row>
    <row r="4125" spans="1:9">
      <c r="A4125" s="90">
        <v>4109</v>
      </c>
      <c r="B4125" s="110">
        <v>1.0621795407262762</v>
      </c>
      <c r="C4125" s="110">
        <v>1.0674443955261497</v>
      </c>
      <c r="G4125" s="90">
        <v>4109</v>
      </c>
      <c r="H4125" s="100">
        <v>4.9444086687314408E-3</v>
      </c>
      <c r="I4125" s="100">
        <v>-3.4284340817077964E-2</v>
      </c>
    </row>
    <row r="4126" spans="1:9">
      <c r="A4126" s="90">
        <v>4110</v>
      </c>
      <c r="B4126" s="110">
        <v>1.1239684239240995</v>
      </c>
      <c r="C4126" s="110">
        <v>1.0587128106976849</v>
      </c>
      <c r="G4126" s="90">
        <v>4110</v>
      </c>
      <c r="H4126" s="100">
        <v>-5.9811817784717988E-2</v>
      </c>
      <c r="I4126" s="100">
        <v>-3.4255676591410676E-2</v>
      </c>
    </row>
    <row r="4127" spans="1:9">
      <c r="A4127" s="90">
        <v>4111</v>
      </c>
      <c r="B4127" s="110">
        <v>1.112632192662977</v>
      </c>
      <c r="C4127" s="110">
        <v>1.0651532672116026</v>
      </c>
      <c r="G4127" s="90">
        <v>4111</v>
      </c>
      <c r="H4127" s="100">
        <v>-4.3609851183072056E-2</v>
      </c>
      <c r="I4127" s="100">
        <v>-3.4246750735692243E-2</v>
      </c>
    </row>
    <row r="4128" spans="1:9">
      <c r="A4128" s="90">
        <v>4112</v>
      </c>
      <c r="B4128" s="110">
        <v>1.1104923547994729</v>
      </c>
      <c r="C4128" s="110">
        <v>1.0411909643500283</v>
      </c>
      <c r="G4128" s="90">
        <v>4112</v>
      </c>
      <c r="H4128" s="100">
        <v>-6.4438263872864568E-2</v>
      </c>
      <c r="I4128" s="100">
        <v>-3.4238691959097005E-2</v>
      </c>
    </row>
    <row r="4129" spans="1:9">
      <c r="A4129" s="90">
        <v>4113</v>
      </c>
      <c r="B4129" s="110">
        <v>1.0920994815978426</v>
      </c>
      <c r="C4129" s="110">
        <v>1.0619079712768194</v>
      </c>
      <c r="G4129" s="90">
        <v>4113</v>
      </c>
      <c r="H4129" s="100">
        <v>-2.8034710520949732E-2</v>
      </c>
      <c r="I4129" s="100">
        <v>-3.419009583371526E-2</v>
      </c>
    </row>
    <row r="4130" spans="1:9">
      <c r="A4130" s="90">
        <v>4114</v>
      </c>
      <c r="B4130" s="110">
        <v>1.1170360817972933</v>
      </c>
      <c r="C4130" s="110">
        <v>1.0455008968491153</v>
      </c>
      <c r="G4130" s="90">
        <v>4114</v>
      </c>
      <c r="H4130" s="100">
        <v>-6.6182724275555285E-2</v>
      </c>
      <c r="I4130" s="100">
        <v>-3.4175034448069921E-2</v>
      </c>
    </row>
    <row r="4131" spans="1:9">
      <c r="A4131" s="90">
        <v>4115</v>
      </c>
      <c r="B4131" s="110">
        <v>1.1144930716365675</v>
      </c>
      <c r="C4131" s="110">
        <v>1.060551036867766</v>
      </c>
      <c r="G4131" s="90">
        <v>4115</v>
      </c>
      <c r="H4131" s="100">
        <v>-4.9611038105435767E-2</v>
      </c>
      <c r="I4131" s="100">
        <v>-3.4153508466545905E-2</v>
      </c>
    </row>
    <row r="4132" spans="1:9">
      <c r="A4132" s="90">
        <v>4116</v>
      </c>
      <c r="B4132" s="110">
        <v>1.1125028495272207</v>
      </c>
      <c r="C4132" s="110">
        <v>1.0271100970728866</v>
      </c>
      <c r="G4132" s="90">
        <v>4116</v>
      </c>
      <c r="H4132" s="100">
        <v>-7.9863168624511718E-2</v>
      </c>
      <c r="I4132" s="100">
        <v>-3.414194131762522E-2</v>
      </c>
    </row>
    <row r="4133" spans="1:9">
      <c r="A4133" s="90">
        <v>4117</v>
      </c>
      <c r="B4133" s="110">
        <v>1.1051878904235739</v>
      </c>
      <c r="C4133" s="110">
        <v>1.0520479145256898</v>
      </c>
      <c r="G4133" s="90">
        <v>4117</v>
      </c>
      <c r="H4133" s="100">
        <v>-4.927669769214852E-2</v>
      </c>
      <c r="I4133" s="100">
        <v>-3.4093292390871083E-2</v>
      </c>
    </row>
    <row r="4134" spans="1:9">
      <c r="A4134" s="90">
        <v>4118</v>
      </c>
      <c r="B4134" s="110">
        <v>1.1019007716253548</v>
      </c>
      <c r="C4134" s="110">
        <v>1.0411534476989344</v>
      </c>
      <c r="G4134" s="90">
        <v>4118</v>
      </c>
      <c r="H4134" s="100">
        <v>-5.6707479879859905E-2</v>
      </c>
      <c r="I4134" s="100">
        <v>-3.4080075932543051E-2</v>
      </c>
    </row>
    <row r="4135" spans="1:9">
      <c r="A4135" s="90">
        <v>4119</v>
      </c>
      <c r="B4135" s="110">
        <v>1.1092715448986783</v>
      </c>
      <c r="C4135" s="110">
        <v>1.0602635645497474</v>
      </c>
      <c r="G4135" s="90">
        <v>4119</v>
      </c>
      <c r="H4135" s="100">
        <v>-4.5186011012117548E-2</v>
      </c>
      <c r="I4135" s="100">
        <v>-3.4049304322078019E-2</v>
      </c>
    </row>
    <row r="4136" spans="1:9">
      <c r="A4136" s="90">
        <v>4120</v>
      </c>
      <c r="B4136" s="110">
        <v>1.1163405310577281</v>
      </c>
      <c r="C4136" s="110">
        <v>1.0614564968380704</v>
      </c>
      <c r="G4136" s="90">
        <v>4120</v>
      </c>
      <c r="H4136" s="100">
        <v>-5.0413934174202736E-2</v>
      </c>
      <c r="I4136" s="100">
        <v>-3.4041806993708471E-2</v>
      </c>
    </row>
    <row r="4137" spans="1:9">
      <c r="A4137" s="90">
        <v>4121</v>
      </c>
      <c r="B4137" s="110">
        <v>1.1128044575826901</v>
      </c>
      <c r="C4137" s="110">
        <v>1.0448098422041769</v>
      </c>
      <c r="G4137" s="90">
        <v>4121</v>
      </c>
      <c r="H4137" s="100">
        <v>-6.304846767900793E-2</v>
      </c>
      <c r="I4137" s="100">
        <v>-3.4029568797375245E-2</v>
      </c>
    </row>
    <row r="4138" spans="1:9">
      <c r="A4138" s="90">
        <v>4122</v>
      </c>
      <c r="B4138" s="110">
        <v>1.1205391454356941</v>
      </c>
      <c r="C4138" s="110">
        <v>1.0565062768776881</v>
      </c>
      <c r="G4138" s="90">
        <v>4122</v>
      </c>
      <c r="H4138" s="100">
        <v>-5.8842450077969781E-2</v>
      </c>
      <c r="I4138" s="100">
        <v>-3.4005691265903519E-2</v>
      </c>
    </row>
    <row r="4139" spans="1:9">
      <c r="A4139" s="90">
        <v>4123</v>
      </c>
      <c r="B4139" s="110">
        <v>1.1204450064603122</v>
      </c>
      <c r="C4139" s="110">
        <v>1.0661982631575222</v>
      </c>
      <c r="G4139" s="90">
        <v>4123</v>
      </c>
      <c r="H4139" s="100">
        <v>-4.9626637187476993E-2</v>
      </c>
      <c r="I4139" s="100">
        <v>-3.4004939788141023E-2</v>
      </c>
    </row>
    <row r="4140" spans="1:9">
      <c r="A4140" s="90">
        <v>4124</v>
      </c>
      <c r="B4140" s="110">
        <v>1.0951192717939926</v>
      </c>
      <c r="C4140" s="110">
        <v>1.0544147508439303</v>
      </c>
      <c r="G4140" s="90">
        <v>4124</v>
      </c>
      <c r="H4140" s="100">
        <v>-3.7877406882332133E-2</v>
      </c>
      <c r="I4140" s="100">
        <v>-3.4001333072053871E-2</v>
      </c>
    </row>
    <row r="4141" spans="1:9">
      <c r="A4141" s="90">
        <v>4125</v>
      </c>
      <c r="B4141" s="110">
        <v>1.1211200096484637</v>
      </c>
      <c r="C4141" s="110">
        <v>1.0472392852794858</v>
      </c>
      <c r="G4141" s="90">
        <v>4125</v>
      </c>
      <c r="H4141" s="100">
        <v>-6.8170744745481834E-2</v>
      </c>
      <c r="I4141" s="100">
        <v>-3.3961997321662968E-2</v>
      </c>
    </row>
    <row r="4142" spans="1:9">
      <c r="A4142" s="90">
        <v>4126</v>
      </c>
      <c r="B4142" s="110">
        <v>1.1029164848744568</v>
      </c>
      <c r="C4142" s="110">
        <v>1.0445209944887006</v>
      </c>
      <c r="G4142" s="90">
        <v>4126</v>
      </c>
      <c r="H4142" s="100">
        <v>-5.4399619212918679E-2</v>
      </c>
      <c r="I4142" s="100">
        <v>-3.3940603271624889E-2</v>
      </c>
    </row>
    <row r="4143" spans="1:9">
      <c r="A4143" s="90">
        <v>4127</v>
      </c>
      <c r="B4143" s="110">
        <v>1.0928850398222179</v>
      </c>
      <c r="C4143" s="110">
        <v>1.0594093373624909</v>
      </c>
      <c r="G4143" s="90">
        <v>4127</v>
      </c>
      <c r="H4143" s="100">
        <v>-3.1109501181099487E-2</v>
      </c>
      <c r="I4143" s="100">
        <v>-3.3914653933822189E-2</v>
      </c>
    </row>
    <row r="4144" spans="1:9">
      <c r="A4144" s="90">
        <v>4128</v>
      </c>
      <c r="B4144" s="110">
        <v>1.0959163671716092</v>
      </c>
      <c r="C4144" s="110">
        <v>1.0441970274644876</v>
      </c>
      <c r="G4144" s="90">
        <v>4128</v>
      </c>
      <c r="H4144" s="100">
        <v>-4.8342683009725655E-2</v>
      </c>
      <c r="I4144" s="100">
        <v>-3.3912610768125101E-2</v>
      </c>
    </row>
    <row r="4145" spans="1:9">
      <c r="A4145" s="90">
        <v>4129</v>
      </c>
      <c r="B4145" s="110">
        <v>1.090508813338452</v>
      </c>
      <c r="C4145" s="110">
        <v>1.0434525883835635</v>
      </c>
      <c r="G4145" s="90">
        <v>4129</v>
      </c>
      <c r="H4145" s="100">
        <v>-4.4109377234133586E-2</v>
      </c>
      <c r="I4145" s="100">
        <v>-3.3896814340159599E-2</v>
      </c>
    </row>
    <row r="4146" spans="1:9">
      <c r="A4146" s="90">
        <v>4130</v>
      </c>
      <c r="B4146" s="110">
        <v>1.1232202775555027</v>
      </c>
      <c r="C4146" s="110">
        <v>1.0521345552872019</v>
      </c>
      <c r="G4146" s="90">
        <v>4130</v>
      </c>
      <c r="H4146" s="100">
        <v>-6.5378797103770134E-2</v>
      </c>
      <c r="I4146" s="100">
        <v>-3.3881188136409848E-2</v>
      </c>
    </row>
    <row r="4147" spans="1:9">
      <c r="A4147" s="90">
        <v>4131</v>
      </c>
      <c r="B4147" s="110">
        <v>1.1233873096800007</v>
      </c>
      <c r="C4147" s="110">
        <v>1.0428031641668207</v>
      </c>
      <c r="G4147" s="90">
        <v>4131</v>
      </c>
      <c r="H4147" s="100">
        <v>-7.44360673305898E-2</v>
      </c>
      <c r="I4147" s="100">
        <v>-3.3865922033801538E-2</v>
      </c>
    </row>
    <row r="4148" spans="1:9">
      <c r="A4148" s="90">
        <v>4132</v>
      </c>
      <c r="B4148" s="110">
        <v>1.1176359217325906</v>
      </c>
      <c r="C4148" s="110">
        <v>1.0376878898831108</v>
      </c>
      <c r="G4148" s="90">
        <v>4132</v>
      </c>
      <c r="H4148" s="100">
        <v>-7.4220614886153086E-2</v>
      </c>
      <c r="I4148" s="100">
        <v>-3.384919109125506E-2</v>
      </c>
    </row>
    <row r="4149" spans="1:9">
      <c r="A4149" s="90">
        <v>4133</v>
      </c>
      <c r="B4149" s="110">
        <v>1.1028326737350458</v>
      </c>
      <c r="C4149" s="110">
        <v>1.0398633057897075</v>
      </c>
      <c r="G4149" s="90">
        <v>4133</v>
      </c>
      <c r="H4149" s="100">
        <v>-5.8792759933377389E-2</v>
      </c>
      <c r="I4149" s="100">
        <v>-3.3827934947318353E-2</v>
      </c>
    </row>
    <row r="4150" spans="1:9">
      <c r="A4150" s="90">
        <v>4134</v>
      </c>
      <c r="B4150" s="110">
        <v>1.110773881331766</v>
      </c>
      <c r="C4150" s="110">
        <v>1.0453121149156464</v>
      </c>
      <c r="G4150" s="90">
        <v>4134</v>
      </c>
      <c r="H4150" s="100">
        <v>-6.0741447406070813E-2</v>
      </c>
      <c r="I4150" s="100">
        <v>-3.3822378873933183E-2</v>
      </c>
    </row>
    <row r="4151" spans="1:9">
      <c r="A4151" s="90">
        <v>4135</v>
      </c>
      <c r="B4151" s="110">
        <v>1.1023947452565148</v>
      </c>
      <c r="C4151" s="110">
        <v>1.0643449917281977</v>
      </c>
      <c r="G4151" s="90">
        <v>4135</v>
      </c>
      <c r="H4151" s="100">
        <v>-3.51252759153435E-2</v>
      </c>
      <c r="I4151" s="100">
        <v>-3.3819865491980607E-2</v>
      </c>
    </row>
    <row r="4152" spans="1:9">
      <c r="A4152" s="90">
        <v>4136</v>
      </c>
      <c r="B4152" s="110">
        <v>1.1147085847874503</v>
      </c>
      <c r="C4152" s="110">
        <v>1.0510132597681261</v>
      </c>
      <c r="G4152" s="90">
        <v>4136</v>
      </c>
      <c r="H4152" s="100">
        <v>-5.8838303666593379E-2</v>
      </c>
      <c r="I4152" s="100">
        <v>-3.3791601321357133E-2</v>
      </c>
    </row>
    <row r="4153" spans="1:9">
      <c r="A4153" s="90">
        <v>4137</v>
      </c>
      <c r="B4153" s="110">
        <v>1.0991027296163876</v>
      </c>
      <c r="C4153" s="110">
        <v>1.0542838839944153</v>
      </c>
      <c r="G4153" s="90">
        <v>4137</v>
      </c>
      <c r="H4153" s="100">
        <v>-4.1632393084129408E-2</v>
      </c>
      <c r="I4153" s="100">
        <v>-3.3790337357965092E-2</v>
      </c>
    </row>
    <row r="4154" spans="1:9">
      <c r="A4154" s="90">
        <v>4138</v>
      </c>
      <c r="B4154" s="110">
        <v>1.1032532510478297</v>
      </c>
      <c r="C4154" s="110">
        <v>1.0424898171136137</v>
      </c>
      <c r="G4154" s="90">
        <v>4138</v>
      </c>
      <c r="H4154" s="100">
        <v>-5.6651409068385922E-2</v>
      </c>
      <c r="I4154" s="100">
        <v>-3.3775602439967398E-2</v>
      </c>
    </row>
    <row r="4155" spans="1:9">
      <c r="A4155" s="90">
        <v>4139</v>
      </c>
      <c r="B4155" s="110">
        <v>1.0996049393387572</v>
      </c>
      <c r="C4155" s="110">
        <v>1.0664660798644747</v>
      </c>
      <c r="G4155" s="90">
        <v>4139</v>
      </c>
      <c r="H4155" s="100">
        <v>-3.0600515913385109E-2</v>
      </c>
      <c r="I4155" s="100">
        <v>-3.377440416473295E-2</v>
      </c>
    </row>
    <row r="4156" spans="1:9">
      <c r="A4156" s="90">
        <v>4140</v>
      </c>
      <c r="B4156" s="110">
        <v>1.1164666948190678</v>
      </c>
      <c r="C4156" s="110">
        <v>1.0432534604221098</v>
      </c>
      <c r="G4156" s="90">
        <v>4140</v>
      </c>
      <c r="H4156" s="100">
        <v>-6.782480441828774E-2</v>
      </c>
      <c r="I4156" s="100">
        <v>-3.3748523290321887E-2</v>
      </c>
    </row>
    <row r="4157" spans="1:9">
      <c r="A4157" s="90">
        <v>4141</v>
      </c>
      <c r="B4157" s="110">
        <v>1.1283308251756865</v>
      </c>
      <c r="C4157" s="110">
        <v>1.0454462533971112</v>
      </c>
      <c r="G4157" s="90">
        <v>4141</v>
      </c>
      <c r="H4157" s="100">
        <v>-7.6295563800345384E-2</v>
      </c>
      <c r="I4157" s="100">
        <v>-3.3707647167002135E-2</v>
      </c>
    </row>
    <row r="4158" spans="1:9">
      <c r="A4158" s="90">
        <v>4142</v>
      </c>
      <c r="B4158" s="110">
        <v>1.1083331676995178</v>
      </c>
      <c r="C4158" s="110">
        <v>1.0786524016123873</v>
      </c>
      <c r="G4158" s="90">
        <v>4142</v>
      </c>
      <c r="H4158" s="100">
        <v>-2.7144750265359171E-2</v>
      </c>
      <c r="I4158" s="100">
        <v>-3.3704280583838134E-2</v>
      </c>
    </row>
    <row r="4159" spans="1:9">
      <c r="A4159" s="90">
        <v>4143</v>
      </c>
      <c r="B4159" s="110">
        <v>1.0801732328177716</v>
      </c>
      <c r="C4159" s="110">
        <v>1.04758251306225</v>
      </c>
      <c r="G4159" s="90">
        <v>4143</v>
      </c>
      <c r="H4159" s="100">
        <v>-3.0636287898838797E-2</v>
      </c>
      <c r="I4159" s="100">
        <v>-3.3695745358899923E-2</v>
      </c>
    </row>
    <row r="4160" spans="1:9">
      <c r="A4160" s="90">
        <v>4144</v>
      </c>
      <c r="B4160" s="110">
        <v>1.1317120828924092</v>
      </c>
      <c r="C4160" s="110">
        <v>1.0471743747220941</v>
      </c>
      <c r="G4160" s="90">
        <v>4144</v>
      </c>
      <c r="H4160" s="100">
        <v>-7.7636138662025012E-2</v>
      </c>
      <c r="I4160" s="100">
        <v>-3.3647528103958234E-2</v>
      </c>
    </row>
    <row r="4161" spans="1:9">
      <c r="A4161" s="90">
        <v>4145</v>
      </c>
      <c r="B4161" s="110">
        <v>1.1076035051828756</v>
      </c>
      <c r="C4161" s="110">
        <v>1.0485333441735154</v>
      </c>
      <c r="G4161" s="90">
        <v>4145</v>
      </c>
      <c r="H4161" s="100">
        <v>-5.4806304333566917E-2</v>
      </c>
      <c r="I4161" s="100">
        <v>-3.3638805808514298E-2</v>
      </c>
    </row>
    <row r="4162" spans="1:9">
      <c r="A4162" s="90">
        <v>4146</v>
      </c>
      <c r="B4162" s="110">
        <v>1.1405915906383786</v>
      </c>
      <c r="C4162" s="110">
        <v>1.0586648343016491</v>
      </c>
      <c r="G4162" s="90">
        <v>4146</v>
      </c>
      <c r="H4162" s="100">
        <v>-7.4538543068614932E-2</v>
      </c>
      <c r="I4162" s="100">
        <v>-3.3608066312678909E-2</v>
      </c>
    </row>
    <row r="4163" spans="1:9">
      <c r="A4163" s="90">
        <v>4147</v>
      </c>
      <c r="B4163" s="110">
        <v>1.146261038289627</v>
      </c>
      <c r="C4163" s="110">
        <v>1.0654971901301138</v>
      </c>
      <c r="G4163" s="90">
        <v>4147</v>
      </c>
      <c r="H4163" s="100">
        <v>-7.3063839041114673E-2</v>
      </c>
      <c r="I4163" s="100">
        <v>-3.3606716300203163E-2</v>
      </c>
    </row>
    <row r="4164" spans="1:9">
      <c r="A4164" s="90">
        <v>4148</v>
      </c>
      <c r="B4164" s="110">
        <v>1.134082237276125</v>
      </c>
      <c r="C4164" s="110">
        <v>1.0639387908021249</v>
      </c>
      <c r="G4164" s="90">
        <v>4148</v>
      </c>
      <c r="H4164" s="100">
        <v>-6.3845860496913265E-2</v>
      </c>
      <c r="I4164" s="100">
        <v>-3.3582947937202463E-2</v>
      </c>
    </row>
    <row r="4165" spans="1:9">
      <c r="A4165" s="90">
        <v>4149</v>
      </c>
      <c r="B4165" s="110">
        <v>1.1436889124925009</v>
      </c>
      <c r="C4165" s="110">
        <v>1.0948074694836378</v>
      </c>
      <c r="G4165" s="90">
        <v>4149</v>
      </c>
      <c r="H4165" s="100">
        <v>-4.3680405485104538E-2</v>
      </c>
      <c r="I4165" s="100">
        <v>-3.3576703500366338E-2</v>
      </c>
    </row>
    <row r="4166" spans="1:9">
      <c r="A4166" s="90">
        <v>4150</v>
      </c>
      <c r="B4166" s="110">
        <v>1.0964143747220121</v>
      </c>
      <c r="C4166" s="110">
        <v>1.0661147958733397</v>
      </c>
      <c r="G4166" s="90">
        <v>4150</v>
      </c>
      <c r="H4166" s="100">
        <v>-2.8024187815645942E-2</v>
      </c>
      <c r="I4166" s="100">
        <v>-3.3571480861968976E-2</v>
      </c>
    </row>
    <row r="4167" spans="1:9">
      <c r="A4167" s="90">
        <v>4151</v>
      </c>
      <c r="B4167" s="110">
        <v>1.0979175452915191</v>
      </c>
      <c r="C4167" s="110">
        <v>1.0540399322317284</v>
      </c>
      <c r="G4167" s="90">
        <v>4151</v>
      </c>
      <c r="H4167" s="100">
        <v>-4.0784909135261636E-2</v>
      </c>
      <c r="I4167" s="100">
        <v>-3.3559751465512648E-2</v>
      </c>
    </row>
    <row r="4168" spans="1:9">
      <c r="A4168" s="90">
        <v>4152</v>
      </c>
      <c r="B4168" s="110">
        <v>1.1214981940856648</v>
      </c>
      <c r="C4168" s="110">
        <v>1.0567121986994901</v>
      </c>
      <c r="G4168" s="90">
        <v>4152</v>
      </c>
      <c r="H4168" s="100">
        <v>-5.9503076165318677E-2</v>
      </c>
      <c r="I4168" s="100">
        <v>-3.3535689355767576E-2</v>
      </c>
    </row>
    <row r="4169" spans="1:9">
      <c r="A4169" s="90">
        <v>4153</v>
      </c>
      <c r="B4169" s="110">
        <v>1.1016266033416113</v>
      </c>
      <c r="C4169" s="110">
        <v>1.0538976441870922</v>
      </c>
      <c r="G4169" s="90">
        <v>4153</v>
      </c>
      <c r="H4169" s="100">
        <v>-4.4292484243275247E-2</v>
      </c>
      <c r="I4169" s="100">
        <v>-3.3533246913538942E-2</v>
      </c>
    </row>
    <row r="4170" spans="1:9">
      <c r="A4170" s="90">
        <v>4154</v>
      </c>
      <c r="B4170" s="110">
        <v>1.1203620865334092</v>
      </c>
      <c r="C4170" s="110">
        <v>1.0590927080339869</v>
      </c>
      <c r="G4170" s="90">
        <v>4154</v>
      </c>
      <c r="H4170" s="100">
        <v>-5.6239318822478367E-2</v>
      </c>
      <c r="I4170" s="100">
        <v>-3.3519008560204254E-2</v>
      </c>
    </row>
    <row r="4171" spans="1:9">
      <c r="A4171" s="90">
        <v>4155</v>
      </c>
      <c r="B4171" s="110">
        <v>1.1069426843882237</v>
      </c>
      <c r="C4171" s="110">
        <v>1.0531459476095073</v>
      </c>
      <c r="G4171" s="90">
        <v>4155</v>
      </c>
      <c r="H4171" s="100">
        <v>-4.9820051499763866E-2</v>
      </c>
      <c r="I4171" s="100">
        <v>-3.3515814481327282E-2</v>
      </c>
    </row>
    <row r="4172" spans="1:9">
      <c r="A4172" s="90">
        <v>4156</v>
      </c>
      <c r="B4172" s="110">
        <v>1.1119797965817437</v>
      </c>
      <c r="C4172" s="110">
        <v>1.0471231061587043</v>
      </c>
      <c r="G4172" s="90">
        <v>4156</v>
      </c>
      <c r="H4172" s="100">
        <v>-6.0095522242067018E-2</v>
      </c>
      <c r="I4172" s="100">
        <v>-3.3471346735099106E-2</v>
      </c>
    </row>
    <row r="4173" spans="1:9">
      <c r="A4173" s="90">
        <v>4157</v>
      </c>
      <c r="B4173" s="110">
        <v>1.1416384423908448</v>
      </c>
      <c r="C4173" s="110">
        <v>1.0771266245062816</v>
      </c>
      <c r="G4173" s="90">
        <v>4157</v>
      </c>
      <c r="H4173" s="100">
        <v>-5.8167497983074683E-2</v>
      </c>
      <c r="I4173" s="100">
        <v>-3.3449876306861595E-2</v>
      </c>
    </row>
    <row r="4174" spans="1:9">
      <c r="A4174" s="90">
        <v>4158</v>
      </c>
      <c r="B4174" s="110">
        <v>1.0886224549421251</v>
      </c>
      <c r="C4174" s="110">
        <v>1.0585931102718287</v>
      </c>
      <c r="G4174" s="90">
        <v>4158</v>
      </c>
      <c r="H4174" s="100">
        <v>-2.7972322082318122E-2</v>
      </c>
      <c r="I4174" s="100">
        <v>-3.3422311111422812E-2</v>
      </c>
    </row>
    <row r="4175" spans="1:9">
      <c r="A4175" s="90">
        <v>4159</v>
      </c>
      <c r="B4175" s="110">
        <v>1.1115222245454492</v>
      </c>
      <c r="C4175" s="110">
        <v>1.0665508733747644</v>
      </c>
      <c r="G4175" s="90">
        <v>4159</v>
      </c>
      <c r="H4175" s="100">
        <v>-4.1300490281076116E-2</v>
      </c>
      <c r="I4175" s="100">
        <v>-3.3410964359949634E-2</v>
      </c>
    </row>
    <row r="4176" spans="1:9">
      <c r="A4176" s="90">
        <v>4160</v>
      </c>
      <c r="B4176" s="110">
        <v>1.0958892563684584</v>
      </c>
      <c r="C4176" s="110">
        <v>1.0728410821394665</v>
      </c>
      <c r="G4176" s="90">
        <v>4160</v>
      </c>
      <c r="H4176" s="100">
        <v>-2.1255793395582975E-2</v>
      </c>
      <c r="I4176" s="100">
        <v>-3.3407302043301945E-2</v>
      </c>
    </row>
    <row r="4177" spans="1:9">
      <c r="A4177" s="90">
        <v>4161</v>
      </c>
      <c r="B4177" s="110">
        <v>1.0812502103128145</v>
      </c>
      <c r="C4177" s="110">
        <v>1.0508940016455197</v>
      </c>
      <c r="G4177" s="90">
        <v>4161</v>
      </c>
      <c r="H4177" s="100">
        <v>-2.8476741725900739E-2</v>
      </c>
      <c r="I4177" s="100">
        <v>-3.3382570704271038E-2</v>
      </c>
    </row>
    <row r="4178" spans="1:9">
      <c r="A4178" s="90">
        <v>4162</v>
      </c>
      <c r="B4178" s="110">
        <v>1.1229954505310877</v>
      </c>
      <c r="C4178" s="110">
        <v>1.0622628505668215</v>
      </c>
      <c r="G4178" s="90">
        <v>4162</v>
      </c>
      <c r="H4178" s="100">
        <v>-5.5598227136439818E-2</v>
      </c>
      <c r="I4178" s="100">
        <v>-3.3381640682164357E-2</v>
      </c>
    </row>
    <row r="4179" spans="1:9">
      <c r="A4179" s="90">
        <v>4163</v>
      </c>
      <c r="B4179" s="110">
        <v>1.1177843856284468</v>
      </c>
      <c r="C4179" s="110">
        <v>1.0670165265089659</v>
      </c>
      <c r="G4179" s="90">
        <v>4163</v>
      </c>
      <c r="H4179" s="100">
        <v>-4.6482037952342174E-2</v>
      </c>
      <c r="I4179" s="100">
        <v>-3.3371904660032967E-2</v>
      </c>
    </row>
    <row r="4180" spans="1:9">
      <c r="A4180" s="90">
        <v>4164</v>
      </c>
      <c r="B4180" s="110">
        <v>1.1346460930140212</v>
      </c>
      <c r="C4180" s="110">
        <v>1.0651386288851343</v>
      </c>
      <c r="G4180" s="90">
        <v>4164</v>
      </c>
      <c r="H4180" s="100">
        <v>-6.321583132981165E-2</v>
      </c>
      <c r="I4180" s="100">
        <v>-3.3355246049262294E-2</v>
      </c>
    </row>
    <row r="4181" spans="1:9">
      <c r="A4181" s="90">
        <v>4165</v>
      </c>
      <c r="B4181" s="110">
        <v>1.1131568390229731</v>
      </c>
      <c r="C4181" s="110">
        <v>1.0740924401399288</v>
      </c>
      <c r="G4181" s="90">
        <v>4165</v>
      </c>
      <c r="H4181" s="100">
        <v>-3.5723914653384467E-2</v>
      </c>
      <c r="I4181" s="100">
        <v>-3.3351095009865876E-2</v>
      </c>
    </row>
    <row r="4182" spans="1:9">
      <c r="A4182" s="90">
        <v>4166</v>
      </c>
      <c r="B4182" s="110">
        <v>1.1534287136613526</v>
      </c>
      <c r="C4182" s="110">
        <v>1.0400483431478116</v>
      </c>
      <c r="G4182" s="90">
        <v>4166</v>
      </c>
      <c r="H4182" s="100">
        <v>-0.10347180081955024</v>
      </c>
      <c r="I4182" s="100">
        <v>-3.3339620254601181E-2</v>
      </c>
    </row>
    <row r="4183" spans="1:9">
      <c r="A4183" s="90">
        <v>4167</v>
      </c>
      <c r="B4183" s="110">
        <v>1.1258442321340658</v>
      </c>
      <c r="C4183" s="110">
        <v>1.0365371760106232</v>
      </c>
      <c r="G4183" s="90">
        <v>4167</v>
      </c>
      <c r="H4183" s="100">
        <v>-8.2647663668900598E-2</v>
      </c>
      <c r="I4183" s="100">
        <v>-3.3300347422841249E-2</v>
      </c>
    </row>
    <row r="4184" spans="1:9">
      <c r="A4184" s="90">
        <v>4168</v>
      </c>
      <c r="B4184" s="110">
        <v>1.1122968946863878</v>
      </c>
      <c r="C4184" s="110">
        <v>1.0633246191816406</v>
      </c>
      <c r="G4184" s="90">
        <v>4168</v>
      </c>
      <c r="H4184" s="100">
        <v>-4.5026718848839749E-2</v>
      </c>
      <c r="I4184" s="100">
        <v>-3.3297328603434449E-2</v>
      </c>
    </row>
    <row r="4185" spans="1:9">
      <c r="A4185" s="90">
        <v>4169</v>
      </c>
      <c r="B4185" s="110">
        <v>1.1319227139618013</v>
      </c>
      <c r="C4185" s="110">
        <v>1.0729016716333113</v>
      </c>
      <c r="G4185" s="90">
        <v>4169</v>
      </c>
      <c r="H4185" s="100">
        <v>-5.3550882854172498E-2</v>
      </c>
      <c r="I4185" s="100">
        <v>-3.3270655934818233E-2</v>
      </c>
    </row>
    <row r="4186" spans="1:9">
      <c r="A4186" s="90">
        <v>4170</v>
      </c>
      <c r="B4186" s="110">
        <v>1.140805088542638</v>
      </c>
      <c r="C4186" s="110">
        <v>1.0498385333790548</v>
      </c>
      <c r="G4186" s="90">
        <v>4170</v>
      </c>
      <c r="H4186" s="100">
        <v>-8.3097856561470992E-2</v>
      </c>
      <c r="I4186" s="100">
        <v>-3.3228685476974301E-2</v>
      </c>
    </row>
    <row r="4187" spans="1:9">
      <c r="A4187" s="90">
        <v>4171</v>
      </c>
      <c r="B4187" s="110">
        <v>1.1044418137710672</v>
      </c>
      <c r="C4187" s="110">
        <v>1.0535701500344443</v>
      </c>
      <c r="G4187" s="90">
        <v>4171</v>
      </c>
      <c r="H4187" s="100">
        <v>-4.7155521788797783E-2</v>
      </c>
      <c r="I4187" s="100">
        <v>-3.3194111790500747E-2</v>
      </c>
    </row>
    <row r="4188" spans="1:9">
      <c r="A4188" s="90">
        <v>4172</v>
      </c>
      <c r="B4188" s="110">
        <v>1.1269366841773074</v>
      </c>
      <c r="C4188" s="110">
        <v>1.0532158478192066</v>
      </c>
      <c r="G4188" s="90">
        <v>4172</v>
      </c>
      <c r="H4188" s="100">
        <v>-6.76548567957172E-2</v>
      </c>
      <c r="I4188" s="100">
        <v>-3.3179076638386595E-2</v>
      </c>
    </row>
    <row r="4189" spans="1:9">
      <c r="A4189" s="90">
        <v>4173</v>
      </c>
      <c r="B4189" s="110">
        <v>1.1429548284374831</v>
      </c>
      <c r="C4189" s="110">
        <v>1.0560623973381886</v>
      </c>
      <c r="G4189" s="90">
        <v>4173</v>
      </c>
      <c r="H4189" s="100">
        <v>-7.9069591927694763E-2</v>
      </c>
      <c r="I4189" s="100">
        <v>-3.317114825728603E-2</v>
      </c>
    </row>
    <row r="4190" spans="1:9">
      <c r="A4190" s="90">
        <v>4174</v>
      </c>
      <c r="B4190" s="110">
        <v>1.109679914293221</v>
      </c>
      <c r="C4190" s="110">
        <v>1.0618527420418409</v>
      </c>
      <c r="G4190" s="90">
        <v>4174</v>
      </c>
      <c r="H4190" s="100">
        <v>-4.4056356009440127E-2</v>
      </c>
      <c r="I4190" s="100">
        <v>-3.3164317059136063E-2</v>
      </c>
    </row>
    <row r="4191" spans="1:9">
      <c r="A4191" s="90">
        <v>4175</v>
      </c>
      <c r="B4191" s="110">
        <v>1.1049006341628536</v>
      </c>
      <c r="C4191" s="110">
        <v>1.0622912594447673</v>
      </c>
      <c r="G4191" s="90">
        <v>4175</v>
      </c>
      <c r="H4191" s="100">
        <v>-3.9327266275539306E-2</v>
      </c>
      <c r="I4191" s="100">
        <v>-3.3157332831348106E-2</v>
      </c>
    </row>
    <row r="4192" spans="1:9">
      <c r="A4192" s="90">
        <v>4176</v>
      </c>
      <c r="B4192" s="110">
        <v>1.115527537991595</v>
      </c>
      <c r="C4192" s="110">
        <v>1.082221559392522</v>
      </c>
      <c r="G4192" s="90">
        <v>4176</v>
      </c>
      <c r="H4192" s="100">
        <v>-3.0311493418727232E-2</v>
      </c>
      <c r="I4192" s="100">
        <v>-3.3145902601986701E-2</v>
      </c>
    </row>
    <row r="4193" spans="1:9">
      <c r="A4193" s="90">
        <v>4177</v>
      </c>
      <c r="B4193" s="110">
        <v>1.130304347563529</v>
      </c>
      <c r="C4193" s="110">
        <v>1.0757338865469646</v>
      </c>
      <c r="G4193" s="90">
        <v>4177</v>
      </c>
      <c r="H4193" s="100">
        <v>-4.9483816771259036E-2</v>
      </c>
      <c r="I4193" s="100">
        <v>-3.3139176232439567E-2</v>
      </c>
    </row>
    <row r="4194" spans="1:9">
      <c r="A4194" s="90">
        <v>4178</v>
      </c>
      <c r="B4194" s="110">
        <v>1.0994808619945713</v>
      </c>
      <c r="C4194" s="110">
        <v>1.0319671437489135</v>
      </c>
      <c r="G4194" s="90">
        <v>4178</v>
      </c>
      <c r="H4194" s="100">
        <v>-6.3371295662629154E-2</v>
      </c>
      <c r="I4194" s="100">
        <v>-3.3130179361057652E-2</v>
      </c>
    </row>
    <row r="4195" spans="1:9">
      <c r="A4195" s="90">
        <v>4179</v>
      </c>
      <c r="B4195" s="110">
        <v>1.088441238644954</v>
      </c>
      <c r="C4195" s="110">
        <v>1.0652613022608843</v>
      </c>
      <c r="G4195" s="90">
        <v>4179</v>
      </c>
      <c r="H4195" s="100">
        <v>-2.1526493143094301E-2</v>
      </c>
      <c r="I4195" s="100">
        <v>-3.3119062766812001E-2</v>
      </c>
    </row>
    <row r="4196" spans="1:9">
      <c r="A4196" s="90">
        <v>4180</v>
      </c>
      <c r="B4196" s="110">
        <v>1.1021153868560365</v>
      </c>
      <c r="C4196" s="110">
        <v>1.051671701537046</v>
      </c>
      <c r="G4196" s="90">
        <v>4180</v>
      </c>
      <c r="H4196" s="100">
        <v>-4.6850417186242457E-2</v>
      </c>
      <c r="I4196" s="100">
        <v>-3.3109431529614701E-2</v>
      </c>
    </row>
    <row r="4197" spans="1:9">
      <c r="A4197" s="90">
        <v>4181</v>
      </c>
      <c r="B4197" s="110">
        <v>1.1183901657053759</v>
      </c>
      <c r="C4197" s="110">
        <v>1.0521899412215092</v>
      </c>
      <c r="G4197" s="90">
        <v>4181</v>
      </c>
      <c r="H4197" s="100">
        <v>-6.1016648767052359E-2</v>
      </c>
      <c r="I4197" s="100">
        <v>-3.3101340778826774E-2</v>
      </c>
    </row>
    <row r="4198" spans="1:9">
      <c r="A4198" s="90">
        <v>4182</v>
      </c>
      <c r="B4198" s="110">
        <v>1.1290989754826073</v>
      </c>
      <c r="C4198" s="110">
        <v>1.0504770080715014</v>
      </c>
      <c r="G4198" s="90">
        <v>4182</v>
      </c>
      <c r="H4198" s="100">
        <v>-7.2175593417822953E-2</v>
      </c>
      <c r="I4198" s="100">
        <v>-3.3054297731742566E-2</v>
      </c>
    </row>
    <row r="4199" spans="1:9">
      <c r="A4199" s="90">
        <v>4183</v>
      </c>
      <c r="B4199" s="110">
        <v>1.1090319274745852</v>
      </c>
      <c r="C4199" s="110">
        <v>1.0541453595051287</v>
      </c>
      <c r="G4199" s="90">
        <v>4183</v>
      </c>
      <c r="H4199" s="100">
        <v>-5.0757144526754082E-2</v>
      </c>
      <c r="I4199" s="100">
        <v>-3.304984785914071E-2</v>
      </c>
    </row>
    <row r="4200" spans="1:9">
      <c r="A4200" s="90">
        <v>4184</v>
      </c>
      <c r="B4200" s="110">
        <v>1.1156580156685587</v>
      </c>
      <c r="C4200" s="110">
        <v>1.0528798524601608</v>
      </c>
      <c r="G4200" s="90">
        <v>4184</v>
      </c>
      <c r="H4200" s="100">
        <v>-5.7915253010411255E-2</v>
      </c>
      <c r="I4200" s="100">
        <v>-3.3035555167149136E-2</v>
      </c>
    </row>
    <row r="4201" spans="1:9">
      <c r="A4201" s="90">
        <v>4185</v>
      </c>
      <c r="B4201" s="110">
        <v>1.1179201450848926</v>
      </c>
      <c r="C4201" s="110">
        <v>1.0406622207635907</v>
      </c>
      <c r="G4201" s="90">
        <v>4185</v>
      </c>
      <c r="H4201" s="100">
        <v>-7.1612684355329359E-2</v>
      </c>
      <c r="I4201" s="100">
        <v>-3.2995284463488407E-2</v>
      </c>
    </row>
    <row r="4202" spans="1:9">
      <c r="A4202" s="90">
        <v>4186</v>
      </c>
      <c r="B4202" s="110">
        <v>1.0871347199658601</v>
      </c>
      <c r="C4202" s="110">
        <v>1.0683376611985309</v>
      </c>
      <c r="G4202" s="90">
        <v>4186</v>
      </c>
      <c r="H4202" s="100">
        <v>-1.7441685130375879E-2</v>
      </c>
      <c r="I4202" s="100">
        <v>-3.2993402546072248E-2</v>
      </c>
    </row>
    <row r="4203" spans="1:9">
      <c r="A4203" s="90">
        <v>4187</v>
      </c>
      <c r="B4203" s="110">
        <v>1.1237789809929439</v>
      </c>
      <c r="C4203" s="110">
        <v>1.0726097354593032</v>
      </c>
      <c r="G4203" s="90">
        <v>4187</v>
      </c>
      <c r="H4203" s="100">
        <v>-4.6602411978273306E-2</v>
      </c>
      <c r="I4203" s="100">
        <v>-3.2950383882499781E-2</v>
      </c>
    </row>
    <row r="4204" spans="1:9">
      <c r="A4204" s="90">
        <v>4188</v>
      </c>
      <c r="B4204" s="110">
        <v>1.0841212166385852</v>
      </c>
      <c r="C4204" s="110">
        <v>1.053303503386849</v>
      </c>
      <c r="G4204" s="90">
        <v>4188</v>
      </c>
      <c r="H4204" s="100">
        <v>-2.8838301272748845E-2</v>
      </c>
      <c r="I4204" s="100">
        <v>-3.2943085173188918E-2</v>
      </c>
    </row>
    <row r="4205" spans="1:9">
      <c r="A4205" s="90">
        <v>4189</v>
      </c>
      <c r="B4205" s="110">
        <v>1.1502137353281419</v>
      </c>
      <c r="C4205" s="110">
        <v>1.0690818308207559</v>
      </c>
      <c r="G4205" s="90">
        <v>4189</v>
      </c>
      <c r="H4205" s="100">
        <v>-7.3147603856170196E-2</v>
      </c>
      <c r="I4205" s="100">
        <v>-3.2931623155335404E-2</v>
      </c>
    </row>
    <row r="4206" spans="1:9">
      <c r="A4206" s="90">
        <v>4190</v>
      </c>
      <c r="B4206" s="110">
        <v>1.0838361183113976</v>
      </c>
      <c r="C4206" s="110">
        <v>1.0700638008995149</v>
      </c>
      <c r="G4206" s="90">
        <v>4190</v>
      </c>
      <c r="H4206" s="100">
        <v>-1.2788435513600819E-2</v>
      </c>
      <c r="I4206" s="100">
        <v>-3.2915710327933903E-2</v>
      </c>
    </row>
    <row r="4207" spans="1:9">
      <c r="A4207" s="90">
        <v>4191</v>
      </c>
      <c r="B4207" s="110">
        <v>1.086642906662058</v>
      </c>
      <c r="C4207" s="110">
        <v>1.0543616591844081</v>
      </c>
      <c r="G4207" s="90">
        <v>4191</v>
      </c>
      <c r="H4207" s="100">
        <v>-3.0157520017080761E-2</v>
      </c>
      <c r="I4207" s="100">
        <v>-3.2911699921424571E-2</v>
      </c>
    </row>
    <row r="4208" spans="1:9">
      <c r="A4208" s="90">
        <v>4192</v>
      </c>
      <c r="B4208" s="110">
        <v>1.1177148957606513</v>
      </c>
      <c r="C4208" s="110">
        <v>1.0516476009564204</v>
      </c>
      <c r="G4208" s="90">
        <v>4192</v>
      </c>
      <c r="H4208" s="100">
        <v>-6.0928251357472325E-2</v>
      </c>
      <c r="I4208" s="100">
        <v>-3.2898299824794551E-2</v>
      </c>
    </row>
    <row r="4209" spans="1:9">
      <c r="A4209" s="90">
        <v>4193</v>
      </c>
      <c r="B4209" s="110">
        <v>1.1058353565096637</v>
      </c>
      <c r="C4209" s="110">
        <v>1.0646871289041864</v>
      </c>
      <c r="G4209" s="90">
        <v>4193</v>
      </c>
      <c r="H4209" s="100">
        <v>-3.7920047779456796E-2</v>
      </c>
      <c r="I4209" s="100">
        <v>-3.2884775279590592E-2</v>
      </c>
    </row>
    <row r="4210" spans="1:9">
      <c r="A4210" s="90">
        <v>4194</v>
      </c>
      <c r="B4210" s="110">
        <v>1.1172909184840742</v>
      </c>
      <c r="C4210" s="110">
        <v>1.0447035612398501</v>
      </c>
      <c r="G4210" s="90">
        <v>4194</v>
      </c>
      <c r="H4210" s="100">
        <v>-6.7173760728094833E-2</v>
      </c>
      <c r="I4210" s="100">
        <v>-3.2868569214056363E-2</v>
      </c>
    </row>
    <row r="4211" spans="1:9">
      <c r="A4211" s="90">
        <v>4195</v>
      </c>
      <c r="B4211" s="110">
        <v>1.0939312615521053</v>
      </c>
      <c r="C4211" s="110">
        <v>1.0418601356292669</v>
      </c>
      <c r="G4211" s="90">
        <v>4195</v>
      </c>
      <c r="H4211" s="100">
        <v>-4.8770162327848303E-2</v>
      </c>
      <c r="I4211" s="100">
        <v>-3.286673247106478E-2</v>
      </c>
    </row>
    <row r="4212" spans="1:9">
      <c r="A4212" s="90">
        <v>4196</v>
      </c>
      <c r="B4212" s="110">
        <v>1.0858933228910552</v>
      </c>
      <c r="C4212" s="110">
        <v>1.0496334311063507</v>
      </c>
      <c r="G4212" s="90">
        <v>4196</v>
      </c>
      <c r="H4212" s="100">
        <v>-3.3961997321662968E-2</v>
      </c>
      <c r="I4212" s="100">
        <v>-3.2848938339468357E-2</v>
      </c>
    </row>
    <row r="4213" spans="1:9">
      <c r="A4213" s="90">
        <v>4197</v>
      </c>
      <c r="B4213" s="110">
        <v>1.1140542645084428</v>
      </c>
      <c r="C4213" s="110">
        <v>1.0432724974967458</v>
      </c>
      <c r="G4213" s="90">
        <v>4197</v>
      </c>
      <c r="H4213" s="100">
        <v>-6.5643446651308487E-2</v>
      </c>
      <c r="I4213" s="100">
        <v>-3.2787873103929784E-2</v>
      </c>
    </row>
    <row r="4214" spans="1:9">
      <c r="A4214" s="90">
        <v>4198</v>
      </c>
      <c r="B4214" s="110">
        <v>1.103077954757292</v>
      </c>
      <c r="C4214" s="110">
        <v>1.0688753423716264</v>
      </c>
      <c r="G4214" s="90">
        <v>4198</v>
      </c>
      <c r="H4214" s="100">
        <v>-3.1497399180402133E-2</v>
      </c>
      <c r="I4214" s="100">
        <v>-3.2751760636669305E-2</v>
      </c>
    </row>
    <row r="4215" spans="1:9">
      <c r="A4215" s="90">
        <v>4199</v>
      </c>
      <c r="B4215" s="110">
        <v>1.1280896761775034</v>
      </c>
      <c r="C4215" s="110">
        <v>1.0524053895562306</v>
      </c>
      <c r="G4215" s="90">
        <v>4199</v>
      </c>
      <c r="H4215" s="100">
        <v>-6.9447258697286782E-2</v>
      </c>
      <c r="I4215" s="100">
        <v>-3.2751078251512834E-2</v>
      </c>
    </row>
    <row r="4216" spans="1:9">
      <c r="A4216" s="90">
        <v>4200</v>
      </c>
      <c r="B4216" s="110">
        <v>1.0866757114902565</v>
      </c>
      <c r="C4216" s="110">
        <v>1.0638265925977708</v>
      </c>
      <c r="G4216" s="90">
        <v>4200</v>
      </c>
      <c r="H4216" s="100">
        <v>-2.1250829377674967E-2</v>
      </c>
      <c r="I4216" s="100">
        <v>-3.2750631805472823E-2</v>
      </c>
    </row>
    <row r="4217" spans="1:9">
      <c r="A4217" s="90">
        <v>4201</v>
      </c>
      <c r="B4217" s="110">
        <v>1.1110350762050538</v>
      </c>
      <c r="C4217" s="110">
        <v>1.0491219127629414</v>
      </c>
      <c r="G4217" s="90">
        <v>4201</v>
      </c>
      <c r="H4217" s="100">
        <v>-5.7338541162315501E-2</v>
      </c>
      <c r="I4217" s="100">
        <v>-3.2692812589270363E-2</v>
      </c>
    </row>
    <row r="4218" spans="1:9">
      <c r="A4218" s="90">
        <v>4202</v>
      </c>
      <c r="B4218" s="110">
        <v>1.0922386419473822</v>
      </c>
      <c r="C4218" s="110">
        <v>1.0387475470844691</v>
      </c>
      <c r="G4218" s="90">
        <v>4202</v>
      </c>
      <c r="H4218" s="100">
        <v>-5.0213684255051967E-2</v>
      </c>
      <c r="I4218" s="100">
        <v>-3.2687644176198877E-2</v>
      </c>
    </row>
    <row r="4219" spans="1:9">
      <c r="A4219" s="90">
        <v>4203</v>
      </c>
      <c r="B4219" s="110">
        <v>1.1056227271581891</v>
      </c>
      <c r="C4219" s="110">
        <v>1.0502926729775657</v>
      </c>
      <c r="G4219" s="90">
        <v>4203</v>
      </c>
      <c r="H4219" s="100">
        <v>-5.1339868723279843E-2</v>
      </c>
      <c r="I4219" s="100">
        <v>-3.2658870127559476E-2</v>
      </c>
    </row>
    <row r="4220" spans="1:9">
      <c r="A4220" s="90">
        <v>4204</v>
      </c>
      <c r="B4220" s="110">
        <v>1.1166546318723687</v>
      </c>
      <c r="C4220" s="110">
        <v>1.0550683084704606</v>
      </c>
      <c r="G4220" s="90">
        <v>4204</v>
      </c>
      <c r="H4220" s="100">
        <v>-5.6731767485683787E-2</v>
      </c>
      <c r="I4220" s="100">
        <v>-3.2651736344261557E-2</v>
      </c>
    </row>
    <row r="4221" spans="1:9">
      <c r="A4221" s="90">
        <v>4205</v>
      </c>
      <c r="B4221" s="110">
        <v>1.0832387295375665</v>
      </c>
      <c r="C4221" s="110">
        <v>1.0616368571666381</v>
      </c>
      <c r="G4221" s="90">
        <v>4205</v>
      </c>
      <c r="H4221" s="100">
        <v>-2.0143455339823743E-2</v>
      </c>
      <c r="I4221" s="100">
        <v>-3.2651085869008424E-2</v>
      </c>
    </row>
    <row r="4222" spans="1:9">
      <c r="A4222" s="90">
        <v>4206</v>
      </c>
      <c r="B4222" s="110">
        <v>1.133112476404637</v>
      </c>
      <c r="C4222" s="110">
        <v>1.038172512129937</v>
      </c>
      <c r="G4222" s="90">
        <v>4206</v>
      </c>
      <c r="H4222" s="100">
        <v>-8.7506282611498482E-2</v>
      </c>
      <c r="I4222" s="100">
        <v>-3.2646701084325776E-2</v>
      </c>
    </row>
    <row r="4223" spans="1:9">
      <c r="A4223" s="90">
        <v>4207</v>
      </c>
      <c r="B4223" s="110">
        <v>1.1081696947317166</v>
      </c>
      <c r="C4223" s="110">
        <v>1.059421455104322</v>
      </c>
      <c r="G4223" s="90">
        <v>4207</v>
      </c>
      <c r="H4223" s="100">
        <v>-4.4986768637057716E-2</v>
      </c>
      <c r="I4223" s="100">
        <v>-3.2646694942323168E-2</v>
      </c>
    </row>
    <row r="4224" spans="1:9">
      <c r="A4224" s="90">
        <v>4208</v>
      </c>
      <c r="B4224" s="110">
        <v>1.1398392557159767</v>
      </c>
      <c r="C4224" s="110">
        <v>1.0394005562654989</v>
      </c>
      <c r="G4224" s="90">
        <v>4208</v>
      </c>
      <c r="H4224" s="100">
        <v>-9.2243089935033884E-2</v>
      </c>
      <c r="I4224" s="100">
        <v>-3.2635083870118264E-2</v>
      </c>
    </row>
    <row r="4225" spans="1:9">
      <c r="A4225" s="90">
        <v>4209</v>
      </c>
      <c r="B4225" s="110">
        <v>1.0975311404982644</v>
      </c>
      <c r="C4225" s="110">
        <v>1.0553340434654079</v>
      </c>
      <c r="G4225" s="90">
        <v>4209</v>
      </c>
      <c r="H4225" s="100">
        <v>-3.9205893906113981E-2</v>
      </c>
      <c r="I4225" s="100">
        <v>-3.2633361232260925E-2</v>
      </c>
    </row>
    <row r="4226" spans="1:9">
      <c r="A4226" s="90">
        <v>4210</v>
      </c>
      <c r="B4226" s="110">
        <v>1.1241363262009583</v>
      </c>
      <c r="C4226" s="110">
        <v>1.0498761450737357</v>
      </c>
      <c r="G4226" s="90">
        <v>4210</v>
      </c>
      <c r="H4226" s="100">
        <v>-6.8342830633207688E-2</v>
      </c>
      <c r="I4226" s="100">
        <v>-3.2615847178107442E-2</v>
      </c>
    </row>
    <row r="4227" spans="1:9">
      <c r="A4227" s="90">
        <v>4211</v>
      </c>
      <c r="B4227" s="110">
        <v>1.103166086412168</v>
      </c>
      <c r="C4227" s="110">
        <v>1.067038418021991</v>
      </c>
      <c r="G4227" s="90">
        <v>4211</v>
      </c>
      <c r="H4227" s="100">
        <v>-3.3297328603434449E-2</v>
      </c>
      <c r="I4227" s="100">
        <v>-3.2604813329505287E-2</v>
      </c>
    </row>
    <row r="4228" spans="1:9">
      <c r="A4228" s="90">
        <v>4212</v>
      </c>
      <c r="B4228" s="110">
        <v>1.1128134043809315</v>
      </c>
      <c r="C4228" s="110">
        <v>1.0393325924449395</v>
      </c>
      <c r="G4228" s="90">
        <v>4212</v>
      </c>
      <c r="H4228" s="100">
        <v>-6.8312638070443701E-2</v>
      </c>
      <c r="I4228" s="100">
        <v>-3.2593375521738549E-2</v>
      </c>
    </row>
    <row r="4229" spans="1:9">
      <c r="A4229" s="90">
        <v>4213</v>
      </c>
      <c r="B4229" s="110">
        <v>1.0942486243491842</v>
      </c>
      <c r="C4229" s="110">
        <v>1.0499474921704999</v>
      </c>
      <c r="G4229" s="90">
        <v>4213</v>
      </c>
      <c r="H4229" s="100">
        <v>-4.1327784462541234E-2</v>
      </c>
      <c r="I4229" s="100">
        <v>-3.2587196645812971E-2</v>
      </c>
    </row>
    <row r="4230" spans="1:9">
      <c r="A4230" s="90">
        <v>4214</v>
      </c>
      <c r="B4230" s="110">
        <v>1.0941736307763805</v>
      </c>
      <c r="C4230" s="110">
        <v>1.052975927648141</v>
      </c>
      <c r="G4230" s="90">
        <v>4214</v>
      </c>
      <c r="H4230" s="100">
        <v>-3.8379031110284206E-2</v>
      </c>
      <c r="I4230" s="100">
        <v>-3.2579824118590894E-2</v>
      </c>
    </row>
    <row r="4231" spans="1:9">
      <c r="A4231" s="90">
        <v>4215</v>
      </c>
      <c r="B4231" s="110">
        <v>1.0883322367352783</v>
      </c>
      <c r="C4231" s="110">
        <v>1.011122442640441</v>
      </c>
      <c r="G4231" s="90">
        <v>4215</v>
      </c>
      <c r="H4231" s="100">
        <v>-7.3585423335035552E-2</v>
      </c>
      <c r="I4231" s="100">
        <v>-3.2566711765066675E-2</v>
      </c>
    </row>
    <row r="4232" spans="1:9">
      <c r="A4232" s="90">
        <v>4216</v>
      </c>
      <c r="B4232" s="110">
        <v>1.1192650131799839</v>
      </c>
      <c r="C4232" s="110">
        <v>1.0352501607691966</v>
      </c>
      <c r="G4232" s="90">
        <v>4216</v>
      </c>
      <c r="H4232" s="100">
        <v>-7.8029132917714461E-2</v>
      </c>
      <c r="I4232" s="100">
        <v>-3.2549698935421402E-2</v>
      </c>
    </row>
    <row r="4233" spans="1:9">
      <c r="A4233" s="90">
        <v>4217</v>
      </c>
      <c r="B4233" s="110">
        <v>1.1050178222015987</v>
      </c>
      <c r="C4233" s="110">
        <v>1.050434300506933</v>
      </c>
      <c r="G4233" s="90">
        <v>4217</v>
      </c>
      <c r="H4233" s="100">
        <v>-5.0657765346013309E-2</v>
      </c>
      <c r="I4233" s="100">
        <v>-3.2539207297200508E-2</v>
      </c>
    </row>
    <row r="4234" spans="1:9">
      <c r="A4234" s="90">
        <v>4218</v>
      </c>
      <c r="B4234" s="110">
        <v>1.0774371607986499</v>
      </c>
      <c r="C4234" s="110">
        <v>1.05320039780636</v>
      </c>
      <c r="G4234" s="90">
        <v>4218</v>
      </c>
      <c r="H4234" s="100">
        <v>-2.2751695498689006E-2</v>
      </c>
      <c r="I4234" s="100">
        <v>-3.2520978240345E-2</v>
      </c>
    </row>
    <row r="4235" spans="1:9">
      <c r="A4235" s="90">
        <v>4219</v>
      </c>
      <c r="B4235" s="110">
        <v>1.0864282131017762</v>
      </c>
      <c r="C4235" s="110">
        <v>1.0510149019275263</v>
      </c>
      <c r="G4235" s="90">
        <v>4219</v>
      </c>
      <c r="H4235" s="100">
        <v>-3.3139176232439567E-2</v>
      </c>
      <c r="I4235" s="100">
        <v>-3.2519713051892524E-2</v>
      </c>
    </row>
    <row r="4236" spans="1:9">
      <c r="A4236" s="90">
        <v>4220</v>
      </c>
      <c r="B4236" s="110">
        <v>1.137601210878374</v>
      </c>
      <c r="C4236" s="110">
        <v>1.0717544937275072</v>
      </c>
      <c r="G4236" s="90">
        <v>4220</v>
      </c>
      <c r="H4236" s="100">
        <v>-5.9624825106192242E-2</v>
      </c>
      <c r="I4236" s="100">
        <v>-3.2514183697677286E-2</v>
      </c>
    </row>
    <row r="4237" spans="1:9">
      <c r="A4237" s="90">
        <v>4221</v>
      </c>
      <c r="B4237" s="110">
        <v>1.098067740141796</v>
      </c>
      <c r="C4237" s="110">
        <v>1.0475037738763302</v>
      </c>
      <c r="G4237" s="90">
        <v>4221</v>
      </c>
      <c r="H4237" s="100">
        <v>-4.7142059748980447E-2</v>
      </c>
      <c r="I4237" s="100">
        <v>-3.2493500818730481E-2</v>
      </c>
    </row>
    <row r="4238" spans="1:9">
      <c r="A4238" s="90">
        <v>4222</v>
      </c>
      <c r="B4238" s="110">
        <v>1.1242312451648202</v>
      </c>
      <c r="C4238" s="110">
        <v>1.0470494661731866</v>
      </c>
      <c r="G4238" s="90">
        <v>4222</v>
      </c>
      <c r="H4238" s="100">
        <v>-7.1123288042536453E-2</v>
      </c>
      <c r="I4238" s="100">
        <v>-3.249008705003243E-2</v>
      </c>
    </row>
    <row r="4239" spans="1:9">
      <c r="A4239" s="90">
        <v>4223</v>
      </c>
      <c r="B4239" s="110">
        <v>1.0956756716237943</v>
      </c>
      <c r="C4239" s="110">
        <v>1.0549413160983461</v>
      </c>
      <c r="G4239" s="90">
        <v>4223</v>
      </c>
      <c r="H4239" s="100">
        <v>-3.7886083851966831E-2</v>
      </c>
      <c r="I4239" s="100">
        <v>-3.2486515006801303E-2</v>
      </c>
    </row>
    <row r="4240" spans="1:9">
      <c r="A4240" s="90">
        <v>4224</v>
      </c>
      <c r="B4240" s="110">
        <v>1.1063935682980321</v>
      </c>
      <c r="C4240" s="110">
        <v>1.0367003556557521</v>
      </c>
      <c r="G4240" s="90">
        <v>4224</v>
      </c>
      <c r="H4240" s="100">
        <v>-6.5062753759734276E-2</v>
      </c>
      <c r="I4240" s="100">
        <v>-3.2447595920310407E-2</v>
      </c>
    </row>
    <row r="4241" spans="1:9">
      <c r="A4241" s="90">
        <v>4225</v>
      </c>
      <c r="B4241" s="110">
        <v>1.1215217917526117</v>
      </c>
      <c r="C4241" s="110">
        <v>1.056548267373522</v>
      </c>
      <c r="G4241" s="90">
        <v>4225</v>
      </c>
      <c r="H4241" s="100">
        <v>-5.9679262549005033E-2</v>
      </c>
      <c r="I4241" s="100">
        <v>-3.2439281668807093E-2</v>
      </c>
    </row>
    <row r="4242" spans="1:9">
      <c r="A4242" s="90">
        <v>4226</v>
      </c>
      <c r="B4242" s="110">
        <v>1.1013127464701922</v>
      </c>
      <c r="C4242" s="110">
        <v>1.051209018512971</v>
      </c>
      <c r="G4242" s="90">
        <v>4226</v>
      </c>
      <c r="H4242" s="100">
        <v>-4.6561926177051315E-2</v>
      </c>
      <c r="I4242" s="100">
        <v>-3.2432080407699335E-2</v>
      </c>
    </row>
    <row r="4243" spans="1:9">
      <c r="A4243" s="90">
        <v>4227</v>
      </c>
      <c r="B4243" s="110">
        <v>1.1164371958233459</v>
      </c>
      <c r="C4243" s="110">
        <v>1.0757189793559978</v>
      </c>
      <c r="G4243" s="90">
        <v>4227</v>
      </c>
      <c r="H4243" s="100">
        <v>-3.7153283747893742E-2</v>
      </c>
      <c r="I4243" s="100">
        <v>-3.2418623202044576E-2</v>
      </c>
    </row>
    <row r="4244" spans="1:9">
      <c r="A4244" s="90">
        <v>4228</v>
      </c>
      <c r="B4244" s="110">
        <v>1.1156706688359304</v>
      </c>
      <c r="C4244" s="110">
        <v>1.0847091027695845</v>
      </c>
      <c r="G4244" s="90">
        <v>4228</v>
      </c>
      <c r="H4244" s="100">
        <v>-2.8143877800710645E-2</v>
      </c>
      <c r="I4244" s="100">
        <v>-3.2398968382800084E-2</v>
      </c>
    </row>
    <row r="4245" spans="1:9">
      <c r="A4245" s="90">
        <v>4229</v>
      </c>
      <c r="B4245" s="110">
        <v>1.1296723052773885</v>
      </c>
      <c r="C4245" s="110">
        <v>1.0582425286696837</v>
      </c>
      <c r="G4245" s="90">
        <v>4229</v>
      </c>
      <c r="H4245" s="100">
        <v>-6.5318055024374433E-2</v>
      </c>
      <c r="I4245" s="100">
        <v>-3.2393992033328059E-2</v>
      </c>
    </row>
    <row r="4246" spans="1:9">
      <c r="A4246" s="90">
        <v>4230</v>
      </c>
      <c r="B4246" s="110">
        <v>1.1125916388075916</v>
      </c>
      <c r="C4246" s="110">
        <v>1.0707484035255046</v>
      </c>
      <c r="G4246" s="90">
        <v>4230</v>
      </c>
      <c r="H4246" s="100">
        <v>-3.8334257102677058E-2</v>
      </c>
      <c r="I4246" s="100">
        <v>-3.2388091216167779E-2</v>
      </c>
    </row>
    <row r="4247" spans="1:9">
      <c r="A4247" s="90">
        <v>4231</v>
      </c>
      <c r="B4247" s="110">
        <v>1.1041414387667019</v>
      </c>
      <c r="C4247" s="110">
        <v>1.0692873564518923</v>
      </c>
      <c r="G4247" s="90">
        <v>4231</v>
      </c>
      <c r="H4247" s="100">
        <v>-3.2075649898759613E-2</v>
      </c>
      <c r="I4247" s="100">
        <v>-3.2364784032025383E-2</v>
      </c>
    </row>
    <row r="4248" spans="1:9">
      <c r="A4248" s="90">
        <v>4232</v>
      </c>
      <c r="B4248" s="110">
        <v>1.1201973801641631</v>
      </c>
      <c r="C4248" s="110">
        <v>1.0413713890458238</v>
      </c>
      <c r="G4248" s="90">
        <v>4232</v>
      </c>
      <c r="H4248" s="100">
        <v>-7.2966414249329772E-2</v>
      </c>
      <c r="I4248" s="100">
        <v>-3.2323125193720194E-2</v>
      </c>
    </row>
    <row r="4249" spans="1:9">
      <c r="A4249" s="90">
        <v>4233</v>
      </c>
      <c r="B4249" s="110">
        <v>1.0981016931837961</v>
      </c>
      <c r="C4249" s="110">
        <v>1.0491238394049025</v>
      </c>
      <c r="G4249" s="90">
        <v>4233</v>
      </c>
      <c r="H4249" s="100">
        <v>-4.5627578371953935E-2</v>
      </c>
      <c r="I4249" s="100">
        <v>-3.230246212380105E-2</v>
      </c>
    </row>
    <row r="4250" spans="1:9">
      <c r="A4250" s="90">
        <v>4234</v>
      </c>
      <c r="B4250" s="110">
        <v>1.1259912403999459</v>
      </c>
      <c r="C4250" s="110">
        <v>1.0518723258083162</v>
      </c>
      <c r="G4250" s="90">
        <v>4234</v>
      </c>
      <c r="H4250" s="100">
        <v>-6.8092006640781313E-2</v>
      </c>
      <c r="I4250" s="100">
        <v>-3.228110306324674E-2</v>
      </c>
    </row>
    <row r="4251" spans="1:9">
      <c r="A4251" s="90">
        <v>4235</v>
      </c>
      <c r="B4251" s="110">
        <v>1.1306072813058143</v>
      </c>
      <c r="C4251" s="110">
        <v>1.0766015622951064</v>
      </c>
      <c r="G4251" s="90">
        <v>4235</v>
      </c>
      <c r="H4251" s="100">
        <v>-4.8945527170589594E-2</v>
      </c>
      <c r="I4251" s="100">
        <v>-3.227315210000619E-2</v>
      </c>
    </row>
    <row r="4252" spans="1:9">
      <c r="A4252" s="90">
        <v>4236</v>
      </c>
      <c r="B4252" s="110">
        <v>1.112164935113491</v>
      </c>
      <c r="C4252" s="110">
        <v>1.0441055864731048</v>
      </c>
      <c r="G4252" s="90">
        <v>4236</v>
      </c>
      <c r="H4252" s="100">
        <v>-6.3147886958426949E-2</v>
      </c>
      <c r="I4252" s="100">
        <v>-3.2265041781776152E-2</v>
      </c>
    </row>
    <row r="4253" spans="1:9">
      <c r="A4253" s="90">
        <v>4237</v>
      </c>
      <c r="B4253" s="110">
        <v>1.1196000642684245</v>
      </c>
      <c r="C4253" s="110">
        <v>1.0530920417507599</v>
      </c>
      <c r="G4253" s="90">
        <v>4237</v>
      </c>
      <c r="H4253" s="100">
        <v>-6.1240897660247116E-2</v>
      </c>
      <c r="I4253" s="100">
        <v>-3.2254786292375277E-2</v>
      </c>
    </row>
    <row r="4254" spans="1:9">
      <c r="A4254" s="90">
        <v>4238</v>
      </c>
      <c r="B4254" s="110">
        <v>1.1159885697977048</v>
      </c>
      <c r="C4254" s="110">
        <v>1.0348751514087744</v>
      </c>
      <c r="G4254" s="90">
        <v>4238</v>
      </c>
      <c r="H4254" s="100">
        <v>-7.5459829006753423E-2</v>
      </c>
      <c r="I4254" s="100">
        <v>-3.2219823183850894E-2</v>
      </c>
    </row>
    <row r="4255" spans="1:9">
      <c r="A4255" s="90">
        <v>4239</v>
      </c>
      <c r="B4255" s="110">
        <v>1.1149220192194726</v>
      </c>
      <c r="C4255" s="110">
        <v>1.081166576649552</v>
      </c>
      <c r="G4255" s="90">
        <v>4239</v>
      </c>
      <c r="H4255" s="100">
        <v>-3.0743842802936117E-2</v>
      </c>
      <c r="I4255" s="100">
        <v>-3.2212550425658598E-2</v>
      </c>
    </row>
    <row r="4256" spans="1:9">
      <c r="A4256" s="90">
        <v>4240</v>
      </c>
      <c r="B4256" s="110">
        <v>1.1320765152628693</v>
      </c>
      <c r="C4256" s="110">
        <v>1.0410339171353358</v>
      </c>
      <c r="G4256" s="90">
        <v>4240</v>
      </c>
      <c r="H4256" s="100">
        <v>-8.3839200081060244E-2</v>
      </c>
      <c r="I4256" s="100">
        <v>-3.221015954004524E-2</v>
      </c>
    </row>
    <row r="4257" spans="1:9">
      <c r="A4257" s="90">
        <v>4241</v>
      </c>
      <c r="B4257" s="110">
        <v>1.1053536632078407</v>
      </c>
      <c r="C4257" s="110">
        <v>1.0573094121161841</v>
      </c>
      <c r="G4257" s="90">
        <v>4241</v>
      </c>
      <c r="H4257" s="100">
        <v>-4.4437950217408255E-2</v>
      </c>
      <c r="I4257" s="100">
        <v>-3.2208107152009779E-2</v>
      </c>
    </row>
    <row r="4258" spans="1:9">
      <c r="A4258" s="90">
        <v>4242</v>
      </c>
      <c r="B4258" s="110">
        <v>1.1349008211483342</v>
      </c>
      <c r="C4258" s="110">
        <v>1.0482538694438093</v>
      </c>
      <c r="G4258" s="90">
        <v>4242</v>
      </c>
      <c r="H4258" s="100">
        <v>-7.9419466468420935E-2</v>
      </c>
      <c r="I4258" s="100">
        <v>-3.2204309012755866E-2</v>
      </c>
    </row>
    <row r="4259" spans="1:9">
      <c r="A4259" s="90">
        <v>4243</v>
      </c>
      <c r="B4259" s="110">
        <v>1.1012183660544139</v>
      </c>
      <c r="C4259" s="110">
        <v>1.0582650430639722</v>
      </c>
      <c r="G4259" s="90">
        <v>4243</v>
      </c>
      <c r="H4259" s="100">
        <v>-3.9786357010046937E-2</v>
      </c>
      <c r="I4259" s="100">
        <v>-3.2174466896792951E-2</v>
      </c>
    </row>
    <row r="4260" spans="1:9">
      <c r="A4260" s="90">
        <v>4244</v>
      </c>
      <c r="B4260" s="110">
        <v>1.1399233768317456</v>
      </c>
      <c r="C4260" s="110">
        <v>1.0643951174776654</v>
      </c>
      <c r="G4260" s="90">
        <v>4244</v>
      </c>
      <c r="H4260" s="100">
        <v>-6.8554373843428537E-2</v>
      </c>
      <c r="I4260" s="100">
        <v>-3.2113062279961732E-2</v>
      </c>
    </row>
    <row r="4261" spans="1:9">
      <c r="A4261" s="90">
        <v>4245</v>
      </c>
      <c r="B4261" s="110">
        <v>1.1533998468862905</v>
      </c>
      <c r="C4261" s="110">
        <v>1.0654957318348353</v>
      </c>
      <c r="G4261" s="90">
        <v>4245</v>
      </c>
      <c r="H4261" s="100">
        <v>-7.9273802686947115E-2</v>
      </c>
      <c r="I4261" s="100">
        <v>-3.2083691447961443E-2</v>
      </c>
    </row>
    <row r="4262" spans="1:9">
      <c r="A4262" s="90">
        <v>4246</v>
      </c>
      <c r="B4262" s="110">
        <v>1.098237724973582</v>
      </c>
      <c r="C4262" s="110">
        <v>1.0746131449332172</v>
      </c>
      <c r="G4262" s="90">
        <v>4246</v>
      </c>
      <c r="H4262" s="100">
        <v>-2.1746095280726945E-2</v>
      </c>
      <c r="I4262" s="100">
        <v>-3.2077996609585012E-2</v>
      </c>
    </row>
    <row r="4263" spans="1:9">
      <c r="A4263" s="90">
        <v>4247</v>
      </c>
      <c r="B4263" s="110">
        <v>1.0970160696559648</v>
      </c>
      <c r="C4263" s="110">
        <v>1.0819199056007696</v>
      </c>
      <c r="G4263" s="90">
        <v>4247</v>
      </c>
      <c r="H4263" s="100">
        <v>-1.3856676629231721E-2</v>
      </c>
      <c r="I4263" s="100">
        <v>-3.2075649898759613E-2</v>
      </c>
    </row>
    <row r="4264" spans="1:9">
      <c r="A4264" s="90">
        <v>4248</v>
      </c>
      <c r="B4264" s="110">
        <v>1.0975612978986282</v>
      </c>
      <c r="C4264" s="110">
        <v>1.0741762218479249</v>
      </c>
      <c r="G4264" s="90">
        <v>4248</v>
      </c>
      <c r="H4264" s="100">
        <v>-2.1536654147017189E-2</v>
      </c>
      <c r="I4264" s="100">
        <v>-3.2073263579683882E-2</v>
      </c>
    </row>
    <row r="4265" spans="1:9">
      <c r="A4265" s="90">
        <v>4249</v>
      </c>
      <c r="B4265" s="110">
        <v>1.0688012400506164</v>
      </c>
      <c r="C4265" s="110">
        <v>1.054768509941032</v>
      </c>
      <c r="G4265" s="90">
        <v>4249</v>
      </c>
      <c r="H4265" s="100">
        <v>-1.321636303187957E-2</v>
      </c>
      <c r="I4265" s="100">
        <v>-3.2062517921037419E-2</v>
      </c>
    </row>
    <row r="4266" spans="1:9">
      <c r="A4266" s="90">
        <v>4250</v>
      </c>
      <c r="B4266" s="110">
        <v>1.1195750962707092</v>
      </c>
      <c r="C4266" s="110">
        <v>1.0713379578862852</v>
      </c>
      <c r="G4266" s="90">
        <v>4250</v>
      </c>
      <c r="H4266" s="100">
        <v>-4.4040939724097491E-2</v>
      </c>
      <c r="I4266" s="100">
        <v>-3.1989466236927222E-2</v>
      </c>
    </row>
    <row r="4267" spans="1:9">
      <c r="A4267" s="90">
        <v>4251</v>
      </c>
      <c r="B4267" s="110">
        <v>1.0842827265814294</v>
      </c>
      <c r="C4267" s="110">
        <v>1.0417506445394946</v>
      </c>
      <c r="G4267" s="90">
        <v>4251</v>
      </c>
      <c r="H4267" s="100">
        <v>-4.0016076861279254E-2</v>
      </c>
      <c r="I4267" s="100">
        <v>-3.196605412584394E-2</v>
      </c>
    </row>
    <row r="4268" spans="1:9">
      <c r="A4268" s="90">
        <v>4252</v>
      </c>
      <c r="B4268" s="110">
        <v>1.1250128239695989</v>
      </c>
      <c r="C4268" s="110">
        <v>1.0411499837257412</v>
      </c>
      <c r="G4268" s="90">
        <v>4252</v>
      </c>
      <c r="H4268" s="100">
        <v>-7.7468578834978499E-2</v>
      </c>
      <c r="I4268" s="100">
        <v>-3.1944402206379438E-2</v>
      </c>
    </row>
    <row r="4269" spans="1:9">
      <c r="A4269" s="90">
        <v>4253</v>
      </c>
      <c r="B4269" s="110">
        <v>1.1230100902894828</v>
      </c>
      <c r="C4269" s="110">
        <v>1.0613384150936367</v>
      </c>
      <c r="G4269" s="90">
        <v>4253</v>
      </c>
      <c r="H4269" s="100">
        <v>-5.6481893442391302E-2</v>
      </c>
      <c r="I4269" s="100">
        <v>-3.1931484859754597E-2</v>
      </c>
    </row>
    <row r="4270" spans="1:9">
      <c r="A4270" s="90">
        <v>4254</v>
      </c>
      <c r="B4270" s="110">
        <v>1.1234600387018105</v>
      </c>
      <c r="C4270" s="110">
        <v>1.0675765472531926</v>
      </c>
      <c r="G4270" s="90">
        <v>4254</v>
      </c>
      <c r="H4270" s="100">
        <v>-5.1022072853383775E-2</v>
      </c>
      <c r="I4270" s="100">
        <v>-3.1912511507003818E-2</v>
      </c>
    </row>
    <row r="4271" spans="1:9">
      <c r="A4271" s="90">
        <v>4255</v>
      </c>
      <c r="B4271" s="110">
        <v>1.1185096212346912</v>
      </c>
      <c r="C4271" s="110">
        <v>1.0585586286817634</v>
      </c>
      <c r="G4271" s="90">
        <v>4255</v>
      </c>
      <c r="H4271" s="100">
        <v>-5.5088905303655185E-2</v>
      </c>
      <c r="I4271" s="100">
        <v>-3.1909630300408338E-2</v>
      </c>
    </row>
    <row r="4272" spans="1:9">
      <c r="A4272" s="90">
        <v>4256</v>
      </c>
      <c r="B4272" s="110">
        <v>1.1365492534241166</v>
      </c>
      <c r="C4272" s="110">
        <v>1.0455316866572162</v>
      </c>
      <c r="G4272" s="90">
        <v>4256</v>
      </c>
      <c r="H4272" s="100">
        <v>-8.3471154098063285E-2</v>
      </c>
      <c r="I4272" s="100">
        <v>-3.1867927927864428E-2</v>
      </c>
    </row>
    <row r="4273" spans="1:9">
      <c r="A4273" s="90">
        <v>4257</v>
      </c>
      <c r="B4273" s="110">
        <v>1.0942137901321372</v>
      </c>
      <c r="C4273" s="110">
        <v>1.0562303376199689</v>
      </c>
      <c r="G4273" s="90">
        <v>4257</v>
      </c>
      <c r="H4273" s="100">
        <v>-3.532982125883067E-2</v>
      </c>
      <c r="I4273" s="100">
        <v>-3.1862725186682039E-2</v>
      </c>
    </row>
    <row r="4274" spans="1:9">
      <c r="A4274" s="90">
        <v>4258</v>
      </c>
      <c r="B4274" s="110">
        <v>1.0988662208367537</v>
      </c>
      <c r="C4274" s="110">
        <v>1.058646837563733</v>
      </c>
      <c r="G4274" s="90">
        <v>4258</v>
      </c>
      <c r="H4274" s="100">
        <v>-3.7287415648584607E-2</v>
      </c>
      <c r="I4274" s="100">
        <v>-3.1860499301322981E-2</v>
      </c>
    </row>
    <row r="4275" spans="1:9">
      <c r="A4275" s="90">
        <v>4259</v>
      </c>
      <c r="B4275" s="110">
        <v>1.1077856410560027</v>
      </c>
      <c r="C4275" s="110">
        <v>1.0480133497058122</v>
      </c>
      <c r="G4275" s="90">
        <v>4259</v>
      </c>
      <c r="H4275" s="100">
        <v>-5.5466780770848892E-2</v>
      </c>
      <c r="I4275" s="100">
        <v>-3.1845259706077066E-2</v>
      </c>
    </row>
    <row r="4276" spans="1:9">
      <c r="A4276" s="90">
        <v>4260</v>
      </c>
      <c r="B4276" s="110">
        <v>1.1143705079060142</v>
      </c>
      <c r="C4276" s="110">
        <v>1.0805974752573144</v>
      </c>
      <c r="G4276" s="90">
        <v>4260</v>
      </c>
      <c r="H4276" s="100">
        <v>-3.0775572585341041E-2</v>
      </c>
      <c r="I4276" s="100">
        <v>-3.1843928409034626E-2</v>
      </c>
    </row>
    <row r="4277" spans="1:9">
      <c r="A4277" s="90">
        <v>4261</v>
      </c>
      <c r="B4277" s="110">
        <v>1.0821825986325357</v>
      </c>
      <c r="C4277" s="110">
        <v>1.0789407432360758</v>
      </c>
      <c r="G4277" s="90">
        <v>4261</v>
      </c>
      <c r="H4277" s="100">
        <v>-3.000159930998982E-3</v>
      </c>
      <c r="I4277" s="100">
        <v>-3.1818206910357465E-2</v>
      </c>
    </row>
    <row r="4278" spans="1:9">
      <c r="A4278" s="90">
        <v>4262</v>
      </c>
      <c r="B4278" s="110">
        <v>1.1320857338552539</v>
      </c>
      <c r="C4278" s="110">
        <v>1.052764945305696</v>
      </c>
      <c r="G4278" s="90">
        <v>4262</v>
      </c>
      <c r="H4278" s="100">
        <v>-7.2641729131924321E-2</v>
      </c>
      <c r="I4278" s="100">
        <v>-3.1817951403147152E-2</v>
      </c>
    </row>
    <row r="4279" spans="1:9">
      <c r="A4279" s="90">
        <v>4263</v>
      </c>
      <c r="B4279" s="110">
        <v>1.1413773683398247</v>
      </c>
      <c r="C4279" s="110">
        <v>1.0378898716868952</v>
      </c>
      <c r="G4279" s="90">
        <v>4263</v>
      </c>
      <c r="H4279" s="100">
        <v>-9.5046068466267342E-2</v>
      </c>
      <c r="I4279" s="100">
        <v>-3.1806147236632241E-2</v>
      </c>
    </row>
    <row r="4280" spans="1:9">
      <c r="A4280" s="90">
        <v>4264</v>
      </c>
      <c r="B4280" s="110">
        <v>1.1187879049144347</v>
      </c>
      <c r="C4280" s="110">
        <v>1.0475401257639207</v>
      </c>
      <c r="G4280" s="90">
        <v>4264</v>
      </c>
      <c r="H4280" s="100">
        <v>-6.5801193221694892E-2</v>
      </c>
      <c r="I4280" s="100">
        <v>-3.1791262736314004E-2</v>
      </c>
    </row>
    <row r="4281" spans="1:9">
      <c r="A4281" s="90">
        <v>4265</v>
      </c>
      <c r="B4281" s="110">
        <v>1.0983931982709956</v>
      </c>
      <c r="C4281" s="110">
        <v>1.0759960935781869</v>
      </c>
      <c r="G4281" s="90">
        <v>4265</v>
      </c>
      <c r="H4281" s="100">
        <v>-2.0601551825865528E-2</v>
      </c>
      <c r="I4281" s="100">
        <v>-3.1776890699037788E-2</v>
      </c>
    </row>
    <row r="4282" spans="1:9">
      <c r="A4282" s="90">
        <v>4266</v>
      </c>
      <c r="B4282" s="110">
        <v>1.1052914730610957</v>
      </c>
      <c r="C4282" s="110">
        <v>1.0676528538214363</v>
      </c>
      <c r="G4282" s="90">
        <v>4266</v>
      </c>
      <c r="H4282" s="100">
        <v>-3.4646432251039173E-2</v>
      </c>
      <c r="I4282" s="100">
        <v>-3.1758260603890594E-2</v>
      </c>
    </row>
    <row r="4283" spans="1:9">
      <c r="A4283" s="90">
        <v>4267</v>
      </c>
      <c r="B4283" s="110">
        <v>1.114354155945642</v>
      </c>
      <c r="C4283" s="110">
        <v>1.0886029656322598</v>
      </c>
      <c r="G4283" s="90">
        <v>4267</v>
      </c>
      <c r="H4283" s="100">
        <v>-2.3379813479632264E-2</v>
      </c>
      <c r="I4283" s="100">
        <v>-3.1740528753713845E-2</v>
      </c>
    </row>
    <row r="4284" spans="1:9">
      <c r="A4284" s="90">
        <v>4268</v>
      </c>
      <c r="B4284" s="110">
        <v>1.1056949410374857</v>
      </c>
      <c r="C4284" s="110">
        <v>1.0681931862149228</v>
      </c>
      <c r="G4284" s="90">
        <v>4268</v>
      </c>
      <c r="H4284" s="100">
        <v>-3.4505433058405789E-2</v>
      </c>
      <c r="I4284" s="100">
        <v>-3.1683963188098491E-2</v>
      </c>
    </row>
    <row r="4285" spans="1:9">
      <c r="A4285" s="90">
        <v>4269</v>
      </c>
      <c r="B4285" s="110">
        <v>1.1444041283082573</v>
      </c>
      <c r="C4285" s="110">
        <v>1.0533809944969603</v>
      </c>
      <c r="G4285" s="90">
        <v>4269</v>
      </c>
      <c r="H4285" s="100">
        <v>-8.2879103739840948E-2</v>
      </c>
      <c r="I4285" s="100">
        <v>-3.1680467799543428E-2</v>
      </c>
    </row>
    <row r="4286" spans="1:9">
      <c r="A4286" s="90">
        <v>4270</v>
      </c>
      <c r="B4286" s="110">
        <v>1.1089204039602651</v>
      </c>
      <c r="C4286" s="110">
        <v>1.0387254132901296</v>
      </c>
      <c r="G4286" s="90">
        <v>4270</v>
      </c>
      <c r="H4286" s="100">
        <v>-6.5392535597077209E-2</v>
      </c>
      <c r="I4286" s="100">
        <v>-3.165915676084468E-2</v>
      </c>
    </row>
    <row r="4287" spans="1:9">
      <c r="A4287" s="90">
        <v>4271</v>
      </c>
      <c r="B4287" s="110">
        <v>1.1174831824013571</v>
      </c>
      <c r="C4287" s="110">
        <v>1.0682282213642897</v>
      </c>
      <c r="G4287" s="90">
        <v>4271</v>
      </c>
      <c r="H4287" s="100">
        <v>-4.5077589961611805E-2</v>
      </c>
      <c r="I4287" s="100">
        <v>-3.161897964420831E-2</v>
      </c>
    </row>
    <row r="4288" spans="1:9">
      <c r="A4288" s="90">
        <v>4272</v>
      </c>
      <c r="B4288" s="110">
        <v>1.1116942293684706</v>
      </c>
      <c r="C4288" s="110">
        <v>1.0422976838774565</v>
      </c>
      <c r="G4288" s="90">
        <v>4272</v>
      </c>
      <c r="H4288" s="100">
        <v>-6.4457596792634769E-2</v>
      </c>
      <c r="I4288" s="100">
        <v>-3.1617604451432135E-2</v>
      </c>
    </row>
    <row r="4289" spans="1:9">
      <c r="A4289" s="90">
        <v>4273</v>
      </c>
      <c r="B4289" s="110">
        <v>1.0917378352063938</v>
      </c>
      <c r="C4289" s="110">
        <v>1.0347116089819715</v>
      </c>
      <c r="G4289" s="90">
        <v>4273</v>
      </c>
      <c r="H4289" s="100">
        <v>-5.3648021624033371E-2</v>
      </c>
      <c r="I4289" s="100">
        <v>-3.1586552857559631E-2</v>
      </c>
    </row>
    <row r="4290" spans="1:9">
      <c r="A4290" s="90">
        <v>4274</v>
      </c>
      <c r="B4290" s="110">
        <v>1.1114570270749038</v>
      </c>
      <c r="C4290" s="110">
        <v>1.0581552332736133</v>
      </c>
      <c r="G4290" s="90">
        <v>4274</v>
      </c>
      <c r="H4290" s="100">
        <v>-4.9144745579575135E-2</v>
      </c>
      <c r="I4290" s="100">
        <v>-3.1584265990750572E-2</v>
      </c>
    </row>
    <row r="4291" spans="1:9">
      <c r="A4291" s="90">
        <v>4275</v>
      </c>
      <c r="B4291" s="110">
        <v>1.1117564244965126</v>
      </c>
      <c r="C4291" s="110">
        <v>1.0464783224890948</v>
      </c>
      <c r="G4291" s="90">
        <v>4275</v>
      </c>
      <c r="H4291" s="100">
        <v>-6.0510580722828583E-2</v>
      </c>
      <c r="I4291" s="100">
        <v>-3.1575850103823744E-2</v>
      </c>
    </row>
    <row r="4292" spans="1:9">
      <c r="A4292" s="90">
        <v>4276</v>
      </c>
      <c r="B4292" s="110">
        <v>1.132833946006629</v>
      </c>
      <c r="C4292" s="110">
        <v>1.0504453717960021</v>
      </c>
      <c r="G4292" s="90">
        <v>4276</v>
      </c>
      <c r="H4292" s="100">
        <v>-7.5508172116271505E-2</v>
      </c>
      <c r="I4292" s="100">
        <v>-3.1538255912332711E-2</v>
      </c>
    </row>
    <row r="4293" spans="1:9">
      <c r="A4293" s="90">
        <v>4277</v>
      </c>
      <c r="B4293" s="110">
        <v>1.134126972757564</v>
      </c>
      <c r="C4293" s="110">
        <v>1.037201767096678</v>
      </c>
      <c r="G4293" s="90">
        <v>4277</v>
      </c>
      <c r="H4293" s="100">
        <v>-8.9336689560246457E-2</v>
      </c>
      <c r="I4293" s="100">
        <v>-3.1535450069520569E-2</v>
      </c>
    </row>
    <row r="4294" spans="1:9">
      <c r="A4294" s="90">
        <v>4278</v>
      </c>
      <c r="B4294" s="110">
        <v>1.110690224244691</v>
      </c>
      <c r="C4294" s="110">
        <v>1.0538661707494608</v>
      </c>
      <c r="G4294" s="90">
        <v>4278</v>
      </c>
      <c r="H4294" s="100">
        <v>-5.2516176381914761E-2</v>
      </c>
      <c r="I4294" s="100">
        <v>-3.1535309799355114E-2</v>
      </c>
    </row>
    <row r="4295" spans="1:9">
      <c r="A4295" s="90">
        <v>4279</v>
      </c>
      <c r="B4295" s="110">
        <v>1.1002877507615554</v>
      </c>
      <c r="C4295" s="110">
        <v>1.0581362348880334</v>
      </c>
      <c r="G4295" s="90">
        <v>4279</v>
      </c>
      <c r="H4295" s="100">
        <v>-3.90626456153855E-2</v>
      </c>
      <c r="I4295" s="100">
        <v>-3.1514960625105254E-2</v>
      </c>
    </row>
    <row r="4296" spans="1:9">
      <c r="A4296" s="90">
        <v>4280</v>
      </c>
      <c r="B4296" s="110">
        <v>1.1201587570558089</v>
      </c>
      <c r="C4296" s="110">
        <v>1.0423358173153341</v>
      </c>
      <c r="G4296" s="90">
        <v>4280</v>
      </c>
      <c r="H4296" s="100">
        <v>-7.2006249730758531E-2</v>
      </c>
      <c r="I4296" s="100">
        <v>-3.1513670529006034E-2</v>
      </c>
    </row>
    <row r="4297" spans="1:9">
      <c r="A4297" s="90">
        <v>4281</v>
      </c>
      <c r="B4297" s="110">
        <v>1.1108079162534508</v>
      </c>
      <c r="C4297" s="110">
        <v>1.0413498855085901</v>
      </c>
      <c r="G4297" s="90">
        <v>4281</v>
      </c>
      <c r="H4297" s="100">
        <v>-6.4569764690968215E-2</v>
      </c>
      <c r="I4297" s="100">
        <v>-3.1512326753348342E-2</v>
      </c>
    </row>
    <row r="4298" spans="1:9">
      <c r="A4298" s="90">
        <v>4282</v>
      </c>
      <c r="B4298" s="110">
        <v>1.1353839199591851</v>
      </c>
      <c r="C4298" s="110">
        <v>1.0671405532452434</v>
      </c>
      <c r="G4298" s="90">
        <v>4282</v>
      </c>
      <c r="H4298" s="100">
        <v>-6.1988158061647584E-2</v>
      </c>
      <c r="I4298" s="100">
        <v>-3.1508381123168068E-2</v>
      </c>
    </row>
    <row r="4299" spans="1:9">
      <c r="A4299" s="90">
        <v>4283</v>
      </c>
      <c r="B4299" s="110">
        <v>1.1289644995273675</v>
      </c>
      <c r="C4299" s="110">
        <v>1.0399127498175949</v>
      </c>
      <c r="G4299" s="90">
        <v>4283</v>
      </c>
      <c r="H4299" s="100">
        <v>-8.2164025271191474E-2</v>
      </c>
      <c r="I4299" s="100">
        <v>-3.1497399180402133E-2</v>
      </c>
    </row>
    <row r="4300" spans="1:9">
      <c r="A4300" s="90">
        <v>4284</v>
      </c>
      <c r="B4300" s="110">
        <v>1.113907782152108</v>
      </c>
      <c r="C4300" s="110">
        <v>1.0299536215192151</v>
      </c>
      <c r="G4300" s="90">
        <v>4284</v>
      </c>
      <c r="H4300" s="100">
        <v>-7.8360583669111014E-2</v>
      </c>
      <c r="I4300" s="100">
        <v>-3.1493781752631268E-2</v>
      </c>
    </row>
    <row r="4301" spans="1:9">
      <c r="A4301" s="90">
        <v>4285</v>
      </c>
      <c r="B4301" s="110">
        <v>1.0990932470723289</v>
      </c>
      <c r="C4301" s="110">
        <v>1.0716607764938062</v>
      </c>
      <c r="G4301" s="90">
        <v>4285</v>
      </c>
      <c r="H4301" s="100">
        <v>-2.5275946288642843E-2</v>
      </c>
      <c r="I4301" s="100">
        <v>-3.1451856315745437E-2</v>
      </c>
    </row>
    <row r="4302" spans="1:9">
      <c r="A4302" s="90">
        <v>4286</v>
      </c>
      <c r="B4302" s="110">
        <v>1.1388117703742442</v>
      </c>
      <c r="C4302" s="110">
        <v>1.0802812354247204</v>
      </c>
      <c r="G4302" s="90">
        <v>4286</v>
      </c>
      <c r="H4302" s="100">
        <v>-5.2764001729632096E-2</v>
      </c>
      <c r="I4302" s="100">
        <v>-3.1430701307137557E-2</v>
      </c>
    </row>
    <row r="4303" spans="1:9">
      <c r="A4303" s="90">
        <v>4287</v>
      </c>
      <c r="B4303" s="110">
        <v>1.1152145866729375</v>
      </c>
      <c r="C4303" s="110">
        <v>1.0508344098264848</v>
      </c>
      <c r="G4303" s="90">
        <v>4287</v>
      </c>
      <c r="H4303" s="100">
        <v>-5.9462316203452013E-2</v>
      </c>
      <c r="I4303" s="100">
        <v>-3.1425401395188464E-2</v>
      </c>
    </row>
    <row r="4304" spans="1:9">
      <c r="A4304" s="90">
        <v>4288</v>
      </c>
      <c r="B4304" s="110">
        <v>1.1154636087820844</v>
      </c>
      <c r="C4304" s="110">
        <v>1.0607743332223962</v>
      </c>
      <c r="G4304" s="90">
        <v>4288</v>
      </c>
      <c r="H4304" s="100">
        <v>-5.0270966647456602E-2</v>
      </c>
      <c r="I4304" s="100">
        <v>-3.1423645957744772E-2</v>
      </c>
    </row>
    <row r="4305" spans="1:9">
      <c r="A4305" s="90">
        <v>4289</v>
      </c>
      <c r="B4305" s="110">
        <v>1.1275329555292375</v>
      </c>
      <c r="C4305" s="110">
        <v>1.0502129489074286</v>
      </c>
      <c r="G4305" s="90">
        <v>4289</v>
      </c>
      <c r="H4305" s="100">
        <v>-7.1039068728469795E-2</v>
      </c>
      <c r="I4305" s="100">
        <v>-3.1397660802388018E-2</v>
      </c>
    </row>
    <row r="4306" spans="1:9">
      <c r="A4306" s="90">
        <v>4290</v>
      </c>
      <c r="B4306" s="110">
        <v>1.0989169303294459</v>
      </c>
      <c r="C4306" s="110">
        <v>1.0591904727923867</v>
      </c>
      <c r="G4306" s="90">
        <v>4290</v>
      </c>
      <c r="H4306" s="100">
        <v>-3.6820174527287898E-2</v>
      </c>
      <c r="I4306" s="100">
        <v>-3.1385991517009784E-2</v>
      </c>
    </row>
    <row r="4307" spans="1:9">
      <c r="A4307" s="90">
        <v>4291</v>
      </c>
      <c r="B4307" s="110">
        <v>1.1057229898981558</v>
      </c>
      <c r="C4307" s="110">
        <v>1.0556845450818815</v>
      </c>
      <c r="G4307" s="90">
        <v>4291</v>
      </c>
      <c r="H4307" s="100">
        <v>-4.630999610797655E-2</v>
      </c>
      <c r="I4307" s="100">
        <v>-3.1379223208524959E-2</v>
      </c>
    </row>
    <row r="4308" spans="1:9">
      <c r="A4308" s="90">
        <v>4292</v>
      </c>
      <c r="B4308" s="110">
        <v>1.104017678523292</v>
      </c>
      <c r="C4308" s="110">
        <v>1.0174138433970137</v>
      </c>
      <c r="G4308" s="90">
        <v>4292</v>
      </c>
      <c r="H4308" s="100">
        <v>-8.1692000926439745E-2</v>
      </c>
      <c r="I4308" s="100">
        <v>-3.1350621942695903E-2</v>
      </c>
    </row>
    <row r="4309" spans="1:9">
      <c r="A4309" s="90">
        <v>4293</v>
      </c>
      <c r="B4309" s="110">
        <v>1.0996931496641822</v>
      </c>
      <c r="C4309" s="110">
        <v>1.0385261423851802</v>
      </c>
      <c r="G4309" s="90">
        <v>4293</v>
      </c>
      <c r="H4309" s="100">
        <v>-5.7228648804899286E-2</v>
      </c>
      <c r="I4309" s="100">
        <v>-3.1346622799264506E-2</v>
      </c>
    </row>
    <row r="4310" spans="1:9">
      <c r="A4310" s="90">
        <v>4294</v>
      </c>
      <c r="B4310" s="110">
        <v>1.0823038625175152</v>
      </c>
      <c r="C4310" s="110">
        <v>1.0486178833092639</v>
      </c>
      <c r="G4310" s="90">
        <v>4294</v>
      </c>
      <c r="H4310" s="100">
        <v>-3.161897964420831E-2</v>
      </c>
      <c r="I4310" s="100">
        <v>-3.1335384857719521E-2</v>
      </c>
    </row>
    <row r="4311" spans="1:9">
      <c r="A4311" s="90">
        <v>4295</v>
      </c>
      <c r="B4311" s="110">
        <v>1.1071408254474606</v>
      </c>
      <c r="C4311" s="110">
        <v>1.0446549164086731</v>
      </c>
      <c r="G4311" s="90">
        <v>4295</v>
      </c>
      <c r="H4311" s="100">
        <v>-5.8094251879938497E-2</v>
      </c>
      <c r="I4311" s="100">
        <v>-3.1304410281194392E-2</v>
      </c>
    </row>
    <row r="4312" spans="1:9">
      <c r="A4312" s="90">
        <v>4296</v>
      </c>
      <c r="B4312" s="110">
        <v>1.1116551536601018</v>
      </c>
      <c r="C4312" s="110">
        <v>1.0481657341328945</v>
      </c>
      <c r="G4312" s="90">
        <v>4296</v>
      </c>
      <c r="H4312" s="100">
        <v>-5.8808317466101059E-2</v>
      </c>
      <c r="I4312" s="100">
        <v>-3.1294281652126971E-2</v>
      </c>
    </row>
    <row r="4313" spans="1:9">
      <c r="A4313" s="90">
        <v>4297</v>
      </c>
      <c r="B4313" s="110">
        <v>1.1294124439826252</v>
      </c>
      <c r="C4313" s="110">
        <v>1.0447882103271007</v>
      </c>
      <c r="G4313" s="90">
        <v>4297</v>
      </c>
      <c r="H4313" s="100">
        <v>-7.7883341087205543E-2</v>
      </c>
      <c r="I4313" s="100">
        <v>-3.1260392934974797E-2</v>
      </c>
    </row>
    <row r="4314" spans="1:9">
      <c r="A4314" s="90">
        <v>4298</v>
      </c>
      <c r="B4314" s="110">
        <v>1.1135145071228827</v>
      </c>
      <c r="C4314" s="110">
        <v>1.0636095792255105</v>
      </c>
      <c r="G4314" s="90">
        <v>4298</v>
      </c>
      <c r="H4314" s="100">
        <v>-4.5852849266415696E-2</v>
      </c>
      <c r="I4314" s="100">
        <v>-3.1229755971983651E-2</v>
      </c>
    </row>
    <row r="4315" spans="1:9">
      <c r="A4315" s="90">
        <v>4299</v>
      </c>
      <c r="B4315" s="110">
        <v>1.129180747606396</v>
      </c>
      <c r="C4315" s="110">
        <v>1.0711601970797491</v>
      </c>
      <c r="G4315" s="90">
        <v>4299</v>
      </c>
      <c r="H4315" s="100">
        <v>-5.275001027953706E-2</v>
      </c>
      <c r="I4315" s="100">
        <v>-3.1217988713438907E-2</v>
      </c>
    </row>
    <row r="4316" spans="1:9">
      <c r="A4316" s="90">
        <v>4300</v>
      </c>
      <c r="B4316" s="110">
        <v>1.1197162464453485</v>
      </c>
      <c r="C4316" s="110">
        <v>1.061012551191489</v>
      </c>
      <c r="G4316" s="90">
        <v>4300</v>
      </c>
      <c r="H4316" s="100">
        <v>-5.3851612671459603E-2</v>
      </c>
      <c r="I4316" s="100">
        <v>-3.1197905083687839E-2</v>
      </c>
    </row>
    <row r="4317" spans="1:9">
      <c r="A4317" s="90">
        <v>4301</v>
      </c>
      <c r="B4317" s="110">
        <v>1.1065491868748809</v>
      </c>
      <c r="C4317" s="110">
        <v>1.0530181219639092</v>
      </c>
      <c r="G4317" s="90">
        <v>4301</v>
      </c>
      <c r="H4317" s="100">
        <v>-4.9585889340913632E-2</v>
      </c>
      <c r="I4317" s="100">
        <v>-3.1195474448798239E-2</v>
      </c>
    </row>
    <row r="4318" spans="1:9">
      <c r="A4318" s="90">
        <v>4302</v>
      </c>
      <c r="B4318" s="110">
        <v>1.0887100356664032</v>
      </c>
      <c r="C4318" s="110">
        <v>1.0628390380071122</v>
      </c>
      <c r="G4318" s="90">
        <v>4302</v>
      </c>
      <c r="H4318" s="100">
        <v>-2.4049876378375294E-2</v>
      </c>
      <c r="I4318" s="100">
        <v>-3.1170620879515037E-2</v>
      </c>
    </row>
    <row r="4319" spans="1:9">
      <c r="A4319" s="90">
        <v>4303</v>
      </c>
      <c r="B4319" s="110">
        <v>1.1191183478483304</v>
      </c>
      <c r="C4319" s="110">
        <v>1.0192939125885059</v>
      </c>
      <c r="G4319" s="90">
        <v>4303</v>
      </c>
      <c r="H4319" s="100">
        <v>-9.3431040864204118E-2</v>
      </c>
      <c r="I4319" s="100">
        <v>-3.1153403371901634E-2</v>
      </c>
    </row>
    <row r="4320" spans="1:9">
      <c r="A4320" s="90">
        <v>4304</v>
      </c>
      <c r="B4320" s="110">
        <v>1.1151436403813553</v>
      </c>
      <c r="C4320" s="110">
        <v>1.0503395378493841</v>
      </c>
      <c r="G4320" s="90">
        <v>4304</v>
      </c>
      <c r="H4320" s="100">
        <v>-5.9869740791737895E-2</v>
      </c>
      <c r="I4320" s="100">
        <v>-3.1124795561080949E-2</v>
      </c>
    </row>
    <row r="4321" spans="1:9">
      <c r="A4321" s="90">
        <v>4305</v>
      </c>
      <c r="B4321" s="110">
        <v>1.1065490100786206</v>
      </c>
      <c r="C4321" s="110">
        <v>1.0478275638530974</v>
      </c>
      <c r="G4321" s="90">
        <v>4305</v>
      </c>
      <c r="H4321" s="100">
        <v>-5.4527138361478024E-2</v>
      </c>
      <c r="I4321" s="100">
        <v>-3.1109545436917501E-2</v>
      </c>
    </row>
    <row r="4322" spans="1:9">
      <c r="A4322" s="90">
        <v>4306</v>
      </c>
      <c r="B4322" s="110">
        <v>1.112018200884211</v>
      </c>
      <c r="C4322" s="110">
        <v>1.0786691690746417</v>
      </c>
      <c r="G4322" s="90">
        <v>4306</v>
      </c>
      <c r="H4322" s="100">
        <v>-3.0448532962119405E-2</v>
      </c>
      <c r="I4322" s="100">
        <v>-3.1109501181099487E-2</v>
      </c>
    </row>
    <row r="4323" spans="1:9">
      <c r="A4323" s="90">
        <v>4307</v>
      </c>
      <c r="B4323" s="110">
        <v>1.1346512670212359</v>
      </c>
      <c r="C4323" s="110">
        <v>1.0629583237019289</v>
      </c>
      <c r="G4323" s="90">
        <v>4307</v>
      </c>
      <c r="H4323" s="100">
        <v>-6.5269457705363604E-2</v>
      </c>
      <c r="I4323" s="100">
        <v>-3.1097892241535037E-2</v>
      </c>
    </row>
    <row r="4324" spans="1:9">
      <c r="A4324" s="90">
        <v>4308</v>
      </c>
      <c r="B4324" s="110">
        <v>1.1240682540753753</v>
      </c>
      <c r="C4324" s="110">
        <v>1.031460289881851</v>
      </c>
      <c r="G4324" s="90">
        <v>4308</v>
      </c>
      <c r="H4324" s="100">
        <v>-8.5978918554600658E-2</v>
      </c>
      <c r="I4324" s="100">
        <v>-3.1089528056931923E-2</v>
      </c>
    </row>
    <row r="4325" spans="1:9">
      <c r="A4325" s="90">
        <v>4309</v>
      </c>
      <c r="B4325" s="110">
        <v>1.1311594479359766</v>
      </c>
      <c r="C4325" s="110">
        <v>1.0341058827649814</v>
      </c>
      <c r="G4325" s="90">
        <v>4309</v>
      </c>
      <c r="H4325" s="100">
        <v>-8.9705994834424443E-2</v>
      </c>
      <c r="I4325" s="100">
        <v>-3.1078716765863691E-2</v>
      </c>
    </row>
    <row r="4326" spans="1:9">
      <c r="A4326" s="90">
        <v>4310</v>
      </c>
      <c r="B4326" s="110">
        <v>1.1404467726098362</v>
      </c>
      <c r="C4326" s="110">
        <v>1.0468154026104295</v>
      </c>
      <c r="G4326" s="90">
        <v>4310</v>
      </c>
      <c r="H4326" s="100">
        <v>-8.5667485868440307E-2</v>
      </c>
      <c r="I4326" s="100">
        <v>-3.1045248672727989E-2</v>
      </c>
    </row>
    <row r="4327" spans="1:9">
      <c r="A4327" s="90">
        <v>4311</v>
      </c>
      <c r="B4327" s="110">
        <v>1.1334237453259057</v>
      </c>
      <c r="C4327" s="110">
        <v>1.0417645564607838</v>
      </c>
      <c r="G4327" s="90">
        <v>4311</v>
      </c>
      <c r="H4327" s="100">
        <v>-8.4326950752382029E-2</v>
      </c>
      <c r="I4327" s="100">
        <v>-3.102124695386661E-2</v>
      </c>
    </row>
    <row r="4328" spans="1:9">
      <c r="A4328" s="90">
        <v>4312</v>
      </c>
      <c r="B4328" s="110">
        <v>1.0844884631396228</v>
      </c>
      <c r="C4328" s="110">
        <v>1.045533255615142</v>
      </c>
      <c r="G4328" s="90">
        <v>4312</v>
      </c>
      <c r="H4328" s="100">
        <v>-3.6581365558349885E-2</v>
      </c>
      <c r="I4328" s="100">
        <v>-3.0960572847593033E-2</v>
      </c>
    </row>
    <row r="4329" spans="1:9">
      <c r="A4329" s="90">
        <v>4313</v>
      </c>
      <c r="B4329" s="110">
        <v>1.1225475126052264</v>
      </c>
      <c r="C4329" s="110">
        <v>1.0371327304983986</v>
      </c>
      <c r="G4329" s="90">
        <v>4313</v>
      </c>
      <c r="H4329" s="100">
        <v>-7.9140751474978635E-2</v>
      </c>
      <c r="I4329" s="100">
        <v>-3.0939829884690028E-2</v>
      </c>
    </row>
    <row r="4330" spans="1:9">
      <c r="A4330" s="90">
        <v>4314</v>
      </c>
      <c r="B4330" s="110">
        <v>1.0899057782596964</v>
      </c>
      <c r="C4330" s="110">
        <v>1.0572724081343661</v>
      </c>
      <c r="G4330" s="90">
        <v>4314</v>
      </c>
      <c r="H4330" s="100">
        <v>-3.0398858659548774E-2</v>
      </c>
      <c r="I4330" s="100">
        <v>-3.0931717039002934E-2</v>
      </c>
    </row>
    <row r="4331" spans="1:9">
      <c r="A4331" s="90">
        <v>4315</v>
      </c>
      <c r="B4331" s="110">
        <v>1.1198061285169152</v>
      </c>
      <c r="C4331" s="110">
        <v>1.0448804729446832</v>
      </c>
      <c r="G4331" s="90">
        <v>4315</v>
      </c>
      <c r="H4331" s="100">
        <v>-6.9253071867433097E-2</v>
      </c>
      <c r="I4331" s="100">
        <v>-3.0925247678165759E-2</v>
      </c>
    </row>
    <row r="4332" spans="1:9">
      <c r="A4332" s="90">
        <v>4316</v>
      </c>
      <c r="B4332" s="110">
        <v>1.1078338411024935</v>
      </c>
      <c r="C4332" s="110">
        <v>1.0348375423628009</v>
      </c>
      <c r="G4332" s="90">
        <v>4316</v>
      </c>
      <c r="H4332" s="100">
        <v>-6.8162163679110169E-2</v>
      </c>
      <c r="I4332" s="100">
        <v>-3.0906052528281026E-2</v>
      </c>
    </row>
    <row r="4333" spans="1:9">
      <c r="A4333" s="90">
        <v>4317</v>
      </c>
      <c r="B4333" s="110">
        <v>1.145917709497738</v>
      </c>
      <c r="C4333" s="110">
        <v>1.0294486259124627</v>
      </c>
      <c r="G4333" s="90">
        <v>4317</v>
      </c>
      <c r="H4333" s="100">
        <v>-0.10718246473191569</v>
      </c>
      <c r="I4333" s="100">
        <v>-3.090547005569657E-2</v>
      </c>
    </row>
    <row r="4334" spans="1:9">
      <c r="A4334" s="90">
        <v>4318</v>
      </c>
      <c r="B4334" s="110">
        <v>1.1071787962038493</v>
      </c>
      <c r="C4334" s="110">
        <v>1.0581892538585858</v>
      </c>
      <c r="G4334" s="90">
        <v>4318</v>
      </c>
      <c r="H4334" s="100">
        <v>-4.5255958547901209E-2</v>
      </c>
      <c r="I4334" s="100">
        <v>-3.0905162293352714E-2</v>
      </c>
    </row>
    <row r="4335" spans="1:9">
      <c r="A4335" s="90">
        <v>4319</v>
      </c>
      <c r="B4335" s="110">
        <v>1.120757132627453</v>
      </c>
      <c r="C4335" s="110">
        <v>1.0552810561730064</v>
      </c>
      <c r="G4335" s="90">
        <v>4319</v>
      </c>
      <c r="H4335" s="100">
        <v>-6.0197332784564621E-2</v>
      </c>
      <c r="I4335" s="100">
        <v>-3.0900111052309234E-2</v>
      </c>
    </row>
    <row r="4336" spans="1:9">
      <c r="A4336" s="90">
        <v>4320</v>
      </c>
      <c r="B4336" s="110">
        <v>1.0817718533856386</v>
      </c>
      <c r="C4336" s="110">
        <v>1.0546362693144828</v>
      </c>
      <c r="G4336" s="90">
        <v>4320</v>
      </c>
      <c r="H4336" s="100">
        <v>-2.5404362741160955E-2</v>
      </c>
      <c r="I4336" s="100">
        <v>-3.0892734735646198E-2</v>
      </c>
    </row>
    <row r="4337" spans="1:9">
      <c r="A4337" s="90">
        <v>4321</v>
      </c>
      <c r="B4337" s="110">
        <v>1.1142351081357951</v>
      </c>
      <c r="C4337" s="110">
        <v>1.0508143944529784</v>
      </c>
      <c r="G4337" s="90">
        <v>4321</v>
      </c>
      <c r="H4337" s="100">
        <v>-5.8602690532079359E-2</v>
      </c>
      <c r="I4337" s="100">
        <v>-3.0878759536780598E-2</v>
      </c>
    </row>
    <row r="4338" spans="1:9">
      <c r="A4338" s="90">
        <v>4322</v>
      </c>
      <c r="B4338" s="110">
        <v>1.07668373310458</v>
      </c>
      <c r="C4338" s="110">
        <v>1.0429380426275192</v>
      </c>
      <c r="G4338" s="90">
        <v>4322</v>
      </c>
      <c r="H4338" s="100">
        <v>-3.1843928409034626E-2</v>
      </c>
      <c r="I4338" s="100">
        <v>-3.0875721750086516E-2</v>
      </c>
    </row>
    <row r="4339" spans="1:9">
      <c r="A4339" s="90">
        <v>4323</v>
      </c>
      <c r="B4339" s="110">
        <v>1.101831482446241</v>
      </c>
      <c r="C4339" s="110">
        <v>1.0546567727439828</v>
      </c>
      <c r="G4339" s="90">
        <v>4323</v>
      </c>
      <c r="H4339" s="100">
        <v>-4.375839919353499E-2</v>
      </c>
      <c r="I4339" s="100">
        <v>-3.0869945399361387E-2</v>
      </c>
    </row>
    <row r="4340" spans="1:9">
      <c r="A4340" s="90">
        <v>4324</v>
      </c>
      <c r="B4340" s="110">
        <v>1.1272068980963594</v>
      </c>
      <c r="C4340" s="110">
        <v>1.050192396041004</v>
      </c>
      <c r="G4340" s="90">
        <v>4324</v>
      </c>
      <c r="H4340" s="100">
        <v>-7.0769419548615292E-2</v>
      </c>
      <c r="I4340" s="100">
        <v>-3.0849259041248855E-2</v>
      </c>
    </row>
    <row r="4341" spans="1:9">
      <c r="A4341" s="90">
        <v>4325</v>
      </c>
      <c r="B4341" s="110">
        <v>1.1200765836615374</v>
      </c>
      <c r="C4341" s="110">
        <v>1.0484030406593654</v>
      </c>
      <c r="G4341" s="90">
        <v>4325</v>
      </c>
      <c r="H4341" s="100">
        <v>-6.6128968490092213E-2</v>
      </c>
      <c r="I4341" s="100">
        <v>-3.0782868045119885E-2</v>
      </c>
    </row>
    <row r="4342" spans="1:9">
      <c r="A4342" s="90">
        <v>4326</v>
      </c>
      <c r="B4342" s="110">
        <v>1.0967092314983196</v>
      </c>
      <c r="C4342" s="110">
        <v>1.0357198135714927</v>
      </c>
      <c r="G4342" s="90">
        <v>4326</v>
      </c>
      <c r="H4342" s="100">
        <v>-5.7217431233901571E-2</v>
      </c>
      <c r="I4342" s="100">
        <v>-3.0775572585341041E-2</v>
      </c>
    </row>
    <row r="4343" spans="1:9">
      <c r="A4343" s="90">
        <v>4327</v>
      </c>
      <c r="B4343" s="110">
        <v>1.1167955061535535</v>
      </c>
      <c r="C4343" s="110">
        <v>1.0420505056391101</v>
      </c>
      <c r="G4343" s="90">
        <v>4327</v>
      </c>
      <c r="H4343" s="100">
        <v>-6.9273017098510678E-2</v>
      </c>
      <c r="I4343" s="100">
        <v>-3.0743842802936117E-2</v>
      </c>
    </row>
    <row r="4344" spans="1:9">
      <c r="A4344" s="90">
        <v>4328</v>
      </c>
      <c r="B4344" s="110">
        <v>1.1097456229178384</v>
      </c>
      <c r="C4344" s="110">
        <v>1.0623730044986808</v>
      </c>
      <c r="G4344" s="90">
        <v>4328</v>
      </c>
      <c r="H4344" s="100">
        <v>-4.3625731023612571E-2</v>
      </c>
      <c r="I4344" s="100">
        <v>-3.0695573774589379E-2</v>
      </c>
    </row>
    <row r="4345" spans="1:9">
      <c r="A4345" s="90">
        <v>4329</v>
      </c>
      <c r="B4345" s="110">
        <v>1.1036701761003558</v>
      </c>
      <c r="C4345" s="110">
        <v>1.0436071867615997</v>
      </c>
      <c r="G4345" s="90">
        <v>4329</v>
      </c>
      <c r="H4345" s="100">
        <v>-5.5957988920392353E-2</v>
      </c>
      <c r="I4345" s="100">
        <v>-3.0688226663546585E-2</v>
      </c>
    </row>
    <row r="4346" spans="1:9">
      <c r="A4346" s="90">
        <v>4330</v>
      </c>
      <c r="B4346" s="110">
        <v>1.1003855541770629</v>
      </c>
      <c r="C4346" s="110">
        <v>1.0751036842302064</v>
      </c>
      <c r="G4346" s="90">
        <v>4330</v>
      </c>
      <c r="H4346" s="100">
        <v>-2.3243514814264014E-2</v>
      </c>
      <c r="I4346" s="100">
        <v>-3.0685477343180445E-2</v>
      </c>
    </row>
    <row r="4347" spans="1:9">
      <c r="A4347" s="90">
        <v>4331</v>
      </c>
      <c r="B4347" s="110">
        <v>1.077187723477028</v>
      </c>
      <c r="C4347" s="110">
        <v>1.0516537325822544</v>
      </c>
      <c r="G4347" s="90">
        <v>4331</v>
      </c>
      <c r="H4347" s="100">
        <v>-2.3989776596989441E-2</v>
      </c>
      <c r="I4347" s="100">
        <v>-3.0678157931019818E-2</v>
      </c>
    </row>
    <row r="4348" spans="1:9">
      <c r="A4348" s="90">
        <v>4332</v>
      </c>
      <c r="B4348" s="110">
        <v>1.0732993560715813</v>
      </c>
      <c r="C4348" s="110">
        <v>1.0537698421668293</v>
      </c>
      <c r="G4348" s="90">
        <v>4332</v>
      </c>
      <c r="H4348" s="100">
        <v>-1.8363354345017301E-2</v>
      </c>
      <c r="I4348" s="100">
        <v>-3.0636287898838797E-2</v>
      </c>
    </row>
    <row r="4349" spans="1:9">
      <c r="A4349" s="90">
        <v>4333</v>
      </c>
      <c r="B4349" s="110">
        <v>1.1141725493135519</v>
      </c>
      <c r="C4349" s="110">
        <v>1.0559870470543606</v>
      </c>
      <c r="G4349" s="90">
        <v>4333</v>
      </c>
      <c r="H4349" s="100">
        <v>-5.3636102012653564E-2</v>
      </c>
      <c r="I4349" s="100">
        <v>-3.0626911067398423E-2</v>
      </c>
    </row>
    <row r="4350" spans="1:9">
      <c r="A4350" s="90">
        <v>4334</v>
      </c>
      <c r="B4350" s="110">
        <v>1.1254619295213009</v>
      </c>
      <c r="C4350" s="110">
        <v>1.0728839661212486</v>
      </c>
      <c r="G4350" s="90">
        <v>4334</v>
      </c>
      <c r="H4350" s="100">
        <v>-4.7843237281478976E-2</v>
      </c>
      <c r="I4350" s="100">
        <v>-3.0600515913385109E-2</v>
      </c>
    </row>
    <row r="4351" spans="1:9">
      <c r="A4351" s="90">
        <v>4335</v>
      </c>
      <c r="B4351" s="110">
        <v>1.1355215137534276</v>
      </c>
      <c r="C4351" s="110">
        <v>1.0359598277743647</v>
      </c>
      <c r="G4351" s="90">
        <v>4335</v>
      </c>
      <c r="H4351" s="100">
        <v>-9.1763662080450226E-2</v>
      </c>
      <c r="I4351" s="100">
        <v>-3.0584215537625217E-2</v>
      </c>
    </row>
    <row r="4352" spans="1:9">
      <c r="A4352" s="90">
        <v>4336</v>
      </c>
      <c r="B4352" s="110">
        <v>1.14880703136124</v>
      </c>
      <c r="C4352" s="110">
        <v>1.0337935568940988</v>
      </c>
      <c r="G4352" s="90">
        <v>4336</v>
      </c>
      <c r="H4352" s="100">
        <v>-0.1054889385957254</v>
      </c>
      <c r="I4352" s="100">
        <v>-3.0572655323429138E-2</v>
      </c>
    </row>
    <row r="4353" spans="1:9">
      <c r="A4353" s="90">
        <v>4337</v>
      </c>
      <c r="B4353" s="110">
        <v>1.0969249893366029</v>
      </c>
      <c r="C4353" s="110">
        <v>1.0712827204787869</v>
      </c>
      <c r="G4353" s="90">
        <v>4337</v>
      </c>
      <c r="H4353" s="100">
        <v>-2.3654066289961067E-2</v>
      </c>
      <c r="I4353" s="100">
        <v>-3.0545755018689925E-2</v>
      </c>
    </row>
    <row r="4354" spans="1:9">
      <c r="A4354" s="90">
        <v>4338</v>
      </c>
      <c r="B4354" s="110">
        <v>1.098669098199329</v>
      </c>
      <c r="C4354" s="110">
        <v>1.0590553474085389</v>
      </c>
      <c r="G4354" s="90">
        <v>4338</v>
      </c>
      <c r="H4354" s="100">
        <v>-3.6722207448100466E-2</v>
      </c>
      <c r="I4354" s="100">
        <v>-3.0485894582542038E-2</v>
      </c>
    </row>
    <row r="4355" spans="1:9">
      <c r="A4355" s="90">
        <v>4339</v>
      </c>
      <c r="B4355" s="110">
        <v>1.1592065246250349</v>
      </c>
      <c r="C4355" s="110">
        <v>1.0430142751338853</v>
      </c>
      <c r="G4355" s="90">
        <v>4339</v>
      </c>
      <c r="H4355" s="100">
        <v>-0.10562087803236986</v>
      </c>
      <c r="I4355" s="100">
        <v>-3.0477870296321697E-2</v>
      </c>
    </row>
    <row r="4356" spans="1:9">
      <c r="A4356" s="90">
        <v>4340</v>
      </c>
      <c r="B4356" s="110">
        <v>1.1263407471970219</v>
      </c>
      <c r="C4356" s="110">
        <v>1.0524825299450582</v>
      </c>
      <c r="G4356" s="90">
        <v>4340</v>
      </c>
      <c r="H4356" s="100">
        <v>-6.7822413532574635E-2</v>
      </c>
      <c r="I4356" s="100">
        <v>-3.0453615720122559E-2</v>
      </c>
    </row>
    <row r="4357" spans="1:9">
      <c r="A4357" s="90">
        <v>4341</v>
      </c>
      <c r="B4357" s="110">
        <v>1.1079229030870865</v>
      </c>
      <c r="C4357" s="110">
        <v>1.0491956615555669</v>
      </c>
      <c r="G4357" s="90">
        <v>4341</v>
      </c>
      <c r="H4357" s="100">
        <v>-5.446316985306953E-2</v>
      </c>
      <c r="I4357" s="100">
        <v>-3.0448532962119405E-2</v>
      </c>
    </row>
    <row r="4358" spans="1:9">
      <c r="A4358" s="90">
        <v>4342</v>
      </c>
      <c r="B4358" s="110">
        <v>1.1028449706999468</v>
      </c>
      <c r="C4358" s="110">
        <v>1.0851660738362823</v>
      </c>
      <c r="G4358" s="90">
        <v>4342</v>
      </c>
      <c r="H4358" s="100">
        <v>-1.6160139267376725E-2</v>
      </c>
      <c r="I4358" s="100">
        <v>-3.0436558079588845E-2</v>
      </c>
    </row>
    <row r="4359" spans="1:9">
      <c r="A4359" s="90">
        <v>4343</v>
      </c>
      <c r="B4359" s="110">
        <v>1.1129183221701708</v>
      </c>
      <c r="C4359" s="110">
        <v>1.0656893995394241</v>
      </c>
      <c r="G4359" s="90">
        <v>4343</v>
      </c>
      <c r="H4359" s="100">
        <v>-4.3363771059633058E-2</v>
      </c>
      <c r="I4359" s="100">
        <v>-3.0431054221951429E-2</v>
      </c>
    </row>
    <row r="4360" spans="1:9">
      <c r="A4360" s="90">
        <v>4344</v>
      </c>
      <c r="B4360" s="110">
        <v>1.1397214349371101</v>
      </c>
      <c r="C4360" s="110">
        <v>1.0615830027152522</v>
      </c>
      <c r="G4360" s="90">
        <v>4344</v>
      </c>
      <c r="H4360" s="100">
        <v>-7.1022684327504318E-2</v>
      </c>
      <c r="I4360" s="100">
        <v>-3.0417925050374005E-2</v>
      </c>
    </row>
    <row r="4361" spans="1:9">
      <c r="A4361" s="90">
        <v>4345</v>
      </c>
      <c r="B4361" s="110">
        <v>1.0861352408530638</v>
      </c>
      <c r="C4361" s="110">
        <v>1.0679284253352015</v>
      </c>
      <c r="G4361" s="90">
        <v>4345</v>
      </c>
      <c r="H4361" s="100">
        <v>-1.6905024114802585E-2</v>
      </c>
      <c r="I4361" s="100">
        <v>-3.0401666999709823E-2</v>
      </c>
    </row>
    <row r="4362" spans="1:9">
      <c r="A4362" s="90">
        <v>4346</v>
      </c>
      <c r="B4362" s="110">
        <v>1.1137234962174789</v>
      </c>
      <c r="C4362" s="110">
        <v>1.0377894286161651</v>
      </c>
      <c r="G4362" s="90">
        <v>4346</v>
      </c>
      <c r="H4362" s="100">
        <v>-7.0616001073623591E-2</v>
      </c>
      <c r="I4362" s="100">
        <v>-3.0398858659548774E-2</v>
      </c>
    </row>
    <row r="4363" spans="1:9">
      <c r="A4363" s="90">
        <v>4347</v>
      </c>
      <c r="B4363" s="110">
        <v>1.110435837083056</v>
      </c>
      <c r="C4363" s="110">
        <v>1.0548650999517488</v>
      </c>
      <c r="G4363" s="90">
        <v>4347</v>
      </c>
      <c r="H4363" s="100">
        <v>-5.1339692871747319E-2</v>
      </c>
      <c r="I4363" s="100">
        <v>-3.0379165806601102E-2</v>
      </c>
    </row>
    <row r="4364" spans="1:9">
      <c r="A4364" s="90">
        <v>4348</v>
      </c>
      <c r="B4364" s="110">
        <v>1.1169060454406816</v>
      </c>
      <c r="C4364" s="110">
        <v>1.0637232645515444</v>
      </c>
      <c r="G4364" s="90">
        <v>4348</v>
      </c>
      <c r="H4364" s="100">
        <v>-4.8787135863396398E-2</v>
      </c>
      <c r="I4364" s="100">
        <v>-3.0341601139608761E-2</v>
      </c>
    </row>
    <row r="4365" spans="1:9">
      <c r="A4365" s="90">
        <v>4349</v>
      </c>
      <c r="B4365" s="110">
        <v>1.108005902985407</v>
      </c>
      <c r="C4365" s="110">
        <v>1.0599294227821705</v>
      </c>
      <c r="G4365" s="90">
        <v>4349</v>
      </c>
      <c r="H4365" s="100">
        <v>-4.4359592288752296E-2</v>
      </c>
      <c r="I4365" s="100">
        <v>-3.0318026028264288E-2</v>
      </c>
    </row>
    <row r="4366" spans="1:9">
      <c r="A4366" s="90">
        <v>4350</v>
      </c>
      <c r="B4366" s="110">
        <v>1.1020433191055703</v>
      </c>
      <c r="C4366" s="110">
        <v>1.0567811599481804</v>
      </c>
      <c r="G4366" s="90">
        <v>4350</v>
      </c>
      <c r="H4366" s="100">
        <v>-4.1938372876757696E-2</v>
      </c>
      <c r="I4366" s="100">
        <v>-3.0314997793399263E-2</v>
      </c>
    </row>
    <row r="4367" spans="1:9">
      <c r="A4367" s="90">
        <v>4351</v>
      </c>
      <c r="B4367" s="110">
        <v>1.1064739341573857</v>
      </c>
      <c r="C4367" s="110">
        <v>1.0643196438727802</v>
      </c>
      <c r="G4367" s="90">
        <v>4351</v>
      </c>
      <c r="H4367" s="100">
        <v>-3.8842560234595785E-2</v>
      </c>
      <c r="I4367" s="100">
        <v>-3.0311493418727232E-2</v>
      </c>
    </row>
    <row r="4368" spans="1:9">
      <c r="A4368" s="90">
        <v>4352</v>
      </c>
      <c r="B4368" s="110">
        <v>1.0935326115835826</v>
      </c>
      <c r="C4368" s="110">
        <v>1.0637371186398223</v>
      </c>
      <c r="G4368" s="90">
        <v>4352</v>
      </c>
      <c r="H4368" s="100">
        <v>-2.7625092366331715E-2</v>
      </c>
      <c r="I4368" s="100">
        <v>-3.0307113328554614E-2</v>
      </c>
    </row>
    <row r="4369" spans="1:9">
      <c r="A4369" s="90">
        <v>4353</v>
      </c>
      <c r="B4369" s="110">
        <v>1.1098862404138925</v>
      </c>
      <c r="C4369" s="110">
        <v>1.0758425484405578</v>
      </c>
      <c r="G4369" s="90">
        <v>4353</v>
      </c>
      <c r="H4369" s="100">
        <v>-3.1153403371901634E-2</v>
      </c>
      <c r="I4369" s="100">
        <v>-3.0295639305114141E-2</v>
      </c>
    </row>
    <row r="4370" spans="1:9">
      <c r="A4370" s="90">
        <v>4354</v>
      </c>
      <c r="B4370" s="110">
        <v>1.1341006656535317</v>
      </c>
      <c r="C4370" s="110">
        <v>1.0431826849613155</v>
      </c>
      <c r="G4370" s="90">
        <v>4354</v>
      </c>
      <c r="H4370" s="100">
        <v>-8.3563657735647404E-2</v>
      </c>
      <c r="I4370" s="100">
        <v>-3.0278411548222819E-2</v>
      </c>
    </row>
    <row r="4371" spans="1:9">
      <c r="A4371" s="90">
        <v>4355</v>
      </c>
      <c r="B4371" s="110">
        <v>1.0856135249619498</v>
      </c>
      <c r="C4371" s="110">
        <v>1.0412529538650652</v>
      </c>
      <c r="G4371" s="90">
        <v>4355</v>
      </c>
      <c r="H4371" s="100">
        <v>-4.1720536634041808E-2</v>
      </c>
      <c r="I4371" s="100">
        <v>-3.0183700367294689E-2</v>
      </c>
    </row>
    <row r="4372" spans="1:9">
      <c r="A4372" s="90">
        <v>4356</v>
      </c>
      <c r="B4372" s="110">
        <v>1.0949633879939076</v>
      </c>
      <c r="C4372" s="110">
        <v>1.0454914725669844</v>
      </c>
      <c r="G4372" s="90">
        <v>4356</v>
      </c>
      <c r="H4372" s="100">
        <v>-4.6233843554626557E-2</v>
      </c>
      <c r="I4372" s="100">
        <v>-3.0157520017080761E-2</v>
      </c>
    </row>
    <row r="4373" spans="1:9">
      <c r="A4373" s="90">
        <v>4357</v>
      </c>
      <c r="B4373" s="110">
        <v>1.1120446492691005</v>
      </c>
      <c r="C4373" s="110">
        <v>1.055715839029626</v>
      </c>
      <c r="G4373" s="90">
        <v>4357</v>
      </c>
      <c r="H4373" s="100">
        <v>-5.1981289998364232E-2</v>
      </c>
      <c r="I4373" s="100">
        <v>-3.0141637557444662E-2</v>
      </c>
    </row>
    <row r="4374" spans="1:9">
      <c r="A4374" s="90">
        <v>4358</v>
      </c>
      <c r="B4374" s="110">
        <v>1.1244311308454125</v>
      </c>
      <c r="C4374" s="110">
        <v>1.0357894596264039</v>
      </c>
      <c r="G4374" s="90">
        <v>4358</v>
      </c>
      <c r="H4374" s="100">
        <v>-8.2113347410165627E-2</v>
      </c>
      <c r="I4374" s="100">
        <v>-3.0079914134880321E-2</v>
      </c>
    </row>
    <row r="4375" spans="1:9">
      <c r="A4375" s="90">
        <v>4359</v>
      </c>
      <c r="B4375" s="110">
        <v>1.0718929632858007</v>
      </c>
      <c r="C4375" s="110">
        <v>1.0502569516059879</v>
      </c>
      <c r="G4375" s="90">
        <v>4359</v>
      </c>
      <c r="H4375" s="100">
        <v>-2.0391359935715104E-2</v>
      </c>
      <c r="I4375" s="100">
        <v>-3.00777083684108E-2</v>
      </c>
    </row>
    <row r="4376" spans="1:9">
      <c r="A4376" s="90">
        <v>4360</v>
      </c>
      <c r="B4376" s="110">
        <v>1.1169592335176062</v>
      </c>
      <c r="C4376" s="110">
        <v>1.0597628061719377</v>
      </c>
      <c r="G4376" s="90">
        <v>4360</v>
      </c>
      <c r="H4376" s="100">
        <v>-5.2564907695924611E-2</v>
      </c>
      <c r="I4376" s="100">
        <v>-3.0072219252830688E-2</v>
      </c>
    </row>
    <row r="4377" spans="1:9">
      <c r="A4377" s="90">
        <v>4361</v>
      </c>
      <c r="B4377" s="110">
        <v>1.0866881194770479</v>
      </c>
      <c r="C4377" s="110">
        <v>1.0597856647429122</v>
      </c>
      <c r="G4377" s="90">
        <v>4361</v>
      </c>
      <c r="H4377" s="100">
        <v>-2.5067963760228903E-2</v>
      </c>
      <c r="I4377" s="100">
        <v>-3.0068567553575818E-2</v>
      </c>
    </row>
    <row r="4378" spans="1:9">
      <c r="A4378" s="90">
        <v>4362</v>
      </c>
      <c r="B4378" s="110">
        <v>1.0851653850300411</v>
      </c>
      <c r="C4378" s="110">
        <v>1.0438081076759431</v>
      </c>
      <c r="G4378" s="90">
        <v>4362</v>
      </c>
      <c r="H4378" s="100">
        <v>-3.8856736317326335E-2</v>
      </c>
      <c r="I4378" s="100">
        <v>-3.0043500515434685E-2</v>
      </c>
    </row>
    <row r="4379" spans="1:9">
      <c r="A4379" s="90">
        <v>4363</v>
      </c>
      <c r="B4379" s="110">
        <v>1.1312041129787049</v>
      </c>
      <c r="C4379" s="110">
        <v>1.05582668112825</v>
      </c>
      <c r="G4379" s="90">
        <v>4363</v>
      </c>
      <c r="H4379" s="100">
        <v>-6.8958608002365113E-2</v>
      </c>
      <c r="I4379" s="100">
        <v>-3.0037981721294033E-2</v>
      </c>
    </row>
    <row r="4380" spans="1:9">
      <c r="A4380" s="90">
        <v>4364</v>
      </c>
      <c r="B4380" s="110">
        <v>1.1224069385505269</v>
      </c>
      <c r="C4380" s="110">
        <v>1.0531710956641049</v>
      </c>
      <c r="G4380" s="90">
        <v>4364</v>
      </c>
      <c r="H4380" s="100">
        <v>-6.366972771026666E-2</v>
      </c>
      <c r="I4380" s="100">
        <v>-3.0034104749843804E-2</v>
      </c>
    </row>
    <row r="4381" spans="1:9">
      <c r="A4381" s="90">
        <v>4365</v>
      </c>
      <c r="B4381" s="110">
        <v>1.0967598311781332</v>
      </c>
      <c r="C4381" s="110">
        <v>1.025810381953052</v>
      </c>
      <c r="G4381" s="90">
        <v>4365</v>
      </c>
      <c r="H4381" s="100">
        <v>-6.6877308185671364E-2</v>
      </c>
      <c r="I4381" s="100">
        <v>-2.9989967881508369E-2</v>
      </c>
    </row>
    <row r="4382" spans="1:9">
      <c r="A4382" s="90">
        <v>4366</v>
      </c>
      <c r="B4382" s="110">
        <v>1.0971362393791368</v>
      </c>
      <c r="C4382" s="110">
        <v>1.0690637168214527</v>
      </c>
      <c r="G4382" s="90">
        <v>4366</v>
      </c>
      <c r="H4382" s="100">
        <v>-2.592013186746854E-2</v>
      </c>
      <c r="I4382" s="100">
        <v>-2.9983054321777381E-2</v>
      </c>
    </row>
    <row r="4383" spans="1:9">
      <c r="A4383" s="90">
        <v>4367</v>
      </c>
      <c r="B4383" s="110">
        <v>1.1129883505788734</v>
      </c>
      <c r="C4383" s="110">
        <v>1.063870003178248</v>
      </c>
      <c r="G4383" s="90">
        <v>4367</v>
      </c>
      <c r="H4383" s="100">
        <v>-4.5135399561857643E-2</v>
      </c>
      <c r="I4383" s="100">
        <v>-2.996446987061235E-2</v>
      </c>
    </row>
    <row r="4384" spans="1:9">
      <c r="A4384" s="90">
        <v>4368</v>
      </c>
      <c r="B4384" s="110">
        <v>1.1375732082492405</v>
      </c>
      <c r="C4384" s="110">
        <v>1.0305231179326182</v>
      </c>
      <c r="G4384" s="90">
        <v>4368</v>
      </c>
      <c r="H4384" s="100">
        <v>-9.8830673871082492E-2</v>
      </c>
      <c r="I4384" s="100">
        <v>-2.9923460519378359E-2</v>
      </c>
    </row>
    <row r="4385" spans="1:9">
      <c r="A4385" s="90">
        <v>4369</v>
      </c>
      <c r="B4385" s="110">
        <v>1.0902918382929283</v>
      </c>
      <c r="C4385" s="110">
        <v>1.0556136712877104</v>
      </c>
      <c r="G4385" s="90">
        <v>4369</v>
      </c>
      <c r="H4385" s="100">
        <v>-3.2323125193720194E-2</v>
      </c>
      <c r="I4385" s="100">
        <v>-2.9900355744781178E-2</v>
      </c>
    </row>
    <row r="4386" spans="1:9">
      <c r="A4386" s="90">
        <v>4370</v>
      </c>
      <c r="B4386" s="110">
        <v>1.1025508550505663</v>
      </c>
      <c r="C4386" s="110">
        <v>1.0763820287976278</v>
      </c>
      <c r="G4386" s="90">
        <v>4370</v>
      </c>
      <c r="H4386" s="100">
        <v>-2.4021010228175401E-2</v>
      </c>
      <c r="I4386" s="100">
        <v>-2.9875356904410653E-2</v>
      </c>
    </row>
    <row r="4387" spans="1:9">
      <c r="A4387" s="90">
        <v>4371</v>
      </c>
      <c r="B4387" s="110">
        <v>1.0750201080280066</v>
      </c>
      <c r="C4387" s="110">
        <v>1.0667428530713632</v>
      </c>
      <c r="G4387" s="90">
        <v>4371</v>
      </c>
      <c r="H4387" s="100">
        <v>-7.7294232056710835E-3</v>
      </c>
      <c r="I4387" s="100">
        <v>-2.9853659072765288E-2</v>
      </c>
    </row>
    <row r="4388" spans="1:9">
      <c r="A4388" s="90">
        <v>4372</v>
      </c>
      <c r="B4388" s="110">
        <v>1.1003746846111255</v>
      </c>
      <c r="C4388" s="110">
        <v>1.0470419622518796</v>
      </c>
      <c r="G4388" s="90">
        <v>4372</v>
      </c>
      <c r="H4388" s="100">
        <v>-4.9681734534589447E-2</v>
      </c>
      <c r="I4388" s="100">
        <v>-2.9839023456426944E-2</v>
      </c>
    </row>
    <row r="4389" spans="1:9">
      <c r="A4389" s="90">
        <v>4373</v>
      </c>
      <c r="B4389" s="110">
        <v>1.1144578593884924</v>
      </c>
      <c r="C4389" s="110">
        <v>1.0658681751199504</v>
      </c>
      <c r="G4389" s="90">
        <v>4373</v>
      </c>
      <c r="H4389" s="100">
        <v>-4.4578406920560594E-2</v>
      </c>
      <c r="I4389" s="100">
        <v>-2.9795112997216825E-2</v>
      </c>
    </row>
    <row r="4390" spans="1:9">
      <c r="A4390" s="90">
        <v>4374</v>
      </c>
      <c r="B4390" s="110">
        <v>1.0980174221691419</v>
      </c>
      <c r="C4390" s="110">
        <v>1.0637732389926349</v>
      </c>
      <c r="G4390" s="90">
        <v>4374</v>
      </c>
      <c r="H4390" s="100">
        <v>-3.1683963188098491E-2</v>
      </c>
      <c r="I4390" s="100">
        <v>-2.9791859468744599E-2</v>
      </c>
    </row>
    <row r="4391" spans="1:9">
      <c r="A4391" s="90">
        <v>4375</v>
      </c>
      <c r="B4391" s="110">
        <v>1.0967000407121477</v>
      </c>
      <c r="C4391" s="110">
        <v>1.0565717943747388</v>
      </c>
      <c r="G4391" s="90">
        <v>4375</v>
      </c>
      <c r="H4391" s="100">
        <v>-3.7276197219627973E-2</v>
      </c>
      <c r="I4391" s="100">
        <v>-2.9788159342084643E-2</v>
      </c>
    </row>
    <row r="4392" spans="1:9">
      <c r="A4392" s="90">
        <v>4376</v>
      </c>
      <c r="B4392" s="110">
        <v>1.1144381948361646</v>
      </c>
      <c r="C4392" s="110">
        <v>1.0445479740057906</v>
      </c>
      <c r="G4392" s="90">
        <v>4376</v>
      </c>
      <c r="H4392" s="100">
        <v>-6.4766185722548594E-2</v>
      </c>
      <c r="I4392" s="100">
        <v>-2.9782538772626373E-2</v>
      </c>
    </row>
    <row r="4393" spans="1:9">
      <c r="A4393" s="90">
        <v>4377</v>
      </c>
      <c r="B4393" s="110">
        <v>1.1369847162636901</v>
      </c>
      <c r="C4393" s="110">
        <v>1.0694825315201346</v>
      </c>
      <c r="G4393" s="90">
        <v>4377</v>
      </c>
      <c r="H4393" s="100">
        <v>-6.1204856425283317E-2</v>
      </c>
      <c r="I4393" s="100">
        <v>-2.9769637818372992E-2</v>
      </c>
    </row>
    <row r="4394" spans="1:9">
      <c r="A4394" s="90">
        <v>4378</v>
      </c>
      <c r="B4394" s="110">
        <v>1.1300974667264283</v>
      </c>
      <c r="C4394" s="110">
        <v>1.0454581014912621</v>
      </c>
      <c r="G4394" s="90">
        <v>4378</v>
      </c>
      <c r="H4394" s="100">
        <v>-7.7848718753337709E-2</v>
      </c>
      <c r="I4394" s="100">
        <v>-2.975760207700753E-2</v>
      </c>
    </row>
    <row r="4395" spans="1:9">
      <c r="A4395" s="90">
        <v>4379</v>
      </c>
      <c r="B4395" s="110">
        <v>1.118563068740426</v>
      </c>
      <c r="C4395" s="110">
        <v>1.0480016328268444</v>
      </c>
      <c r="G4395" s="90">
        <v>4379</v>
      </c>
      <c r="H4395" s="100">
        <v>-6.5159743313388641E-2</v>
      </c>
      <c r="I4395" s="100">
        <v>-2.9744664399679436E-2</v>
      </c>
    </row>
    <row r="4396" spans="1:9">
      <c r="A4396" s="90">
        <v>4380</v>
      </c>
      <c r="B4396" s="110">
        <v>1.1139814496809546</v>
      </c>
      <c r="C4396" s="110">
        <v>1.0525839720861787</v>
      </c>
      <c r="G4396" s="90">
        <v>4380</v>
      </c>
      <c r="H4396" s="100">
        <v>-5.6692422527813993E-2</v>
      </c>
      <c r="I4396" s="100">
        <v>-2.9692706381125096E-2</v>
      </c>
    </row>
    <row r="4397" spans="1:9">
      <c r="A4397" s="90">
        <v>4381</v>
      </c>
      <c r="B4397" s="110">
        <v>1.1194215486669055</v>
      </c>
      <c r="C4397" s="110">
        <v>1.0412833238462862</v>
      </c>
      <c r="G4397" s="90">
        <v>4381</v>
      </c>
      <c r="H4397" s="100">
        <v>-7.2358159802888497E-2</v>
      </c>
      <c r="I4397" s="100">
        <v>-2.9614039296088215E-2</v>
      </c>
    </row>
    <row r="4398" spans="1:9">
      <c r="A4398" s="90">
        <v>4382</v>
      </c>
      <c r="B4398" s="110">
        <v>1.0994671161204477</v>
      </c>
      <c r="C4398" s="110">
        <v>1.0642378517021125</v>
      </c>
      <c r="G4398" s="90">
        <v>4382</v>
      </c>
      <c r="H4398" s="100">
        <v>-3.2566711765066675E-2</v>
      </c>
      <c r="I4398" s="100">
        <v>-2.9607224226452698E-2</v>
      </c>
    </row>
    <row r="4399" spans="1:9">
      <c r="A4399" s="90">
        <v>4383</v>
      </c>
      <c r="B4399" s="110">
        <v>1.1180650346805789</v>
      </c>
      <c r="C4399" s="110">
        <v>1.0453137339451717</v>
      </c>
      <c r="G4399" s="90">
        <v>4383</v>
      </c>
      <c r="H4399" s="100">
        <v>-6.7282479366562092E-2</v>
      </c>
      <c r="I4399" s="100">
        <v>-2.9590385079494262E-2</v>
      </c>
    </row>
    <row r="4400" spans="1:9">
      <c r="A4400" s="90">
        <v>4384</v>
      </c>
      <c r="B4400" s="110">
        <v>1.1107107750794509</v>
      </c>
      <c r="C4400" s="110">
        <v>1.0742178831858542</v>
      </c>
      <c r="G4400" s="90">
        <v>4384</v>
      </c>
      <c r="H4400" s="100">
        <v>-3.3407302043301945E-2</v>
      </c>
      <c r="I4400" s="100">
        <v>-2.9563078718384306E-2</v>
      </c>
    </row>
    <row r="4401" spans="1:9">
      <c r="A4401" s="90">
        <v>4385</v>
      </c>
      <c r="B4401" s="110">
        <v>1.0893427829055522</v>
      </c>
      <c r="C4401" s="110">
        <v>1.0472955273247184</v>
      </c>
      <c r="G4401" s="90">
        <v>4385</v>
      </c>
      <c r="H4401" s="100">
        <v>-3.9363409814552101E-2</v>
      </c>
      <c r="I4401" s="100">
        <v>-2.9559922084087139E-2</v>
      </c>
    </row>
    <row r="4402" spans="1:9">
      <c r="A4402" s="90">
        <v>4386</v>
      </c>
      <c r="B4402" s="110">
        <v>1.1038102890823029</v>
      </c>
      <c r="C4402" s="110">
        <v>1.0583415014759363</v>
      </c>
      <c r="G4402" s="90">
        <v>4386</v>
      </c>
      <c r="H4402" s="100">
        <v>-4.2065031912643977E-2</v>
      </c>
      <c r="I4402" s="100">
        <v>-2.9509088017663238E-2</v>
      </c>
    </row>
    <row r="4403" spans="1:9">
      <c r="A4403" s="90">
        <v>4387</v>
      </c>
      <c r="B4403" s="110">
        <v>1.1198168213081889</v>
      </c>
      <c r="C4403" s="110">
        <v>1.0510035306228485</v>
      </c>
      <c r="G4403" s="90">
        <v>4387</v>
      </c>
      <c r="H4403" s="100">
        <v>-6.3419668339657037E-2</v>
      </c>
      <c r="I4403" s="100">
        <v>-2.9478829366238208E-2</v>
      </c>
    </row>
    <row r="4404" spans="1:9">
      <c r="A4404" s="90">
        <v>4388</v>
      </c>
      <c r="B4404" s="110">
        <v>1.1136203316381954</v>
      </c>
      <c r="C4404" s="110">
        <v>1.040353426109945</v>
      </c>
      <c r="G4404" s="90">
        <v>4388</v>
      </c>
      <c r="H4404" s="100">
        <v>-6.8055779787534409E-2</v>
      </c>
      <c r="I4404" s="100">
        <v>-2.9468807956136003E-2</v>
      </c>
    </row>
    <row r="4405" spans="1:9">
      <c r="A4405" s="90">
        <v>4389</v>
      </c>
      <c r="B4405" s="110">
        <v>1.0778201475948337</v>
      </c>
      <c r="C4405" s="110">
        <v>1.0692157299789968</v>
      </c>
      <c r="G4405" s="90">
        <v>4389</v>
      </c>
      <c r="H4405" s="100">
        <v>-8.0152025128852247E-3</v>
      </c>
      <c r="I4405" s="100">
        <v>-2.9459220472101252E-2</v>
      </c>
    </row>
    <row r="4406" spans="1:9">
      <c r="A4406" s="90">
        <v>4390</v>
      </c>
      <c r="B4406" s="110">
        <v>1.1168484369176892</v>
      </c>
      <c r="C4406" s="110">
        <v>1.0767706872490967</v>
      </c>
      <c r="G4406" s="90">
        <v>4390</v>
      </c>
      <c r="H4406" s="100">
        <v>-3.6544365807301443E-2</v>
      </c>
      <c r="I4406" s="100">
        <v>-2.939740221615644E-2</v>
      </c>
    </row>
    <row r="4407" spans="1:9">
      <c r="A4407" s="90">
        <v>4391</v>
      </c>
      <c r="B4407" s="110">
        <v>1.1329824810270277</v>
      </c>
      <c r="C4407" s="110">
        <v>1.0636262855486569</v>
      </c>
      <c r="G4407" s="90">
        <v>4391</v>
      </c>
      <c r="H4407" s="100">
        <v>-6.3169425625955497E-2</v>
      </c>
      <c r="I4407" s="100">
        <v>-2.9386346131961456E-2</v>
      </c>
    </row>
    <row r="4408" spans="1:9">
      <c r="A4408" s="90">
        <v>4392</v>
      </c>
      <c r="B4408" s="110">
        <v>1.1430856624252752</v>
      </c>
      <c r="C4408" s="110">
        <v>1.0520692001523702</v>
      </c>
      <c r="G4408" s="90">
        <v>4392</v>
      </c>
      <c r="H4408" s="100">
        <v>-8.2972435493723962E-2</v>
      </c>
      <c r="I4408" s="100">
        <v>-2.9372969255959485E-2</v>
      </c>
    </row>
    <row r="4409" spans="1:9">
      <c r="A4409" s="90">
        <v>4393</v>
      </c>
      <c r="B4409" s="110">
        <v>1.0752389884356544</v>
      </c>
      <c r="C4409" s="110">
        <v>1.0545334645996738</v>
      </c>
      <c r="G4409" s="90">
        <v>4393</v>
      </c>
      <c r="H4409" s="100">
        <v>-1.9444496222071481E-2</v>
      </c>
      <c r="I4409" s="100">
        <v>-2.9367562503378578E-2</v>
      </c>
    </row>
    <row r="4410" spans="1:9">
      <c r="A4410" s="90">
        <v>4394</v>
      </c>
      <c r="B4410" s="110">
        <v>1.1198359916099163</v>
      </c>
      <c r="C4410" s="110">
        <v>1.0289005462399903</v>
      </c>
      <c r="G4410" s="90">
        <v>4394</v>
      </c>
      <c r="H4410" s="100">
        <v>-8.4691437225069777E-2</v>
      </c>
      <c r="I4410" s="100">
        <v>-2.9367474381521035E-2</v>
      </c>
    </row>
    <row r="4411" spans="1:9">
      <c r="A4411" s="90">
        <v>4395</v>
      </c>
      <c r="B4411" s="110">
        <v>1.1046647835870629</v>
      </c>
      <c r="C4411" s="110">
        <v>1.0618092882888042</v>
      </c>
      <c r="G4411" s="90">
        <v>4395</v>
      </c>
      <c r="H4411" s="100">
        <v>-3.9567596864918314E-2</v>
      </c>
      <c r="I4411" s="100">
        <v>-2.9349220985099612E-2</v>
      </c>
    </row>
    <row r="4412" spans="1:9">
      <c r="A4412" s="90">
        <v>4396</v>
      </c>
      <c r="B4412" s="110">
        <v>1.0868053143676146</v>
      </c>
      <c r="C4412" s="110">
        <v>1.0600231115338157</v>
      </c>
      <c r="G4412" s="90">
        <v>4396</v>
      </c>
      <c r="H4412" s="100">
        <v>-2.4951777260379306E-2</v>
      </c>
      <c r="I4412" s="100">
        <v>-2.9274552412704869E-2</v>
      </c>
    </row>
    <row r="4413" spans="1:9">
      <c r="A4413" s="90">
        <v>4397</v>
      </c>
      <c r="B4413" s="110">
        <v>1.1241723402471082</v>
      </c>
      <c r="C4413" s="110">
        <v>1.0563169580568359</v>
      </c>
      <c r="G4413" s="90">
        <v>4397</v>
      </c>
      <c r="H4413" s="100">
        <v>-6.2258777416801789E-2</v>
      </c>
      <c r="I4413" s="100">
        <v>-2.9273005617899944E-2</v>
      </c>
    </row>
    <row r="4414" spans="1:9">
      <c r="A4414" s="90">
        <v>4398</v>
      </c>
      <c r="B4414" s="110">
        <v>1.1076029429544714</v>
      </c>
      <c r="C4414" s="110">
        <v>1.0619932679392166</v>
      </c>
      <c r="G4414" s="90">
        <v>4398</v>
      </c>
      <c r="H4414" s="100">
        <v>-4.205058560708929E-2</v>
      </c>
      <c r="I4414" s="100">
        <v>-2.9250380378151693E-2</v>
      </c>
    </row>
    <row r="4415" spans="1:9">
      <c r="A4415" s="90">
        <v>4399</v>
      </c>
      <c r="B4415" s="110">
        <v>1.115295592337499</v>
      </c>
      <c r="C4415" s="110">
        <v>1.0487602858765463</v>
      </c>
      <c r="G4415" s="90">
        <v>4399</v>
      </c>
      <c r="H4415" s="100">
        <v>-6.1510688513347699E-2</v>
      </c>
      <c r="I4415" s="100">
        <v>-2.9236447424008223E-2</v>
      </c>
    </row>
    <row r="4416" spans="1:9">
      <c r="A4416" s="90">
        <v>4400</v>
      </c>
      <c r="B4416" s="110">
        <v>1.1448744333477581</v>
      </c>
      <c r="C4416" s="110">
        <v>1.0434900914664462</v>
      </c>
      <c r="G4416" s="90">
        <v>4400</v>
      </c>
      <c r="H4416" s="100">
        <v>-9.2724013784201392E-2</v>
      </c>
      <c r="I4416" s="100">
        <v>-2.9227703784763113E-2</v>
      </c>
    </row>
    <row r="4417" spans="1:9">
      <c r="A4417" s="90">
        <v>4401</v>
      </c>
      <c r="B4417" s="110">
        <v>1.0853569692955556</v>
      </c>
      <c r="C4417" s="110">
        <v>1.03805295664349</v>
      </c>
      <c r="G4417" s="90">
        <v>4401</v>
      </c>
      <c r="H4417" s="100">
        <v>-4.4562135438227665E-2</v>
      </c>
      <c r="I4417" s="100">
        <v>-2.9221126040954164E-2</v>
      </c>
    </row>
    <row r="4418" spans="1:9">
      <c r="A4418" s="90">
        <v>4402</v>
      </c>
      <c r="B4418" s="110">
        <v>1.1100460008330464</v>
      </c>
      <c r="C4418" s="110">
        <v>1.0700168136413255</v>
      </c>
      <c r="G4418" s="90">
        <v>4402</v>
      </c>
      <c r="H4418" s="100">
        <v>-3.6727094623634597E-2</v>
      </c>
      <c r="I4418" s="100">
        <v>-2.9204052634863586E-2</v>
      </c>
    </row>
    <row r="4419" spans="1:9">
      <c r="A4419" s="90">
        <v>4403</v>
      </c>
      <c r="B4419" s="110">
        <v>1.13249987975571</v>
      </c>
      <c r="C4419" s="110">
        <v>1.0675414633321423</v>
      </c>
      <c r="G4419" s="90">
        <v>4403</v>
      </c>
      <c r="H4419" s="100">
        <v>-5.9069165303804065E-2</v>
      </c>
      <c r="I4419" s="100">
        <v>-2.9173608565926944E-2</v>
      </c>
    </row>
    <row r="4420" spans="1:9">
      <c r="A4420" s="90">
        <v>4404</v>
      </c>
      <c r="B4420" s="110">
        <v>1.0972871946378038</v>
      </c>
      <c r="C4420" s="110">
        <v>1.0576631665114604</v>
      </c>
      <c r="G4420" s="90">
        <v>4404</v>
      </c>
      <c r="H4420" s="100">
        <v>-3.677903245430765E-2</v>
      </c>
      <c r="I4420" s="100">
        <v>-2.9163583427061237E-2</v>
      </c>
    </row>
    <row r="4421" spans="1:9">
      <c r="A4421" s="90">
        <v>4405</v>
      </c>
      <c r="B4421" s="110">
        <v>1.1022580847445966</v>
      </c>
      <c r="C4421" s="110">
        <v>1.0403757623791146</v>
      </c>
      <c r="G4421" s="90">
        <v>4405</v>
      </c>
      <c r="H4421" s="100">
        <v>-5.7778922117431158E-2</v>
      </c>
      <c r="I4421" s="100">
        <v>-2.9147670812254414E-2</v>
      </c>
    </row>
    <row r="4422" spans="1:9">
      <c r="A4422" s="90">
        <v>4406</v>
      </c>
      <c r="B4422" s="110">
        <v>1.125571529424209</v>
      </c>
      <c r="C4422" s="110">
        <v>1.0697430547440452</v>
      </c>
      <c r="G4422" s="90">
        <v>4406</v>
      </c>
      <c r="H4422" s="100">
        <v>-5.0872448926258487E-2</v>
      </c>
      <c r="I4422" s="100">
        <v>-2.9123592068048147E-2</v>
      </c>
    </row>
    <row r="4423" spans="1:9">
      <c r="A4423" s="90">
        <v>4407</v>
      </c>
      <c r="B4423" s="110">
        <v>1.1278520226425319</v>
      </c>
      <c r="C4423" s="110">
        <v>1.0454980494902324</v>
      </c>
      <c r="G4423" s="90">
        <v>4407</v>
      </c>
      <c r="H4423" s="100">
        <v>-7.5821584608761428E-2</v>
      </c>
      <c r="I4423" s="100">
        <v>-2.9116657536851772E-2</v>
      </c>
    </row>
    <row r="4424" spans="1:9">
      <c r="A4424" s="90">
        <v>4408</v>
      </c>
      <c r="B4424" s="110">
        <v>1.0936274419983072</v>
      </c>
      <c r="C4424" s="110">
        <v>1.047380420314042</v>
      </c>
      <c r="G4424" s="90">
        <v>4408</v>
      </c>
      <c r="H4424" s="100">
        <v>-4.3207890301531916E-2</v>
      </c>
      <c r="I4424" s="100">
        <v>-2.9060181790380984E-2</v>
      </c>
    </row>
    <row r="4425" spans="1:9">
      <c r="A4425" s="90">
        <v>4409</v>
      </c>
      <c r="B4425" s="110">
        <v>1.1254689212070212</v>
      </c>
      <c r="C4425" s="110">
        <v>1.0494892752793079</v>
      </c>
      <c r="G4425" s="90">
        <v>4409</v>
      </c>
      <c r="H4425" s="100">
        <v>-6.9896126321728841E-2</v>
      </c>
      <c r="I4425" s="100">
        <v>-2.9039688622478899E-2</v>
      </c>
    </row>
    <row r="4426" spans="1:9">
      <c r="A4426" s="90">
        <v>4410</v>
      </c>
      <c r="B4426" s="110">
        <v>1.0837991055249689</v>
      </c>
      <c r="C4426" s="110">
        <v>1.0455908330027268</v>
      </c>
      <c r="G4426" s="90">
        <v>4410</v>
      </c>
      <c r="H4426" s="100">
        <v>-3.5890442758741953E-2</v>
      </c>
      <c r="I4426" s="100">
        <v>-2.8965345098086126E-2</v>
      </c>
    </row>
    <row r="4427" spans="1:9">
      <c r="A4427" s="90">
        <v>4411</v>
      </c>
      <c r="B4427" s="110">
        <v>1.1296965215238526</v>
      </c>
      <c r="C4427" s="110">
        <v>1.064763038912381</v>
      </c>
      <c r="G4427" s="90">
        <v>4411</v>
      </c>
      <c r="H4427" s="100">
        <v>-5.9196755900000168E-2</v>
      </c>
      <c r="I4427" s="100">
        <v>-2.8936540868675358E-2</v>
      </c>
    </row>
    <row r="4428" spans="1:9">
      <c r="A4428" s="90">
        <v>4412</v>
      </c>
      <c r="B4428" s="110">
        <v>1.1226079731071041</v>
      </c>
      <c r="C4428" s="110">
        <v>1.0390684906416081</v>
      </c>
      <c r="G4428" s="90">
        <v>4412</v>
      </c>
      <c r="H4428" s="100">
        <v>-7.7329896143717991E-2</v>
      </c>
      <c r="I4428" s="100">
        <v>-2.8890935474960654E-2</v>
      </c>
    </row>
    <row r="4429" spans="1:9">
      <c r="A4429" s="90">
        <v>4413</v>
      </c>
      <c r="B4429" s="110">
        <v>1.1061725277823771</v>
      </c>
      <c r="C4429" s="110">
        <v>1.0501287781349253</v>
      </c>
      <c r="G4429" s="90">
        <v>4413</v>
      </c>
      <c r="H4429" s="100">
        <v>-5.1993081012696916E-2</v>
      </c>
      <c r="I4429" s="100">
        <v>-2.8888939570666336E-2</v>
      </c>
    </row>
    <row r="4430" spans="1:9">
      <c r="A4430" s="90">
        <v>4414</v>
      </c>
      <c r="B4430" s="110">
        <v>1.1151548376144216</v>
      </c>
      <c r="C4430" s="110">
        <v>1.061152856302773</v>
      </c>
      <c r="G4430" s="90">
        <v>4414</v>
      </c>
      <c r="H4430" s="100">
        <v>-4.9637345685562252E-2</v>
      </c>
      <c r="I4430" s="100">
        <v>-2.886093345101505E-2</v>
      </c>
    </row>
    <row r="4431" spans="1:9">
      <c r="A4431" s="90">
        <v>4415</v>
      </c>
      <c r="B4431" s="110">
        <v>1.1136288815199902</v>
      </c>
      <c r="C4431" s="110">
        <v>1.0695346472494485</v>
      </c>
      <c r="G4431" s="90">
        <v>4415</v>
      </c>
      <c r="H4431" s="100">
        <v>-4.0400300773932168E-2</v>
      </c>
      <c r="I4431" s="100">
        <v>-2.88449541800186E-2</v>
      </c>
    </row>
    <row r="4432" spans="1:9">
      <c r="A4432" s="90">
        <v>4416</v>
      </c>
      <c r="B4432" s="110">
        <v>1.084584651955401</v>
      </c>
      <c r="C4432" s="110">
        <v>1.0603272163589694</v>
      </c>
      <c r="G4432" s="90">
        <v>4416</v>
      </c>
      <c r="H4432" s="100">
        <v>-2.2619549278709575E-2</v>
      </c>
      <c r="I4432" s="100">
        <v>-2.8838301272748845E-2</v>
      </c>
    </row>
    <row r="4433" spans="1:9">
      <c r="A4433" s="90">
        <v>4417</v>
      </c>
      <c r="B4433" s="110">
        <v>1.1151284883305337</v>
      </c>
      <c r="C4433" s="110">
        <v>1.0695515139636727</v>
      </c>
      <c r="G4433" s="90">
        <v>4417</v>
      </c>
      <c r="H4433" s="100">
        <v>-4.1730219664481392E-2</v>
      </c>
      <c r="I4433" s="100">
        <v>-2.882830929660379E-2</v>
      </c>
    </row>
    <row r="4434" spans="1:9">
      <c r="A4434" s="90">
        <v>4418</v>
      </c>
      <c r="B4434" s="110">
        <v>1.1106609966268048</v>
      </c>
      <c r="C4434" s="110">
        <v>1.0574017900766182</v>
      </c>
      <c r="G4434" s="90">
        <v>4418</v>
      </c>
      <c r="H4434" s="100">
        <v>-4.9140572823836513E-2</v>
      </c>
      <c r="I4434" s="100">
        <v>-2.8780021718391634E-2</v>
      </c>
    </row>
    <row r="4435" spans="1:9">
      <c r="A4435" s="90">
        <v>4419</v>
      </c>
      <c r="B4435" s="110">
        <v>1.1220005762277281</v>
      </c>
      <c r="C4435" s="110">
        <v>1.0586766512833952</v>
      </c>
      <c r="G4435" s="90">
        <v>4419</v>
      </c>
      <c r="H4435" s="100">
        <v>-5.809363468698709E-2</v>
      </c>
      <c r="I4435" s="100">
        <v>-2.8774313197535799E-2</v>
      </c>
    </row>
    <row r="4436" spans="1:9">
      <c r="A4436" s="90">
        <v>4420</v>
      </c>
      <c r="B4436" s="110">
        <v>1.0982159753592391</v>
      </c>
      <c r="C4436" s="110">
        <v>1.0583837280108508</v>
      </c>
      <c r="G4436" s="90">
        <v>4420</v>
      </c>
      <c r="H4436" s="100">
        <v>-3.6944063053615764E-2</v>
      </c>
      <c r="I4436" s="100">
        <v>-2.8748543503760104E-2</v>
      </c>
    </row>
    <row r="4437" spans="1:9">
      <c r="A4437" s="90">
        <v>4421</v>
      </c>
      <c r="B4437" s="110">
        <v>1.1441417159953404</v>
      </c>
      <c r="C4437" s="110">
        <v>1.0505423385080106</v>
      </c>
      <c r="G4437" s="90">
        <v>4421</v>
      </c>
      <c r="H4437" s="100">
        <v>-8.5348219216363014E-2</v>
      </c>
      <c r="I4437" s="100">
        <v>-2.8742631183780818E-2</v>
      </c>
    </row>
    <row r="4438" spans="1:9">
      <c r="A4438" s="90">
        <v>4422</v>
      </c>
      <c r="B4438" s="110">
        <v>1.0843582099171907</v>
      </c>
      <c r="C4438" s="110">
        <v>1.0430286752188975</v>
      </c>
      <c r="G4438" s="90">
        <v>4422</v>
      </c>
      <c r="H4438" s="100">
        <v>-3.8859631723574602E-2</v>
      </c>
      <c r="I4438" s="100">
        <v>-2.8724897855239358E-2</v>
      </c>
    </row>
    <row r="4439" spans="1:9">
      <c r="A4439" s="90">
        <v>4423</v>
      </c>
      <c r="B4439" s="110">
        <v>1.130972392186</v>
      </c>
      <c r="C4439" s="110">
        <v>1.0495103537803065</v>
      </c>
      <c r="G4439" s="90">
        <v>4423</v>
      </c>
      <c r="H4439" s="100">
        <v>-7.4754061073232597E-2</v>
      </c>
      <c r="I4439" s="100">
        <v>-2.8708180022429024E-2</v>
      </c>
    </row>
    <row r="4440" spans="1:9">
      <c r="A4440" s="90">
        <v>4424</v>
      </c>
      <c r="B4440" s="110">
        <v>1.0866149093210116</v>
      </c>
      <c r="C4440" s="110">
        <v>1.0461503605107836</v>
      </c>
      <c r="G4440" s="90">
        <v>4424</v>
      </c>
      <c r="H4440" s="100">
        <v>-3.7950172706769258E-2</v>
      </c>
      <c r="I4440" s="100">
        <v>-2.8705715074056757E-2</v>
      </c>
    </row>
    <row r="4441" spans="1:9">
      <c r="A4441" s="90">
        <v>4425</v>
      </c>
      <c r="B4441" s="110">
        <v>1.1255015690109902</v>
      </c>
      <c r="C4441" s="110">
        <v>1.0557205787319117</v>
      </c>
      <c r="G4441" s="90">
        <v>4425</v>
      </c>
      <c r="H4441" s="100">
        <v>-6.4005228623707486E-2</v>
      </c>
      <c r="I4441" s="100">
        <v>-2.869762673630839E-2</v>
      </c>
    </row>
    <row r="4442" spans="1:9">
      <c r="A4442" s="90">
        <v>4426</v>
      </c>
      <c r="B4442" s="110">
        <v>1.0989946061900842</v>
      </c>
      <c r="C4442" s="110">
        <v>1.0529207953471245</v>
      </c>
      <c r="G4442" s="90">
        <v>4426</v>
      </c>
      <c r="H4442" s="100">
        <v>-4.2827755255213401E-2</v>
      </c>
      <c r="I4442" s="100">
        <v>-2.8683118526608629E-2</v>
      </c>
    </row>
    <row r="4443" spans="1:9">
      <c r="A4443" s="90">
        <v>4427</v>
      </c>
      <c r="B4443" s="110">
        <v>1.0945316322884056</v>
      </c>
      <c r="C4443" s="110">
        <v>1.042175827336165</v>
      </c>
      <c r="G4443" s="90">
        <v>4427</v>
      </c>
      <c r="H4443" s="100">
        <v>-4.9015869352650621E-2</v>
      </c>
      <c r="I4443" s="100">
        <v>-2.8676026391031711E-2</v>
      </c>
    </row>
    <row r="4444" spans="1:9">
      <c r="A4444" s="90">
        <v>4428</v>
      </c>
      <c r="B4444" s="110">
        <v>1.1322993863751594</v>
      </c>
      <c r="C4444" s="110">
        <v>1.055675419858821</v>
      </c>
      <c r="G4444" s="90">
        <v>4428</v>
      </c>
      <c r="H4444" s="100">
        <v>-7.0069649930870892E-2</v>
      </c>
      <c r="I4444" s="100">
        <v>-2.8660970386097068E-2</v>
      </c>
    </row>
    <row r="4445" spans="1:9">
      <c r="A4445" s="90">
        <v>4429</v>
      </c>
      <c r="B4445" s="110">
        <v>1.0918884685328614</v>
      </c>
      <c r="C4445" s="110">
        <v>1.0583522977126945</v>
      </c>
      <c r="G4445" s="90">
        <v>4429</v>
      </c>
      <c r="H4445" s="100">
        <v>-3.1195474448798239E-2</v>
      </c>
      <c r="I4445" s="100">
        <v>-2.8645099414735604E-2</v>
      </c>
    </row>
    <row r="4446" spans="1:9">
      <c r="A4446" s="90">
        <v>4430</v>
      </c>
      <c r="B4446" s="110">
        <v>1.1141029933832691</v>
      </c>
      <c r="C4446" s="110">
        <v>1.0531491775407775</v>
      </c>
      <c r="G4446" s="90">
        <v>4430</v>
      </c>
      <c r="H4446" s="100">
        <v>-5.626469869964483E-2</v>
      </c>
      <c r="I4446" s="100">
        <v>-2.8640942017859258E-2</v>
      </c>
    </row>
    <row r="4447" spans="1:9">
      <c r="A4447" s="90">
        <v>4431</v>
      </c>
      <c r="B4447" s="110">
        <v>1.1092139533428755</v>
      </c>
      <c r="C4447" s="110">
        <v>1.0483663910790704</v>
      </c>
      <c r="G4447" s="90">
        <v>4431</v>
      </c>
      <c r="H4447" s="100">
        <v>-5.6418479718086396E-2</v>
      </c>
      <c r="I4447" s="100">
        <v>-2.8636437480182984E-2</v>
      </c>
    </row>
    <row r="4448" spans="1:9">
      <c r="A4448" s="90">
        <v>4432</v>
      </c>
      <c r="B4448" s="110">
        <v>1.115044826455547</v>
      </c>
      <c r="C4448" s="110">
        <v>1.0470136048432366</v>
      </c>
      <c r="G4448" s="90">
        <v>4432</v>
      </c>
      <c r="H4448" s="100">
        <v>-6.2952681279512784E-2</v>
      </c>
      <c r="I4448" s="100">
        <v>-2.8582417132830294E-2</v>
      </c>
    </row>
    <row r="4449" spans="1:9">
      <c r="A4449" s="90">
        <v>4433</v>
      </c>
      <c r="B4449" s="110">
        <v>1.0921204048377304</v>
      </c>
      <c r="C4449" s="110">
        <v>1.0433218417967556</v>
      </c>
      <c r="G4449" s="90">
        <v>4433</v>
      </c>
      <c r="H4449" s="100">
        <v>-4.5711430513862228E-2</v>
      </c>
      <c r="I4449" s="100">
        <v>-2.8560579640678801E-2</v>
      </c>
    </row>
    <row r="4450" spans="1:9">
      <c r="A4450" s="90">
        <v>4434</v>
      </c>
      <c r="B4450" s="110">
        <v>1.0998096797744246</v>
      </c>
      <c r="C4450" s="110">
        <v>1.0578619899548438</v>
      </c>
      <c r="G4450" s="90">
        <v>4434</v>
      </c>
      <c r="H4450" s="100">
        <v>-3.8887265797602558E-2</v>
      </c>
      <c r="I4450" s="100">
        <v>-2.8551555083113991E-2</v>
      </c>
    </row>
    <row r="4451" spans="1:9">
      <c r="A4451" s="90">
        <v>4435</v>
      </c>
      <c r="B4451" s="110">
        <v>1.0950452535270687</v>
      </c>
      <c r="C4451" s="110">
        <v>1.0453224103845364</v>
      </c>
      <c r="G4451" s="90">
        <v>4435</v>
      </c>
      <c r="H4451" s="100">
        <v>-4.6470325320519243E-2</v>
      </c>
      <c r="I4451" s="100">
        <v>-2.8532567597323123E-2</v>
      </c>
    </row>
    <row r="4452" spans="1:9">
      <c r="A4452" s="90">
        <v>4436</v>
      </c>
      <c r="B4452" s="110">
        <v>1.1119650025731083</v>
      </c>
      <c r="C4452" s="110">
        <v>1.0686788565530572</v>
      </c>
      <c r="G4452" s="90">
        <v>4436</v>
      </c>
      <c r="H4452" s="100">
        <v>-3.9705550741669038E-2</v>
      </c>
      <c r="I4452" s="100">
        <v>-2.8512266066984988E-2</v>
      </c>
    </row>
    <row r="4453" spans="1:9">
      <c r="A4453" s="90">
        <v>4437</v>
      </c>
      <c r="B4453" s="110">
        <v>1.0963004943837817</v>
      </c>
      <c r="C4453" s="110">
        <v>1.0693282132580235</v>
      </c>
      <c r="G4453" s="90">
        <v>4437</v>
      </c>
      <c r="H4453" s="100">
        <v>-2.4910711430568038E-2</v>
      </c>
      <c r="I4453" s="100">
        <v>-2.8476741725900739E-2</v>
      </c>
    </row>
    <row r="4454" spans="1:9">
      <c r="A4454" s="90">
        <v>4438</v>
      </c>
      <c r="B4454" s="110">
        <v>1.0647455613201366</v>
      </c>
      <c r="C4454" s="110">
        <v>1.0533861623340375</v>
      </c>
      <c r="G4454" s="90">
        <v>4438</v>
      </c>
      <c r="H4454" s="100">
        <v>-1.0725969271768419E-2</v>
      </c>
      <c r="I4454" s="100">
        <v>-2.846902194096328E-2</v>
      </c>
    </row>
    <row r="4455" spans="1:9">
      <c r="A4455" s="90">
        <v>4439</v>
      </c>
      <c r="B4455" s="110">
        <v>1.1385856472816773</v>
      </c>
      <c r="C4455" s="110">
        <v>1.0551946383187483</v>
      </c>
      <c r="G4455" s="90">
        <v>4439</v>
      </c>
      <c r="H4455" s="100">
        <v>-7.6061590662064402E-2</v>
      </c>
      <c r="I4455" s="100">
        <v>-2.8454839451184436E-2</v>
      </c>
    </row>
    <row r="4456" spans="1:9">
      <c r="A4456" s="90">
        <v>4440</v>
      </c>
      <c r="B4456" s="110">
        <v>1.0907354843134027</v>
      </c>
      <c r="C4456" s="110">
        <v>1.0377111099002783</v>
      </c>
      <c r="G4456" s="90">
        <v>4440</v>
      </c>
      <c r="H4456" s="100">
        <v>-4.9834793100692797E-2</v>
      </c>
      <c r="I4456" s="100">
        <v>-2.8424754276030847E-2</v>
      </c>
    </row>
    <row r="4457" spans="1:9">
      <c r="A4457" s="90">
        <v>4441</v>
      </c>
      <c r="B4457" s="110">
        <v>1.1283810570357973</v>
      </c>
      <c r="C4457" s="110">
        <v>1.038911939637946</v>
      </c>
      <c r="G4457" s="90">
        <v>4441</v>
      </c>
      <c r="H4457" s="100">
        <v>-8.2609958944788592E-2</v>
      </c>
      <c r="I4457" s="100">
        <v>-2.841322153069566E-2</v>
      </c>
    </row>
    <row r="4458" spans="1:9">
      <c r="A4458" s="90">
        <v>4442</v>
      </c>
      <c r="B4458" s="110">
        <v>1.1102376219925851</v>
      </c>
      <c r="C4458" s="110">
        <v>1.0500211261457959</v>
      </c>
      <c r="G4458" s="90">
        <v>4442</v>
      </c>
      <c r="H4458" s="100">
        <v>-5.5763782175017935E-2</v>
      </c>
      <c r="I4458" s="100">
        <v>-2.8409566755566648E-2</v>
      </c>
    </row>
    <row r="4459" spans="1:9">
      <c r="A4459" s="90">
        <v>4443</v>
      </c>
      <c r="B4459" s="110">
        <v>1.1158914002205316</v>
      </c>
      <c r="C4459" s="110">
        <v>1.0672986430527456</v>
      </c>
      <c r="G4459" s="90">
        <v>4443</v>
      </c>
      <c r="H4459" s="100">
        <v>-4.4522724039880501E-2</v>
      </c>
      <c r="I4459" s="100">
        <v>-2.8380286737821215E-2</v>
      </c>
    </row>
    <row r="4460" spans="1:9">
      <c r="A4460" s="90">
        <v>4444</v>
      </c>
      <c r="B4460" s="110">
        <v>1.1005605977434596</v>
      </c>
      <c r="C4460" s="110">
        <v>1.0526869392939113</v>
      </c>
      <c r="G4460" s="90">
        <v>4444</v>
      </c>
      <c r="H4460" s="100">
        <v>-4.4473798963261667E-2</v>
      </c>
      <c r="I4460" s="100">
        <v>-2.8368871538822442E-2</v>
      </c>
    </row>
    <row r="4461" spans="1:9">
      <c r="A4461" s="90">
        <v>4445</v>
      </c>
      <c r="B4461" s="110">
        <v>1.1190121165550337</v>
      </c>
      <c r="C4461" s="110">
        <v>1.0333199660009018</v>
      </c>
      <c r="G4461" s="90">
        <v>4445</v>
      </c>
      <c r="H4461" s="100">
        <v>-7.9669370680590934E-2</v>
      </c>
      <c r="I4461" s="100">
        <v>-2.8340634762455501E-2</v>
      </c>
    </row>
    <row r="4462" spans="1:9">
      <c r="A4462" s="90">
        <v>4446</v>
      </c>
      <c r="B4462" s="110">
        <v>1.1348563378161918</v>
      </c>
      <c r="C4462" s="110">
        <v>1.0407302974823451</v>
      </c>
      <c r="G4462" s="90">
        <v>4446</v>
      </c>
      <c r="H4462" s="100">
        <v>-8.6583392473382231E-2</v>
      </c>
      <c r="I4462" s="100">
        <v>-2.831441803111779E-2</v>
      </c>
    </row>
    <row r="4463" spans="1:9">
      <c r="A4463" s="90">
        <v>4447</v>
      </c>
      <c r="B4463" s="110">
        <v>1.0954686356623373</v>
      </c>
      <c r="C4463" s="110">
        <v>1.0631985809736819</v>
      </c>
      <c r="G4463" s="90">
        <v>4447</v>
      </c>
      <c r="H4463" s="100">
        <v>-2.9900355744781178E-2</v>
      </c>
      <c r="I4463" s="100">
        <v>-2.830975118583004E-2</v>
      </c>
    </row>
    <row r="4464" spans="1:9">
      <c r="A4464" s="90">
        <v>4448</v>
      </c>
      <c r="B4464" s="110">
        <v>1.1318434425829129</v>
      </c>
      <c r="C4464" s="110">
        <v>1.0475704007955835</v>
      </c>
      <c r="G4464" s="90">
        <v>4448</v>
      </c>
      <c r="H4464" s="100">
        <v>-7.7374089658730633E-2</v>
      </c>
      <c r="I4464" s="100">
        <v>-2.8227236992504939E-2</v>
      </c>
    </row>
    <row r="4465" spans="1:9">
      <c r="A4465" s="90">
        <v>4449</v>
      </c>
      <c r="B4465" s="110">
        <v>1.1108718263917059</v>
      </c>
      <c r="C4465" s="110">
        <v>1.0532011342026462</v>
      </c>
      <c r="G4465" s="90">
        <v>4449</v>
      </c>
      <c r="H4465" s="100">
        <v>-5.331091066745576E-2</v>
      </c>
      <c r="I4465" s="100">
        <v>-2.8210099901548352E-2</v>
      </c>
    </row>
    <row r="4466" spans="1:9">
      <c r="A4466" s="90">
        <v>4450</v>
      </c>
      <c r="B4466" s="110">
        <v>1.1269723730357146</v>
      </c>
      <c r="C4466" s="110">
        <v>1.0529103507443787</v>
      </c>
      <c r="G4466" s="90">
        <v>4450</v>
      </c>
      <c r="H4466" s="100">
        <v>-6.7976628502948902E-2</v>
      </c>
      <c r="I4466" s="100">
        <v>-2.8193353185424777E-2</v>
      </c>
    </row>
    <row r="4467" spans="1:9">
      <c r="A4467" s="90">
        <v>4451</v>
      </c>
      <c r="B4467" s="110">
        <v>1.1490487756865002</v>
      </c>
      <c r="C4467" s="110">
        <v>1.0511426898150482</v>
      </c>
      <c r="G4467" s="90">
        <v>4451</v>
      </c>
      <c r="H4467" s="100">
        <v>-8.9056600078876599E-2</v>
      </c>
      <c r="I4467" s="100">
        <v>-2.8151413900521075E-2</v>
      </c>
    </row>
    <row r="4468" spans="1:9">
      <c r="A4468" s="90">
        <v>4452</v>
      </c>
      <c r="B4468" s="110">
        <v>1.0848210007365826</v>
      </c>
      <c r="C4468" s="110">
        <v>1.053191009273541</v>
      </c>
      <c r="G4468" s="90">
        <v>4452</v>
      </c>
      <c r="H4468" s="100">
        <v>-2.9590385079494262E-2</v>
      </c>
      <c r="I4468" s="100">
        <v>-2.8146436021353995E-2</v>
      </c>
    </row>
    <row r="4469" spans="1:9">
      <c r="A4469" s="90">
        <v>4453</v>
      </c>
      <c r="B4469" s="110">
        <v>1.0984327023168547</v>
      </c>
      <c r="C4469" s="110">
        <v>1.0611616182223533</v>
      </c>
      <c r="G4469" s="90">
        <v>4453</v>
      </c>
      <c r="H4469" s="100">
        <v>-3.4520173364722614E-2</v>
      </c>
      <c r="I4469" s="100">
        <v>-2.8143877800710645E-2</v>
      </c>
    </row>
    <row r="4470" spans="1:9">
      <c r="A4470" s="90">
        <v>4454</v>
      </c>
      <c r="B4470" s="110">
        <v>1.1140590962227421</v>
      </c>
      <c r="C4470" s="110">
        <v>1.0619455607088091</v>
      </c>
      <c r="G4470" s="90">
        <v>4454</v>
      </c>
      <c r="H4470" s="100">
        <v>-4.7907528368941278E-2</v>
      </c>
      <c r="I4470" s="100">
        <v>-2.8138022842419872E-2</v>
      </c>
    </row>
    <row r="4471" spans="1:9">
      <c r="A4471" s="90">
        <v>4455</v>
      </c>
      <c r="B4471" s="110">
        <v>1.1451801093558063</v>
      </c>
      <c r="C4471" s="110">
        <v>1.0510171220257574</v>
      </c>
      <c r="G4471" s="90">
        <v>4455</v>
      </c>
      <c r="H4471" s="100">
        <v>-8.580354244526045E-2</v>
      </c>
      <c r="I4471" s="100">
        <v>-2.8130601711279665E-2</v>
      </c>
    </row>
    <row r="4472" spans="1:9">
      <c r="A4472" s="90">
        <v>4456</v>
      </c>
      <c r="B4472" s="110">
        <v>1.1391338120410703</v>
      </c>
      <c r="C4472" s="110">
        <v>1.0501978055846855</v>
      </c>
      <c r="G4472" s="90">
        <v>4456</v>
      </c>
      <c r="H4472" s="100">
        <v>-8.1289626904289397E-2</v>
      </c>
      <c r="I4472" s="100">
        <v>-2.8100533867796509E-2</v>
      </c>
    </row>
    <row r="4473" spans="1:9">
      <c r="A4473" s="90">
        <v>4457</v>
      </c>
      <c r="B4473" s="110">
        <v>1.0922229470105413</v>
      </c>
      <c r="C4473" s="110">
        <v>1.0571976119395272</v>
      </c>
      <c r="G4473" s="90">
        <v>4457</v>
      </c>
      <c r="H4473" s="100">
        <v>-3.2593375521738549E-2</v>
      </c>
      <c r="I4473" s="100">
        <v>-2.8068366360299163E-2</v>
      </c>
    </row>
    <row r="4474" spans="1:9">
      <c r="A4474" s="90">
        <v>4458</v>
      </c>
      <c r="B4474" s="110">
        <v>1.0975524273598549</v>
      </c>
      <c r="C4474" s="110">
        <v>1.0493466313291187</v>
      </c>
      <c r="G4474" s="90">
        <v>4458</v>
      </c>
      <c r="H4474" s="100">
        <v>-4.4914920019353204E-2</v>
      </c>
      <c r="I4474" s="100">
        <v>-2.8047791126286362E-2</v>
      </c>
    </row>
    <row r="4475" spans="1:9">
      <c r="A4475" s="90">
        <v>4459</v>
      </c>
      <c r="B4475" s="110">
        <v>1.1130625826006006</v>
      </c>
      <c r="C4475" s="110">
        <v>1.0394066120058272</v>
      </c>
      <c r="G4475" s="90">
        <v>4459</v>
      </c>
      <c r="H4475" s="100">
        <v>-6.8465314524391807E-2</v>
      </c>
      <c r="I4475" s="100">
        <v>-2.8046454086877778E-2</v>
      </c>
    </row>
    <row r="4476" spans="1:9">
      <c r="A4476" s="90">
        <v>4460</v>
      </c>
      <c r="B4476" s="110">
        <v>1.1274849475469682</v>
      </c>
      <c r="C4476" s="110">
        <v>1.0661423012999227</v>
      </c>
      <c r="G4476" s="90">
        <v>4460</v>
      </c>
      <c r="H4476" s="100">
        <v>-5.5942634279617341E-2</v>
      </c>
      <c r="I4476" s="100">
        <v>-2.8038169852646573E-2</v>
      </c>
    </row>
    <row r="4477" spans="1:9">
      <c r="A4477" s="90">
        <v>4461</v>
      </c>
      <c r="B4477" s="110">
        <v>1.0912751900077298</v>
      </c>
      <c r="C4477" s="110">
        <v>1.0563263832701242</v>
      </c>
      <c r="G4477" s="90">
        <v>4461</v>
      </c>
      <c r="H4477" s="100">
        <v>-3.2549698935421402E-2</v>
      </c>
      <c r="I4477" s="100">
        <v>-2.8037285292258608E-2</v>
      </c>
    </row>
    <row r="4478" spans="1:9">
      <c r="A4478" s="90">
        <v>4462</v>
      </c>
      <c r="B4478" s="110">
        <v>1.0814358114115561</v>
      </c>
      <c r="C4478" s="110">
        <v>1.0438415933286782</v>
      </c>
      <c r="G4478" s="90">
        <v>4462</v>
      </c>
      <c r="H4478" s="100">
        <v>-3.5381865783864382E-2</v>
      </c>
      <c r="I4478" s="100">
        <v>-2.8034710520949732E-2</v>
      </c>
    </row>
    <row r="4479" spans="1:9">
      <c r="A4479" s="90">
        <v>4463</v>
      </c>
      <c r="B4479" s="110">
        <v>1.142551846092809</v>
      </c>
      <c r="C4479" s="110">
        <v>1.0529503628585994</v>
      </c>
      <c r="G4479" s="90">
        <v>4463</v>
      </c>
      <c r="H4479" s="100">
        <v>-8.1668129013893767E-2</v>
      </c>
      <c r="I4479" s="100">
        <v>-2.8034462598194577E-2</v>
      </c>
    </row>
    <row r="4480" spans="1:9">
      <c r="A4480" s="90">
        <v>4464</v>
      </c>
      <c r="B4480" s="110">
        <v>1.1125976290169253</v>
      </c>
      <c r="C4480" s="110">
        <v>1.0655230740001269</v>
      </c>
      <c r="G4480" s="90">
        <v>4464</v>
      </c>
      <c r="H4480" s="100">
        <v>-4.3231659744651763E-2</v>
      </c>
      <c r="I4480" s="100">
        <v>-2.8024187815645942E-2</v>
      </c>
    </row>
    <row r="4481" spans="1:9">
      <c r="A4481" s="90">
        <v>4465</v>
      </c>
      <c r="B4481" s="110">
        <v>1.1453581489813316</v>
      </c>
      <c r="C4481" s="110">
        <v>1.0627916730067097</v>
      </c>
      <c r="G4481" s="90">
        <v>4465</v>
      </c>
      <c r="H4481" s="100">
        <v>-7.4818282051662022E-2</v>
      </c>
      <c r="I4481" s="100">
        <v>-2.7991466173683026E-2</v>
      </c>
    </row>
    <row r="4482" spans="1:9">
      <c r="A4482" s="90">
        <v>4466</v>
      </c>
      <c r="B4482" s="110">
        <v>1.0971877506966554</v>
      </c>
      <c r="C4482" s="110">
        <v>1.0632461880019941</v>
      </c>
      <c r="G4482" s="90">
        <v>4466</v>
      </c>
      <c r="H4482" s="100">
        <v>-3.1423645957744772E-2</v>
      </c>
      <c r="I4482" s="100">
        <v>-2.7983452903596585E-2</v>
      </c>
    </row>
    <row r="4483" spans="1:9">
      <c r="A4483" s="90">
        <v>4467</v>
      </c>
      <c r="B4483" s="110">
        <v>1.1372697303580654</v>
      </c>
      <c r="C4483" s="110">
        <v>1.045245710184018</v>
      </c>
      <c r="G4483" s="90">
        <v>4467</v>
      </c>
      <c r="H4483" s="100">
        <v>-8.4378429359321411E-2</v>
      </c>
      <c r="I4483" s="100">
        <v>-2.7982345453935114E-2</v>
      </c>
    </row>
    <row r="4484" spans="1:9">
      <c r="A4484" s="90">
        <v>4468</v>
      </c>
      <c r="B4484" s="110">
        <v>1.1225238256893335</v>
      </c>
      <c r="C4484" s="110">
        <v>1.0409257271321324</v>
      </c>
      <c r="G4484" s="90">
        <v>4468</v>
      </c>
      <c r="H4484" s="100">
        <v>-7.5469126495596908E-2</v>
      </c>
      <c r="I4484" s="100">
        <v>-2.7974530742620775E-2</v>
      </c>
    </row>
    <row r="4485" spans="1:9">
      <c r="A4485" s="90">
        <v>4469</v>
      </c>
      <c r="B4485" s="110">
        <v>1.1175483283218772</v>
      </c>
      <c r="C4485" s="110">
        <v>1.056668494393662</v>
      </c>
      <c r="G4485" s="90">
        <v>4469</v>
      </c>
      <c r="H4485" s="100">
        <v>-5.601626446126802E-2</v>
      </c>
      <c r="I4485" s="100">
        <v>-2.7973807440653579E-2</v>
      </c>
    </row>
    <row r="4486" spans="1:9">
      <c r="A4486" s="90">
        <v>4470</v>
      </c>
      <c r="B4486" s="110">
        <v>1.1233528480202331</v>
      </c>
      <c r="C4486" s="110">
        <v>1.0439180382777282</v>
      </c>
      <c r="G4486" s="90">
        <v>4470</v>
      </c>
      <c r="H4486" s="100">
        <v>-7.3336848688335662E-2</v>
      </c>
      <c r="I4486" s="100">
        <v>-2.7972322082318122E-2</v>
      </c>
    </row>
    <row r="4487" spans="1:9">
      <c r="A4487" s="90">
        <v>4471</v>
      </c>
      <c r="B4487" s="110">
        <v>1.0755775329082451</v>
      </c>
      <c r="C4487" s="110">
        <v>1.0704565560319304</v>
      </c>
      <c r="G4487" s="90">
        <v>4471</v>
      </c>
      <c r="H4487" s="100">
        <v>-4.7725118838399345E-3</v>
      </c>
      <c r="I4487" s="100">
        <v>-2.7948248352527589E-2</v>
      </c>
    </row>
    <row r="4488" spans="1:9">
      <c r="A4488" s="90">
        <v>4472</v>
      </c>
      <c r="B4488" s="110">
        <v>1.0886940454792549</v>
      </c>
      <c r="C4488" s="110">
        <v>1.0405284508306913</v>
      </c>
      <c r="G4488" s="90">
        <v>4472</v>
      </c>
      <c r="H4488" s="100">
        <v>-4.5250144604026057E-2</v>
      </c>
      <c r="I4488" s="100">
        <v>-2.7924124484381346E-2</v>
      </c>
    </row>
    <row r="4489" spans="1:9">
      <c r="A4489" s="90">
        <v>4473</v>
      </c>
      <c r="B4489" s="110">
        <v>1.1420382483922717</v>
      </c>
      <c r="C4489" s="110">
        <v>1.0291259824469055</v>
      </c>
      <c r="G4489" s="90">
        <v>4473</v>
      </c>
      <c r="H4489" s="100">
        <v>-0.10410472185661565</v>
      </c>
      <c r="I4489" s="100">
        <v>-2.7911499978994336E-2</v>
      </c>
    </row>
    <row r="4490" spans="1:9">
      <c r="A4490" s="90">
        <v>4474</v>
      </c>
      <c r="B4490" s="110">
        <v>1.1208236190255814</v>
      </c>
      <c r="C4490" s="110">
        <v>1.0417256484036124</v>
      </c>
      <c r="G4490" s="90">
        <v>4474</v>
      </c>
      <c r="H4490" s="100">
        <v>-7.31851737971837E-2</v>
      </c>
      <c r="I4490" s="100">
        <v>-2.7896941876660964E-2</v>
      </c>
    </row>
    <row r="4491" spans="1:9">
      <c r="A4491" s="90">
        <v>4475</v>
      </c>
      <c r="B4491" s="110">
        <v>1.106395859989743</v>
      </c>
      <c r="C4491" s="110">
        <v>1.0613127192513578</v>
      </c>
      <c r="G4491" s="90">
        <v>4475</v>
      </c>
      <c r="H4491" s="100">
        <v>-4.1601203177160352E-2</v>
      </c>
      <c r="I4491" s="100">
        <v>-2.7894519097307155E-2</v>
      </c>
    </row>
    <row r="4492" spans="1:9">
      <c r="A4492" s="90">
        <v>4476</v>
      </c>
      <c r="B4492" s="110">
        <v>1.1325039752333248</v>
      </c>
      <c r="C4492" s="110">
        <v>1.0506157551077617</v>
      </c>
      <c r="G4492" s="90">
        <v>4476</v>
      </c>
      <c r="H4492" s="100">
        <v>-7.5054662788188384E-2</v>
      </c>
      <c r="I4492" s="100">
        <v>-2.7884934953907176E-2</v>
      </c>
    </row>
    <row r="4493" spans="1:9">
      <c r="A4493" s="90">
        <v>4477</v>
      </c>
      <c r="B4493" s="110">
        <v>1.109376344431525</v>
      </c>
      <c r="C4493" s="110">
        <v>1.0656390277370145</v>
      </c>
      <c r="G4493" s="90">
        <v>4477</v>
      </c>
      <c r="H4493" s="100">
        <v>-4.0223360300963629E-2</v>
      </c>
      <c r="I4493" s="100">
        <v>-2.7881333203791769E-2</v>
      </c>
    </row>
    <row r="4494" spans="1:9">
      <c r="A4494" s="90">
        <v>4478</v>
      </c>
      <c r="B4494" s="110">
        <v>1.0973304850110297</v>
      </c>
      <c r="C4494" s="110">
        <v>1.0661479320763279</v>
      </c>
      <c r="G4494" s="90">
        <v>4478</v>
      </c>
      <c r="H4494" s="100">
        <v>-2.882830929660379E-2</v>
      </c>
      <c r="I4494" s="100">
        <v>-2.7874606656918152E-2</v>
      </c>
    </row>
    <row r="4495" spans="1:9">
      <c r="A4495" s="90">
        <v>4479</v>
      </c>
      <c r="B4495" s="110">
        <v>1.1464103766208451</v>
      </c>
      <c r="C4495" s="110">
        <v>1.0270428396867735</v>
      </c>
      <c r="G4495" s="90">
        <v>4479</v>
      </c>
      <c r="H4495" s="100">
        <v>-0.10995200547374345</v>
      </c>
      <c r="I4495" s="100">
        <v>-2.7803751067092368E-2</v>
      </c>
    </row>
    <row r="4496" spans="1:9">
      <c r="A4496" s="90">
        <v>4480</v>
      </c>
      <c r="B4496" s="110">
        <v>1.122165828818396</v>
      </c>
      <c r="C4496" s="110">
        <v>1.0410700782050013</v>
      </c>
      <c r="G4496" s="90">
        <v>4480</v>
      </c>
      <c r="H4496" s="100">
        <v>-7.5011488172889051E-2</v>
      </c>
      <c r="I4496" s="100">
        <v>-2.7687206403237928E-2</v>
      </c>
    </row>
    <row r="4497" spans="1:9">
      <c r="A4497" s="90">
        <v>4481</v>
      </c>
      <c r="B4497" s="110">
        <v>1.1161936677666386</v>
      </c>
      <c r="C4497" s="110">
        <v>1.0520830544189974</v>
      </c>
      <c r="G4497" s="90">
        <v>4481</v>
      </c>
      <c r="H4497" s="100">
        <v>-5.9152326061852958E-2</v>
      </c>
      <c r="I4497" s="100">
        <v>-2.7648152604301417E-2</v>
      </c>
    </row>
    <row r="4498" spans="1:9">
      <c r="A4498" s="90">
        <v>4482</v>
      </c>
      <c r="B4498" s="110">
        <v>1.0936765489428142</v>
      </c>
      <c r="C4498" s="110">
        <v>1.0827440735711074</v>
      </c>
      <c r="G4498" s="90">
        <v>4482</v>
      </c>
      <c r="H4498" s="100">
        <v>-1.0046373581783398E-2</v>
      </c>
      <c r="I4498" s="100">
        <v>-2.7625092366331715E-2</v>
      </c>
    </row>
    <row r="4499" spans="1:9">
      <c r="A4499" s="90">
        <v>4483</v>
      </c>
      <c r="B4499" s="110">
        <v>1.1031897793382193</v>
      </c>
      <c r="C4499" s="110">
        <v>1.0640545636984731</v>
      </c>
      <c r="G4499" s="90">
        <v>4483</v>
      </c>
      <c r="H4499" s="100">
        <v>-3.6119111618684183E-2</v>
      </c>
      <c r="I4499" s="100">
        <v>-2.7612256034886609E-2</v>
      </c>
    </row>
    <row r="4500" spans="1:9">
      <c r="A4500" s="90">
        <v>4484</v>
      </c>
      <c r="B4500" s="110">
        <v>1.1217676035341739</v>
      </c>
      <c r="C4500" s="110">
        <v>1.0696880612837991</v>
      </c>
      <c r="G4500" s="90">
        <v>4484</v>
      </c>
      <c r="H4500" s="100">
        <v>-4.7538584212085684E-2</v>
      </c>
      <c r="I4500" s="100">
        <v>-2.7592401192907998E-2</v>
      </c>
    </row>
    <row r="4501" spans="1:9">
      <c r="A4501" s="90">
        <v>4485</v>
      </c>
      <c r="B4501" s="110">
        <v>1.1089334243534754</v>
      </c>
      <c r="C4501" s="110">
        <v>1.0604445527427979</v>
      </c>
      <c r="G4501" s="90">
        <v>4485</v>
      </c>
      <c r="H4501" s="100">
        <v>-4.4710464838456601E-2</v>
      </c>
      <c r="I4501" s="100">
        <v>-2.7571876056022317E-2</v>
      </c>
    </row>
    <row r="4502" spans="1:9">
      <c r="A4502" s="90">
        <v>4486</v>
      </c>
      <c r="B4502" s="110">
        <v>1.1091598055426006</v>
      </c>
      <c r="C4502" s="110">
        <v>1.060712364561194</v>
      </c>
      <c r="G4502" s="90">
        <v>4486</v>
      </c>
      <c r="H4502" s="100">
        <v>-4.466207231930374E-2</v>
      </c>
      <c r="I4502" s="100">
        <v>-2.7568535092233084E-2</v>
      </c>
    </row>
    <row r="4503" spans="1:9">
      <c r="A4503" s="90">
        <v>4487</v>
      </c>
      <c r="B4503" s="110">
        <v>1.0870390352918173</v>
      </c>
      <c r="C4503" s="110">
        <v>1.0715488075297981</v>
      </c>
      <c r="G4503" s="90">
        <v>4487</v>
      </c>
      <c r="H4503" s="100">
        <v>-1.435243297445477E-2</v>
      </c>
      <c r="I4503" s="100">
        <v>-2.7566148029724402E-2</v>
      </c>
    </row>
    <row r="4504" spans="1:9">
      <c r="A4504" s="90">
        <v>4488</v>
      </c>
      <c r="B4504" s="110">
        <v>1.078044705401402</v>
      </c>
      <c r="C4504" s="110">
        <v>1.0475622767463619</v>
      </c>
      <c r="G4504" s="90">
        <v>4488</v>
      </c>
      <c r="H4504" s="100">
        <v>-2.8683118526608629E-2</v>
      </c>
      <c r="I4504" s="100">
        <v>-2.7547305805667839E-2</v>
      </c>
    </row>
    <row r="4505" spans="1:9">
      <c r="A4505" s="90">
        <v>4489</v>
      </c>
      <c r="B4505" s="110">
        <v>1.1118836214422931</v>
      </c>
      <c r="C4505" s="110">
        <v>1.0573271779808839</v>
      </c>
      <c r="G4505" s="90">
        <v>4489</v>
      </c>
      <c r="H4505" s="100">
        <v>-5.031133986932735E-2</v>
      </c>
      <c r="I4505" s="100">
        <v>-2.7492462943682822E-2</v>
      </c>
    </row>
    <row r="4506" spans="1:9">
      <c r="A4506" s="90">
        <v>4490</v>
      </c>
      <c r="B4506" s="110">
        <v>1.1122377748903862</v>
      </c>
      <c r="C4506" s="110">
        <v>1.0576986265232466</v>
      </c>
      <c r="G4506" s="90">
        <v>4490</v>
      </c>
      <c r="H4506" s="100">
        <v>-5.027855851044094E-2</v>
      </c>
      <c r="I4506" s="100">
        <v>-2.7474343612900409E-2</v>
      </c>
    </row>
    <row r="4507" spans="1:9">
      <c r="A4507" s="90">
        <v>4491</v>
      </c>
      <c r="B4507" s="110">
        <v>1.128504591860416</v>
      </c>
      <c r="C4507" s="110">
        <v>1.0523792692374212</v>
      </c>
      <c r="G4507" s="90">
        <v>4491</v>
      </c>
      <c r="H4507" s="100">
        <v>-6.9839814829934913E-2</v>
      </c>
      <c r="I4507" s="100">
        <v>-2.7462088124062842E-2</v>
      </c>
    </row>
    <row r="4508" spans="1:9">
      <c r="A4508" s="90">
        <v>4492</v>
      </c>
      <c r="B4508" s="110">
        <v>1.1045658959512283</v>
      </c>
      <c r="C4508" s="110">
        <v>1.0735633847053807</v>
      </c>
      <c r="G4508" s="90">
        <v>4492</v>
      </c>
      <c r="H4508" s="100">
        <v>-2.846902194096328E-2</v>
      </c>
      <c r="I4508" s="100">
        <v>-2.7400855095629919E-2</v>
      </c>
    </row>
    <row r="4509" spans="1:9">
      <c r="A4509" s="90">
        <v>4493</v>
      </c>
      <c r="B4509" s="110">
        <v>1.0729885627464089</v>
      </c>
      <c r="C4509" s="110">
        <v>1.0591923594656432</v>
      </c>
      <c r="G4509" s="90">
        <v>4493</v>
      </c>
      <c r="H4509" s="100">
        <v>-1.2941111775972647E-2</v>
      </c>
      <c r="I4509" s="100">
        <v>-2.7368451323471439E-2</v>
      </c>
    </row>
    <row r="4510" spans="1:9">
      <c r="A4510" s="90">
        <v>4494</v>
      </c>
      <c r="B4510" s="110">
        <v>1.1298020821877235</v>
      </c>
      <c r="C4510" s="110">
        <v>1.068265554598828</v>
      </c>
      <c r="G4510" s="90">
        <v>4494</v>
      </c>
      <c r="H4510" s="100">
        <v>-5.6006112618849295E-2</v>
      </c>
      <c r="I4510" s="100">
        <v>-2.7345307598675733E-2</v>
      </c>
    </row>
    <row r="4511" spans="1:9">
      <c r="A4511" s="90">
        <v>4495</v>
      </c>
      <c r="B4511" s="110">
        <v>1.0954809415595708</v>
      </c>
      <c r="C4511" s="110">
        <v>1.0733436427689202</v>
      </c>
      <c r="G4511" s="90">
        <v>4495</v>
      </c>
      <c r="H4511" s="100">
        <v>-2.0414806971182194E-2</v>
      </c>
      <c r="I4511" s="100">
        <v>-2.7333758560593637E-2</v>
      </c>
    </row>
    <row r="4512" spans="1:9">
      <c r="A4512" s="90">
        <v>4496</v>
      </c>
      <c r="B4512" s="110">
        <v>1.1279202136421453</v>
      </c>
      <c r="C4512" s="110">
        <v>1.073828530062519</v>
      </c>
      <c r="G4512" s="90">
        <v>4496</v>
      </c>
      <c r="H4512" s="100">
        <v>-4.9145090082332941E-2</v>
      </c>
      <c r="I4512" s="100">
        <v>-2.733341712555647E-2</v>
      </c>
    </row>
    <row r="4513" spans="1:9">
      <c r="A4513" s="90">
        <v>4497</v>
      </c>
      <c r="B4513" s="110">
        <v>1.0984460141540475</v>
      </c>
      <c r="C4513" s="110">
        <v>1.0488596168463136</v>
      </c>
      <c r="G4513" s="90">
        <v>4497</v>
      </c>
      <c r="H4513" s="100">
        <v>-4.619297181305284E-2</v>
      </c>
      <c r="I4513" s="100">
        <v>-2.732969965320069E-2</v>
      </c>
    </row>
    <row r="4514" spans="1:9">
      <c r="A4514" s="90">
        <v>4498</v>
      </c>
      <c r="B4514" s="110">
        <v>1.128194199390665</v>
      </c>
      <c r="C4514" s="110">
        <v>1.0485657065263383</v>
      </c>
      <c r="G4514" s="90">
        <v>4498</v>
      </c>
      <c r="H4514" s="100">
        <v>-7.3195064272976659E-2</v>
      </c>
      <c r="I4514" s="100">
        <v>-2.7327866041481609E-2</v>
      </c>
    </row>
    <row r="4515" spans="1:9">
      <c r="A4515" s="90">
        <v>4499</v>
      </c>
      <c r="B4515" s="110">
        <v>1.145379847131873</v>
      </c>
      <c r="C4515" s="110">
        <v>1.0637571328173401</v>
      </c>
      <c r="G4515" s="90">
        <v>4499</v>
      </c>
      <c r="H4515" s="100">
        <v>-7.3929219977065516E-2</v>
      </c>
      <c r="I4515" s="100">
        <v>-2.7305033446739742E-2</v>
      </c>
    </row>
    <row r="4516" spans="1:9">
      <c r="A4516" s="90">
        <v>4500</v>
      </c>
      <c r="B4516" s="110">
        <v>1.09800066063565</v>
      </c>
      <c r="C4516" s="110">
        <v>1.0673194411092453</v>
      </c>
      <c r="G4516" s="90">
        <v>4500</v>
      </c>
      <c r="H4516" s="100">
        <v>-2.8340634762455501E-2</v>
      </c>
      <c r="I4516" s="100">
        <v>-2.7292322657995288E-2</v>
      </c>
    </row>
    <row r="4517" spans="1:9">
      <c r="A4517" s="90">
        <v>4501</v>
      </c>
      <c r="B4517" s="110">
        <v>1.1235151234214584</v>
      </c>
      <c r="C4517" s="110">
        <v>1.0574496316379265</v>
      </c>
      <c r="G4517" s="90">
        <v>4501</v>
      </c>
      <c r="H4517" s="100">
        <v>-6.0602272394769813E-2</v>
      </c>
      <c r="I4517" s="100">
        <v>-2.7278048945772272E-2</v>
      </c>
    </row>
    <row r="4518" spans="1:9">
      <c r="A4518" s="90">
        <v>4502</v>
      </c>
      <c r="B4518" s="110">
        <v>1.1156244525097561</v>
      </c>
      <c r="C4518" s="110">
        <v>1.0511145803505617</v>
      </c>
      <c r="G4518" s="90">
        <v>4502</v>
      </c>
      <c r="H4518" s="100">
        <v>-5.9563188971136181E-2</v>
      </c>
      <c r="I4518" s="100">
        <v>-2.7275122708901381E-2</v>
      </c>
    </row>
    <row r="4519" spans="1:9">
      <c r="A4519" s="90">
        <v>4503</v>
      </c>
      <c r="B4519" s="110">
        <v>1.1351791903433501</v>
      </c>
      <c r="C4519" s="110">
        <v>1.042395424753829</v>
      </c>
      <c r="G4519" s="90">
        <v>4503</v>
      </c>
      <c r="H4519" s="100">
        <v>-8.5269157754103889E-2</v>
      </c>
      <c r="I4519" s="100">
        <v>-2.7233923390569303E-2</v>
      </c>
    </row>
    <row r="4520" spans="1:9">
      <c r="A4520" s="90">
        <v>4504</v>
      </c>
      <c r="B4520" s="110">
        <v>1.1349375264342285</v>
      </c>
      <c r="C4520" s="110">
        <v>1.0735572397204214</v>
      </c>
      <c r="G4520" s="90">
        <v>4504</v>
      </c>
      <c r="H4520" s="100">
        <v>-5.5599949061561668E-2</v>
      </c>
      <c r="I4520" s="100">
        <v>-2.7213841304988388E-2</v>
      </c>
    </row>
    <row r="4521" spans="1:9">
      <c r="A4521" s="90">
        <v>4505</v>
      </c>
      <c r="B4521" s="110">
        <v>1.1074158892170338</v>
      </c>
      <c r="C4521" s="110">
        <v>1.063126320445368</v>
      </c>
      <c r="G4521" s="90">
        <v>4505</v>
      </c>
      <c r="H4521" s="100">
        <v>-4.081534731345858E-2</v>
      </c>
      <c r="I4521" s="100">
        <v>-2.7144750265359171E-2</v>
      </c>
    </row>
    <row r="4522" spans="1:9">
      <c r="A4522" s="90">
        <v>4506</v>
      </c>
      <c r="B4522" s="110">
        <v>1.0998260375760402</v>
      </c>
      <c r="C4522" s="110">
        <v>1.0360465184537802</v>
      </c>
      <c r="G4522" s="90">
        <v>4506</v>
      </c>
      <c r="H4522" s="100">
        <v>-5.9739974827879364E-2</v>
      </c>
      <c r="I4522" s="100">
        <v>-2.7138507839536623E-2</v>
      </c>
    </row>
    <row r="4523" spans="1:9">
      <c r="A4523" s="90">
        <v>4507</v>
      </c>
      <c r="B4523" s="110">
        <v>1.1247873082814726</v>
      </c>
      <c r="C4523" s="110">
        <v>1.0662937960048642</v>
      </c>
      <c r="G4523" s="90">
        <v>4507</v>
      </c>
      <c r="H4523" s="100">
        <v>-5.3405064697453361E-2</v>
      </c>
      <c r="I4523" s="100">
        <v>-2.7127999336198954E-2</v>
      </c>
    </row>
    <row r="4524" spans="1:9">
      <c r="A4524" s="90">
        <v>4508</v>
      </c>
      <c r="B4524" s="110">
        <v>1.1199142343488127</v>
      </c>
      <c r="C4524" s="110">
        <v>1.049887301587531</v>
      </c>
      <c r="G4524" s="90">
        <v>4508</v>
      </c>
      <c r="H4524" s="100">
        <v>-6.4569279313040046E-2</v>
      </c>
      <c r="I4524" s="100">
        <v>-2.7122127325760161E-2</v>
      </c>
    </row>
    <row r="4525" spans="1:9">
      <c r="A4525" s="90">
        <v>4509</v>
      </c>
      <c r="B4525" s="110">
        <v>1.1193820648751696</v>
      </c>
      <c r="C4525" s="110">
        <v>1.0624118393719781</v>
      </c>
      <c r="G4525" s="90">
        <v>4509</v>
      </c>
      <c r="H4525" s="100">
        <v>-5.2235161594076207E-2</v>
      </c>
      <c r="I4525" s="100">
        <v>-2.7098957736379194E-2</v>
      </c>
    </row>
    <row r="4526" spans="1:9">
      <c r="A4526" s="90">
        <v>4510</v>
      </c>
      <c r="B4526" s="110">
        <v>1.1288601606752011</v>
      </c>
      <c r="C4526" s="110">
        <v>1.0645393279592816</v>
      </c>
      <c r="G4526" s="90">
        <v>4510</v>
      </c>
      <c r="H4526" s="100">
        <v>-5.8666266594200711E-2</v>
      </c>
      <c r="I4526" s="100">
        <v>-2.703296470589845E-2</v>
      </c>
    </row>
    <row r="4527" spans="1:9">
      <c r="A4527" s="90">
        <v>4511</v>
      </c>
      <c r="B4527" s="110">
        <v>1.1080146761836591</v>
      </c>
      <c r="C4527" s="110">
        <v>1.0538794501292017</v>
      </c>
      <c r="G4527" s="90">
        <v>4511</v>
      </c>
      <c r="H4527" s="100">
        <v>-5.0091764003949421E-2</v>
      </c>
      <c r="I4527" s="100">
        <v>-2.6990896152585816E-2</v>
      </c>
    </row>
    <row r="4528" spans="1:9">
      <c r="A4528" s="90">
        <v>4512</v>
      </c>
      <c r="B4528" s="110">
        <v>1.0901473618804229</v>
      </c>
      <c r="C4528" s="110">
        <v>1.0736004138171646</v>
      </c>
      <c r="G4528" s="90">
        <v>4512</v>
      </c>
      <c r="H4528" s="100">
        <v>-1.5295008805439346E-2</v>
      </c>
      <c r="I4528" s="100">
        <v>-2.6955259516022387E-2</v>
      </c>
    </row>
    <row r="4529" spans="1:9">
      <c r="A4529" s="90">
        <v>4513</v>
      </c>
      <c r="B4529" s="110">
        <v>1.1227400462962771</v>
      </c>
      <c r="C4529" s="110">
        <v>1.0389091702069539</v>
      </c>
      <c r="G4529" s="90">
        <v>4513</v>
      </c>
      <c r="H4529" s="100">
        <v>-7.7600879580671439E-2</v>
      </c>
      <c r="I4529" s="100">
        <v>-2.6900344595463796E-2</v>
      </c>
    </row>
    <row r="4530" spans="1:9">
      <c r="A4530" s="90">
        <v>4514</v>
      </c>
      <c r="B4530" s="110">
        <v>1.1367022413668006</v>
      </c>
      <c r="C4530" s="110">
        <v>1.0560833820092894</v>
      </c>
      <c r="G4530" s="90">
        <v>4514</v>
      </c>
      <c r="H4530" s="100">
        <v>-7.3564157124765966E-2</v>
      </c>
      <c r="I4530" s="100">
        <v>-2.689962284000684E-2</v>
      </c>
    </row>
    <row r="4531" spans="1:9">
      <c r="A4531" s="90">
        <v>4515</v>
      </c>
      <c r="B4531" s="110">
        <v>1.1402002413735584</v>
      </c>
      <c r="C4531" s="110">
        <v>1.0395243587421816</v>
      </c>
      <c r="G4531" s="90">
        <v>4515</v>
      </c>
      <c r="H4531" s="100">
        <v>-9.2440636134583393E-2</v>
      </c>
      <c r="I4531" s="100">
        <v>-2.6873114640034054E-2</v>
      </c>
    </row>
    <row r="4532" spans="1:9">
      <c r="A4532" s="90">
        <v>4516</v>
      </c>
      <c r="B4532" s="110">
        <v>1.1031162060075153</v>
      </c>
      <c r="C4532" s="110">
        <v>1.0344592945337359</v>
      </c>
      <c r="G4532" s="90">
        <v>4516</v>
      </c>
      <c r="H4532" s="100">
        <v>-6.4260219748824482E-2</v>
      </c>
      <c r="I4532" s="100">
        <v>-2.686237267811719E-2</v>
      </c>
    </row>
    <row r="4533" spans="1:9">
      <c r="A4533" s="90">
        <v>4517</v>
      </c>
      <c r="B4533" s="110">
        <v>1.1027060155999846</v>
      </c>
      <c r="C4533" s="110">
        <v>1.0745476467164565</v>
      </c>
      <c r="G4533" s="90">
        <v>4517</v>
      </c>
      <c r="H4533" s="100">
        <v>-2.5867393835544188E-2</v>
      </c>
      <c r="I4533" s="100">
        <v>-2.683389314873735E-2</v>
      </c>
    </row>
    <row r="4534" spans="1:9">
      <c r="A4534" s="90">
        <v>4518</v>
      </c>
      <c r="B4534" s="110">
        <v>1.1155176006999692</v>
      </c>
      <c r="C4534" s="110">
        <v>1.0623929645175629</v>
      </c>
      <c r="G4534" s="90">
        <v>4518</v>
      </c>
      <c r="H4534" s="100">
        <v>-4.8794635607333658E-2</v>
      </c>
      <c r="I4534" s="100">
        <v>-2.6768826977114107E-2</v>
      </c>
    </row>
    <row r="4535" spans="1:9">
      <c r="A4535" s="90">
        <v>4519</v>
      </c>
      <c r="B4535" s="110">
        <v>1.1121025205379855</v>
      </c>
      <c r="C4535" s="110">
        <v>1.0273741822356035</v>
      </c>
      <c r="G4535" s="90">
        <v>4519</v>
      </c>
      <c r="H4535" s="100">
        <v>-7.9246176795503942E-2</v>
      </c>
      <c r="I4535" s="100">
        <v>-2.676864446146926E-2</v>
      </c>
    </row>
    <row r="4536" spans="1:9">
      <c r="A4536" s="90">
        <v>4520</v>
      </c>
      <c r="B4536" s="110">
        <v>1.1062470839055034</v>
      </c>
      <c r="C4536" s="110">
        <v>1.0685260472233209</v>
      </c>
      <c r="G4536" s="90">
        <v>4520</v>
      </c>
      <c r="H4536" s="100">
        <v>-3.4693108465708854E-2</v>
      </c>
      <c r="I4536" s="100">
        <v>-2.6730474946461084E-2</v>
      </c>
    </row>
    <row r="4537" spans="1:9">
      <c r="A4537" s="90">
        <v>4521</v>
      </c>
      <c r="B4537" s="110">
        <v>1.100826081976255</v>
      </c>
      <c r="C4537" s="110">
        <v>1.0572612356837745</v>
      </c>
      <c r="G4537" s="90">
        <v>4521</v>
      </c>
      <c r="H4537" s="100">
        <v>-4.0379056985586928E-2</v>
      </c>
      <c r="I4537" s="100">
        <v>-2.6720888054907091E-2</v>
      </c>
    </row>
    <row r="4538" spans="1:9">
      <c r="A4538" s="90">
        <v>4522</v>
      </c>
      <c r="B4538" s="110">
        <v>1.1259096526969314</v>
      </c>
      <c r="C4538" s="110">
        <v>1.0360890446261515</v>
      </c>
      <c r="G4538" s="90">
        <v>4522</v>
      </c>
      <c r="H4538" s="100">
        <v>-8.3138198551484646E-2</v>
      </c>
      <c r="I4538" s="100">
        <v>-2.6678353240903736E-2</v>
      </c>
    </row>
    <row r="4539" spans="1:9">
      <c r="A4539" s="90">
        <v>4523</v>
      </c>
      <c r="B4539" s="110">
        <v>1.0699887170409919</v>
      </c>
      <c r="C4539" s="110">
        <v>1.0564627540339095</v>
      </c>
      <c r="G4539" s="90">
        <v>4523</v>
      </c>
      <c r="H4539" s="100">
        <v>-1.2721800253116757E-2</v>
      </c>
      <c r="I4539" s="100">
        <v>-2.6641999869420886E-2</v>
      </c>
    </row>
    <row r="4540" spans="1:9">
      <c r="A4540" s="90">
        <v>4524</v>
      </c>
      <c r="B4540" s="110">
        <v>1.0998333716106665</v>
      </c>
      <c r="C4540" s="110">
        <v>1.0352410472559084</v>
      </c>
      <c r="G4540" s="90">
        <v>4524</v>
      </c>
      <c r="H4540" s="100">
        <v>-6.0524392475356854E-2</v>
      </c>
      <c r="I4540" s="100">
        <v>-2.6641367810108174E-2</v>
      </c>
    </row>
    <row r="4541" spans="1:9">
      <c r="A4541" s="90">
        <v>4525</v>
      </c>
      <c r="B4541" s="110">
        <v>1.1380034018943084</v>
      </c>
      <c r="C4541" s="110">
        <v>1.0647330594216862</v>
      </c>
      <c r="G4541" s="90">
        <v>4525</v>
      </c>
      <c r="H4541" s="100">
        <v>-6.6551205748501638E-2</v>
      </c>
      <c r="I4541" s="100">
        <v>-2.6633081576452982E-2</v>
      </c>
    </row>
    <row r="4542" spans="1:9">
      <c r="A4542" s="90">
        <v>4526</v>
      </c>
      <c r="B4542" s="110">
        <v>1.109063823480122</v>
      </c>
      <c r="C4542" s="110">
        <v>1.0536746564399235</v>
      </c>
      <c r="G4542" s="90">
        <v>4526</v>
      </c>
      <c r="H4542" s="100">
        <v>-5.1232529825514905E-2</v>
      </c>
      <c r="I4542" s="100">
        <v>-2.6559326899920528E-2</v>
      </c>
    </row>
    <row r="4543" spans="1:9">
      <c r="A4543" s="90">
        <v>4527</v>
      </c>
      <c r="B4543" s="110">
        <v>1.1182819101933736</v>
      </c>
      <c r="C4543" s="110">
        <v>1.0379907750685811</v>
      </c>
      <c r="G4543" s="90">
        <v>4527</v>
      </c>
      <c r="H4543" s="100">
        <v>-7.4506601267962602E-2</v>
      </c>
      <c r="I4543" s="100">
        <v>-2.6527843477529622E-2</v>
      </c>
    </row>
    <row r="4544" spans="1:9">
      <c r="A4544" s="90">
        <v>4528</v>
      </c>
      <c r="B4544" s="110">
        <v>1.1319945049697633</v>
      </c>
      <c r="C4544" s="110">
        <v>1.0589033065560927</v>
      </c>
      <c r="G4544" s="90">
        <v>4528</v>
      </c>
      <c r="H4544" s="100">
        <v>-6.6747369419810923E-2</v>
      </c>
      <c r="I4544" s="100">
        <v>-2.6521775787228898E-2</v>
      </c>
    </row>
    <row r="4545" spans="1:9">
      <c r="A4545" s="90">
        <v>4529</v>
      </c>
      <c r="B4545" s="110">
        <v>1.1081462807131497</v>
      </c>
      <c r="C4545" s="110">
        <v>1.0579832839814511</v>
      </c>
      <c r="G4545" s="90">
        <v>4529</v>
      </c>
      <c r="H4545" s="100">
        <v>-4.6324068243369543E-2</v>
      </c>
      <c r="I4545" s="100">
        <v>-2.6514018701764768E-2</v>
      </c>
    </row>
    <row r="4546" spans="1:9">
      <c r="A4546" s="90">
        <v>4530</v>
      </c>
      <c r="B4546" s="110">
        <v>1.1030206554635247</v>
      </c>
      <c r="C4546" s="110">
        <v>1.0585615410477049</v>
      </c>
      <c r="G4546" s="90">
        <v>4530</v>
      </c>
      <c r="H4546" s="100">
        <v>-4.1141516949238184E-2</v>
      </c>
      <c r="I4546" s="100">
        <v>-2.6511918275974371E-2</v>
      </c>
    </row>
    <row r="4547" spans="1:9">
      <c r="A4547" s="90">
        <v>4531</v>
      </c>
      <c r="B4547" s="110">
        <v>1.0820517900207334</v>
      </c>
      <c r="C4547" s="110">
        <v>1.0621231356590553</v>
      </c>
      <c r="G4547" s="90">
        <v>4531</v>
      </c>
      <c r="H4547" s="100">
        <v>-1.8589181315968144E-2</v>
      </c>
      <c r="I4547" s="100">
        <v>-2.6484860979297899E-2</v>
      </c>
    </row>
    <row r="4548" spans="1:9">
      <c r="A4548" s="90">
        <v>4532</v>
      </c>
      <c r="B4548" s="110">
        <v>1.1191303690841945</v>
      </c>
      <c r="C4548" s="110">
        <v>1.0509244283990815</v>
      </c>
      <c r="G4548" s="90">
        <v>4532</v>
      </c>
      <c r="H4548" s="100">
        <v>-6.288174269719439E-2</v>
      </c>
      <c r="I4548" s="100">
        <v>-2.6467911788710691E-2</v>
      </c>
    </row>
    <row r="4549" spans="1:9">
      <c r="A4549" s="90">
        <v>4533</v>
      </c>
      <c r="B4549" s="110">
        <v>1.0821470226964482</v>
      </c>
      <c r="C4549" s="110">
        <v>1.0492199052191031</v>
      </c>
      <c r="G4549" s="90">
        <v>4533</v>
      </c>
      <c r="H4549" s="100">
        <v>-3.0900111052309234E-2</v>
      </c>
      <c r="I4549" s="100">
        <v>-2.6434632638609845E-2</v>
      </c>
    </row>
    <row r="4550" spans="1:9">
      <c r="A4550" s="90">
        <v>4534</v>
      </c>
      <c r="B4550" s="110">
        <v>1.1137656753543947</v>
      </c>
      <c r="C4550" s="110">
        <v>1.0544329401085457</v>
      </c>
      <c r="G4550" s="90">
        <v>4534</v>
      </c>
      <c r="H4550" s="100">
        <v>-5.4743649199105793E-2</v>
      </c>
      <c r="I4550" s="100">
        <v>-2.642761628879102E-2</v>
      </c>
    </row>
    <row r="4551" spans="1:9">
      <c r="A4551" s="90">
        <v>4535</v>
      </c>
      <c r="B4551" s="110">
        <v>1.1047422976080878</v>
      </c>
      <c r="C4551" s="110">
        <v>1.0621940517160846</v>
      </c>
      <c r="G4551" s="90">
        <v>4535</v>
      </c>
      <c r="H4551" s="100">
        <v>-3.9275463912144683E-2</v>
      </c>
      <c r="I4551" s="100">
        <v>-2.6411309261999503E-2</v>
      </c>
    </row>
    <row r="4552" spans="1:9">
      <c r="A4552" s="90">
        <v>4536</v>
      </c>
      <c r="B4552" s="110">
        <v>1.1361018310592574</v>
      </c>
      <c r="C4552" s="110">
        <v>1.0544501941209177</v>
      </c>
      <c r="G4552" s="90">
        <v>4536</v>
      </c>
      <c r="H4552" s="100">
        <v>-7.4583468226021424E-2</v>
      </c>
      <c r="I4552" s="100">
        <v>-2.6395253772663736E-2</v>
      </c>
    </row>
    <row r="4553" spans="1:9">
      <c r="A4553" s="90">
        <v>4537</v>
      </c>
      <c r="B4553" s="110">
        <v>1.0948981819653905</v>
      </c>
      <c r="C4553" s="110">
        <v>1.0712798513604014</v>
      </c>
      <c r="G4553" s="90">
        <v>4537</v>
      </c>
      <c r="H4553" s="100">
        <v>-2.1807317983012102E-2</v>
      </c>
      <c r="I4553" s="100">
        <v>-2.6392773291818678E-2</v>
      </c>
    </row>
    <row r="4554" spans="1:9">
      <c r="A4554" s="90">
        <v>4538</v>
      </c>
      <c r="B4554" s="110">
        <v>1.1102539239260589</v>
      </c>
      <c r="C4554" s="110">
        <v>1.0570322672849843</v>
      </c>
      <c r="G4554" s="90">
        <v>4538</v>
      </c>
      <c r="H4554" s="100">
        <v>-4.9123515801469883E-2</v>
      </c>
      <c r="I4554" s="100">
        <v>-2.6391926528189818E-2</v>
      </c>
    </row>
    <row r="4555" spans="1:9">
      <c r="A4555" s="90">
        <v>4539</v>
      </c>
      <c r="B4555" s="110">
        <v>1.1170510560327824</v>
      </c>
      <c r="C4555" s="110">
        <v>1.0423702944985083</v>
      </c>
      <c r="G4555" s="90">
        <v>4539</v>
      </c>
      <c r="H4555" s="100">
        <v>-6.9194978015592018E-2</v>
      </c>
      <c r="I4555" s="100">
        <v>-2.6370761852383146E-2</v>
      </c>
    </row>
    <row r="4556" spans="1:9">
      <c r="A4556" s="90">
        <v>4540</v>
      </c>
      <c r="B4556" s="110">
        <v>1.0964550984880888</v>
      </c>
      <c r="C4556" s="110">
        <v>1.0652328338662809</v>
      </c>
      <c r="G4556" s="90">
        <v>4540</v>
      </c>
      <c r="H4556" s="100">
        <v>-2.8888939570666336E-2</v>
      </c>
      <c r="I4556" s="100">
        <v>-2.6351181002274807E-2</v>
      </c>
    </row>
    <row r="4557" spans="1:9">
      <c r="A4557" s="90">
        <v>4541</v>
      </c>
      <c r="B4557" s="110">
        <v>1.124763578234085</v>
      </c>
      <c r="C4557" s="110">
        <v>1.0794626986515503</v>
      </c>
      <c r="G4557" s="90">
        <v>4541</v>
      </c>
      <c r="H4557" s="100">
        <v>-4.1109444797644071E-2</v>
      </c>
      <c r="I4557" s="100">
        <v>-2.630742255571928E-2</v>
      </c>
    </row>
    <row r="4558" spans="1:9">
      <c r="A4558" s="90">
        <v>4542</v>
      </c>
      <c r="B4558" s="110">
        <v>1.1221671830509727</v>
      </c>
      <c r="C4558" s="110">
        <v>1.0388296101461925</v>
      </c>
      <c r="G4558" s="90">
        <v>4542</v>
      </c>
      <c r="H4558" s="100">
        <v>-7.716709591811613E-2</v>
      </c>
      <c r="I4558" s="100">
        <v>-2.6299244718242906E-2</v>
      </c>
    </row>
    <row r="4559" spans="1:9">
      <c r="A4559" s="90">
        <v>4543</v>
      </c>
      <c r="B4559" s="110">
        <v>1.1270998278308582</v>
      </c>
      <c r="C4559" s="110">
        <v>1.0268486459095341</v>
      </c>
      <c r="G4559" s="90">
        <v>4543</v>
      </c>
      <c r="H4559" s="100">
        <v>-9.3153264392498061E-2</v>
      </c>
      <c r="I4559" s="100">
        <v>-2.6275371075327323E-2</v>
      </c>
    </row>
    <row r="4560" spans="1:9">
      <c r="A4560" s="90">
        <v>4544</v>
      </c>
      <c r="B4560" s="110">
        <v>1.1277459795552638</v>
      </c>
      <c r="C4560" s="110">
        <v>1.0736081888953735</v>
      </c>
      <c r="G4560" s="90">
        <v>4544</v>
      </c>
      <c r="H4560" s="100">
        <v>-4.9195817569053564E-2</v>
      </c>
      <c r="I4560" s="100">
        <v>-2.6243418585851795E-2</v>
      </c>
    </row>
    <row r="4561" spans="1:9">
      <c r="A4561" s="90">
        <v>4545</v>
      </c>
      <c r="B4561" s="110">
        <v>1.1242058222321714</v>
      </c>
      <c r="C4561" s="110">
        <v>1.0699021030404059</v>
      </c>
      <c r="G4561" s="90">
        <v>4545</v>
      </c>
      <c r="H4561" s="100">
        <v>-4.9509698770236872E-2</v>
      </c>
      <c r="I4561" s="100">
        <v>-2.6111892964647505E-2</v>
      </c>
    </row>
    <row r="4562" spans="1:9">
      <c r="A4562" s="90">
        <v>4546</v>
      </c>
      <c r="B4562" s="110">
        <v>1.1117775841937823</v>
      </c>
      <c r="C4562" s="110">
        <v>1.0533906392539447</v>
      </c>
      <c r="G4562" s="90">
        <v>4546</v>
      </c>
      <c r="H4562" s="100">
        <v>-5.3946019802796862E-2</v>
      </c>
      <c r="I4562" s="100">
        <v>-2.6099092806149221E-2</v>
      </c>
    </row>
    <row r="4563" spans="1:9">
      <c r="A4563" s="90">
        <v>4547</v>
      </c>
      <c r="B4563" s="110">
        <v>1.1060103752051471</v>
      </c>
      <c r="C4563" s="110">
        <v>1.061221060181269</v>
      </c>
      <c r="G4563" s="90">
        <v>4547</v>
      </c>
      <c r="H4563" s="100">
        <v>-4.1339095179310614E-2</v>
      </c>
      <c r="I4563" s="100">
        <v>-2.6094462555739276E-2</v>
      </c>
    </row>
    <row r="4564" spans="1:9">
      <c r="A4564" s="90">
        <v>4548</v>
      </c>
      <c r="B4564" s="110">
        <v>1.0907885182467791</v>
      </c>
      <c r="C4564" s="110">
        <v>1.0561473313126997</v>
      </c>
      <c r="G4564" s="90">
        <v>4548</v>
      </c>
      <c r="H4564" s="100">
        <v>-3.227315210000619E-2</v>
      </c>
      <c r="I4564" s="100">
        <v>-2.6057666987443648E-2</v>
      </c>
    </row>
    <row r="4565" spans="1:9">
      <c r="A4565" s="90">
        <v>4549</v>
      </c>
      <c r="B4565" s="110">
        <v>1.0976234493428954</v>
      </c>
      <c r="C4565" s="110">
        <v>1.0500093801952355</v>
      </c>
      <c r="G4565" s="90">
        <v>4549</v>
      </c>
      <c r="H4565" s="100">
        <v>-4.4348244309716574E-2</v>
      </c>
      <c r="I4565" s="100">
        <v>-2.6048749657377603E-2</v>
      </c>
    </row>
    <row r="4566" spans="1:9">
      <c r="A4566" s="90">
        <v>4550</v>
      </c>
      <c r="B4566" s="110">
        <v>1.1097515610328275</v>
      </c>
      <c r="C4566" s="110">
        <v>1.0590478271067878</v>
      </c>
      <c r="G4566" s="90">
        <v>4550</v>
      </c>
      <c r="H4566" s="100">
        <v>-4.6765943266025692E-2</v>
      </c>
      <c r="I4566" s="100">
        <v>-2.602439378060584E-2</v>
      </c>
    </row>
    <row r="4567" spans="1:9">
      <c r="A4567" s="90">
        <v>4551</v>
      </c>
      <c r="B4567" s="110">
        <v>1.0985121372664788</v>
      </c>
      <c r="C4567" s="110">
        <v>1.0306763229379341</v>
      </c>
      <c r="G4567" s="90">
        <v>4551</v>
      </c>
      <c r="H4567" s="100">
        <v>-6.3741450757073659E-2</v>
      </c>
      <c r="I4567" s="100">
        <v>-2.6009605595027699E-2</v>
      </c>
    </row>
    <row r="4568" spans="1:9">
      <c r="A4568" s="90">
        <v>4552</v>
      </c>
      <c r="B4568" s="110">
        <v>1.1154770297104837</v>
      </c>
      <c r="C4568" s="110">
        <v>1.0595786826484126</v>
      </c>
      <c r="G4568" s="90">
        <v>4552</v>
      </c>
      <c r="H4568" s="100">
        <v>-5.1410782843417185E-2</v>
      </c>
      <c r="I4568" s="100">
        <v>-2.6004643454735788E-2</v>
      </c>
    </row>
    <row r="4569" spans="1:9">
      <c r="A4569" s="90">
        <v>4553</v>
      </c>
      <c r="B4569" s="110">
        <v>1.1226784049877652</v>
      </c>
      <c r="C4569" s="110">
        <v>1.0576154544626832</v>
      </c>
      <c r="G4569" s="90">
        <v>4553</v>
      </c>
      <c r="H4569" s="100">
        <v>-5.9700460630699774E-2</v>
      </c>
      <c r="I4569" s="100">
        <v>-2.5983702488056197E-2</v>
      </c>
    </row>
    <row r="4570" spans="1:9">
      <c r="A4570" s="90">
        <v>4554</v>
      </c>
      <c r="B4570" s="110">
        <v>1.1297652484060634</v>
      </c>
      <c r="C4570" s="110">
        <v>1.056192533175188</v>
      </c>
      <c r="G4570" s="90">
        <v>4554</v>
      </c>
      <c r="H4570" s="100">
        <v>-6.7339374621118539E-2</v>
      </c>
      <c r="I4570" s="100">
        <v>-2.5977152845990368E-2</v>
      </c>
    </row>
    <row r="4571" spans="1:9">
      <c r="A4571" s="90">
        <v>4555</v>
      </c>
      <c r="B4571" s="110">
        <v>1.1031485420229763</v>
      </c>
      <c r="C4571" s="110">
        <v>1.0428905930495687</v>
      </c>
      <c r="G4571" s="90">
        <v>4555</v>
      </c>
      <c r="H4571" s="100">
        <v>-5.6172128010827195E-2</v>
      </c>
      <c r="I4571" s="100">
        <v>-2.5972453951302939E-2</v>
      </c>
    </row>
    <row r="4572" spans="1:9">
      <c r="A4572" s="90">
        <v>4556</v>
      </c>
      <c r="B4572" s="110">
        <v>1.0823078265502577</v>
      </c>
      <c r="C4572" s="110">
        <v>1.070134133306019</v>
      </c>
      <c r="G4572" s="90">
        <v>4556</v>
      </c>
      <c r="H4572" s="100">
        <v>-1.1311638851342991E-2</v>
      </c>
      <c r="I4572" s="100">
        <v>-2.592013186746854E-2</v>
      </c>
    </row>
    <row r="4573" spans="1:9">
      <c r="A4573" s="90">
        <v>4557</v>
      </c>
      <c r="B4573" s="110">
        <v>1.133424801027116</v>
      </c>
      <c r="C4573" s="110">
        <v>1.042153173151491</v>
      </c>
      <c r="G4573" s="90">
        <v>4557</v>
      </c>
      <c r="H4573" s="100">
        <v>-8.3954914772474562E-2</v>
      </c>
      <c r="I4573" s="100">
        <v>-2.5913615112263092E-2</v>
      </c>
    </row>
    <row r="4574" spans="1:9">
      <c r="A4574" s="90">
        <v>4558</v>
      </c>
      <c r="B4574" s="110">
        <v>1.1376089137678231</v>
      </c>
      <c r="C4574" s="110">
        <v>1.0691382401231708</v>
      </c>
      <c r="G4574" s="90">
        <v>4558</v>
      </c>
      <c r="H4574" s="100">
        <v>-6.2075674710524428E-2</v>
      </c>
      <c r="I4574" s="100">
        <v>-2.5896613838097077E-2</v>
      </c>
    </row>
    <row r="4575" spans="1:9">
      <c r="A4575" s="90">
        <v>4559</v>
      </c>
      <c r="B4575" s="110">
        <v>1.1299158938425353</v>
      </c>
      <c r="C4575" s="110">
        <v>1.0517127550234422</v>
      </c>
      <c r="G4575" s="90">
        <v>4559</v>
      </c>
      <c r="H4575" s="100">
        <v>-7.1723169250480487E-2</v>
      </c>
      <c r="I4575" s="100">
        <v>-2.5867393835544188E-2</v>
      </c>
    </row>
    <row r="4576" spans="1:9">
      <c r="A4576" s="90">
        <v>4560</v>
      </c>
      <c r="B4576" s="110">
        <v>1.1467693330561071</v>
      </c>
      <c r="C4576" s="110">
        <v>1.0611268070316235</v>
      </c>
      <c r="G4576" s="90">
        <v>4560</v>
      </c>
      <c r="H4576" s="100">
        <v>-7.7617344337169852E-2</v>
      </c>
      <c r="I4576" s="100">
        <v>-2.5831282839775774E-2</v>
      </c>
    </row>
    <row r="4577" spans="1:9">
      <c r="A4577" s="90">
        <v>4561</v>
      </c>
      <c r="B4577" s="110">
        <v>1.1102127100361332</v>
      </c>
      <c r="C4577" s="110">
        <v>1.0718538730022233</v>
      </c>
      <c r="G4577" s="90">
        <v>4561</v>
      </c>
      <c r="H4577" s="100">
        <v>-3.5161886769324337E-2</v>
      </c>
      <c r="I4577" s="100">
        <v>-2.5811665076278884E-2</v>
      </c>
    </row>
    <row r="4578" spans="1:9">
      <c r="A4578" s="90">
        <v>4562</v>
      </c>
      <c r="B4578" s="110">
        <v>1.1141587274286484</v>
      </c>
      <c r="C4578" s="110">
        <v>1.0661282925203757</v>
      </c>
      <c r="G4578" s="90">
        <v>4562</v>
      </c>
      <c r="H4578" s="100">
        <v>-4.4065947623472525E-2</v>
      </c>
      <c r="I4578" s="100">
        <v>-2.5794821000666993E-2</v>
      </c>
    </row>
    <row r="4579" spans="1:9">
      <c r="A4579" s="90">
        <v>4563</v>
      </c>
      <c r="B4579" s="110">
        <v>1.1195805852339815</v>
      </c>
      <c r="C4579" s="110">
        <v>1.03360228412903</v>
      </c>
      <c r="G4579" s="90">
        <v>4563</v>
      </c>
      <c r="H4579" s="100">
        <v>-7.9904073782230481E-2</v>
      </c>
      <c r="I4579" s="100">
        <v>-2.5739452053536799E-2</v>
      </c>
    </row>
    <row r="4580" spans="1:9">
      <c r="A4580" s="90">
        <v>4564</v>
      </c>
      <c r="B4580" s="110">
        <v>1.1049732877603489</v>
      </c>
      <c r="C4580" s="110">
        <v>1.0604158510051087</v>
      </c>
      <c r="G4580" s="90">
        <v>4564</v>
      </c>
      <c r="H4580" s="100">
        <v>-4.1160017246377086E-2</v>
      </c>
      <c r="I4580" s="100">
        <v>-2.5705370762569246E-2</v>
      </c>
    </row>
    <row r="4581" spans="1:9">
      <c r="A4581" s="90">
        <v>4565</v>
      </c>
      <c r="B4581" s="110">
        <v>1.1378549529869522</v>
      </c>
      <c r="C4581" s="110">
        <v>1.063066491796824</v>
      </c>
      <c r="G4581" s="90">
        <v>4565</v>
      </c>
      <c r="H4581" s="100">
        <v>-6.7987221266065864E-2</v>
      </c>
      <c r="I4581" s="100">
        <v>-2.5689073631052581E-2</v>
      </c>
    </row>
    <row r="4582" spans="1:9">
      <c r="A4582" s="90">
        <v>4566</v>
      </c>
      <c r="B4582" s="110">
        <v>1.1281935279996498</v>
      </c>
      <c r="C4582" s="110">
        <v>1.0512586697303594</v>
      </c>
      <c r="G4582" s="90">
        <v>4566</v>
      </c>
      <c r="H4582" s="100">
        <v>-7.0629526396311926E-2</v>
      </c>
      <c r="I4582" s="100">
        <v>-2.5649813300035941E-2</v>
      </c>
    </row>
    <row r="4583" spans="1:9">
      <c r="A4583" s="90">
        <v>4567</v>
      </c>
      <c r="B4583" s="110">
        <v>1.0961987614449997</v>
      </c>
      <c r="C4583" s="110">
        <v>1.0646300817301377</v>
      </c>
      <c r="G4583" s="90">
        <v>4567</v>
      </c>
      <c r="H4583" s="100">
        <v>-2.9221126040954164E-2</v>
      </c>
      <c r="I4583" s="100">
        <v>-2.5563946471879397E-2</v>
      </c>
    </row>
    <row r="4584" spans="1:9">
      <c r="A4584" s="90">
        <v>4568</v>
      </c>
      <c r="B4584" s="110">
        <v>1.077075667230595</v>
      </c>
      <c r="C4584" s="110">
        <v>1.0615513655677191</v>
      </c>
      <c r="G4584" s="90">
        <v>4568</v>
      </c>
      <c r="H4584" s="100">
        <v>-1.4518262519008994E-2</v>
      </c>
      <c r="I4584" s="100">
        <v>-2.5553659149513061E-2</v>
      </c>
    </row>
    <row r="4585" spans="1:9">
      <c r="A4585" s="90">
        <v>4569</v>
      </c>
      <c r="B4585" s="110">
        <v>1.1577404925244625</v>
      </c>
      <c r="C4585" s="110">
        <v>1.0673770376326071</v>
      </c>
      <c r="G4585" s="90">
        <v>4569</v>
      </c>
      <c r="H4585" s="100">
        <v>-8.1265982060225034E-2</v>
      </c>
      <c r="I4585" s="100">
        <v>-2.5535940046557373E-2</v>
      </c>
    </row>
    <row r="4586" spans="1:9">
      <c r="A4586" s="90">
        <v>4570</v>
      </c>
      <c r="B4586" s="110">
        <v>1.11190616868331</v>
      </c>
      <c r="C4586" s="110">
        <v>1.0321199529188159</v>
      </c>
      <c r="G4586" s="90">
        <v>4570</v>
      </c>
      <c r="H4586" s="100">
        <v>-7.4460917834412069E-2</v>
      </c>
      <c r="I4586" s="100">
        <v>-2.5512333834108027E-2</v>
      </c>
    </row>
    <row r="4587" spans="1:9">
      <c r="A4587" s="90">
        <v>4571</v>
      </c>
      <c r="B4587" s="110">
        <v>1.0999654861821917</v>
      </c>
      <c r="C4587" s="110">
        <v>1.0565423818632438</v>
      </c>
      <c r="G4587" s="90">
        <v>4571</v>
      </c>
      <c r="H4587" s="100">
        <v>-4.0277130498514356E-2</v>
      </c>
      <c r="I4587" s="100">
        <v>-2.5510058215297136E-2</v>
      </c>
    </row>
    <row r="4588" spans="1:9">
      <c r="A4588" s="90">
        <v>4572</v>
      </c>
      <c r="B4588" s="110">
        <v>1.1215090814739757</v>
      </c>
      <c r="C4588" s="110">
        <v>1.0504533841030714</v>
      </c>
      <c r="G4588" s="90">
        <v>4572</v>
      </c>
      <c r="H4588" s="100">
        <v>-6.5453307202287286E-2</v>
      </c>
      <c r="I4588" s="100">
        <v>-2.5463446422349538E-2</v>
      </c>
    </row>
    <row r="4589" spans="1:9">
      <c r="A4589" s="90">
        <v>4573</v>
      </c>
      <c r="B4589" s="110">
        <v>1.092486536227615</v>
      </c>
      <c r="C4589" s="110">
        <v>1.0427749393054779</v>
      </c>
      <c r="G4589" s="90">
        <v>4573</v>
      </c>
      <c r="H4589" s="100">
        <v>-4.6570953423913819E-2</v>
      </c>
      <c r="I4589" s="100">
        <v>-2.5455134076969754E-2</v>
      </c>
    </row>
    <row r="4590" spans="1:9">
      <c r="A4590" s="90">
        <v>4574</v>
      </c>
      <c r="B4590" s="110">
        <v>1.1124640925033042</v>
      </c>
      <c r="C4590" s="110">
        <v>1.0498997652289217</v>
      </c>
      <c r="G4590" s="90">
        <v>4574</v>
      </c>
      <c r="H4590" s="100">
        <v>-5.7882760209905779E-2</v>
      </c>
      <c r="I4590" s="100">
        <v>-2.5447726528776832E-2</v>
      </c>
    </row>
    <row r="4591" spans="1:9">
      <c r="A4591" s="90">
        <v>4575</v>
      </c>
      <c r="B4591" s="110">
        <v>1.086312297136288</v>
      </c>
      <c r="C4591" s="110">
        <v>1.0574796645366433</v>
      </c>
      <c r="G4591" s="90">
        <v>4575</v>
      </c>
      <c r="H4591" s="100">
        <v>-2.6900344595463796E-2</v>
      </c>
      <c r="I4591" s="100">
        <v>-2.541576483646223E-2</v>
      </c>
    </row>
    <row r="4592" spans="1:9">
      <c r="A4592" s="90">
        <v>4576</v>
      </c>
      <c r="B4592" s="110">
        <v>1.114054666596932</v>
      </c>
      <c r="C4592" s="110">
        <v>1.0612363759729233</v>
      </c>
      <c r="G4592" s="90">
        <v>4576</v>
      </c>
      <c r="H4592" s="100">
        <v>-4.8571591806114742E-2</v>
      </c>
      <c r="I4592" s="100">
        <v>-2.5410366870823903E-2</v>
      </c>
    </row>
    <row r="4593" spans="1:9">
      <c r="A4593" s="90">
        <v>4577</v>
      </c>
      <c r="B4593" s="110">
        <v>1.0932534666710432</v>
      </c>
      <c r="C4593" s="110">
        <v>1.0508656568377099</v>
      </c>
      <c r="G4593" s="90">
        <v>4577</v>
      </c>
      <c r="H4593" s="100">
        <v>-3.9543822690231989E-2</v>
      </c>
      <c r="I4593" s="100">
        <v>-2.5404362741160955E-2</v>
      </c>
    </row>
    <row r="4594" spans="1:9">
      <c r="A4594" s="90">
        <v>4578</v>
      </c>
      <c r="B4594" s="110">
        <v>1.1295240642046087</v>
      </c>
      <c r="C4594" s="110">
        <v>1.0629343286957353</v>
      </c>
      <c r="G4594" s="90">
        <v>4578</v>
      </c>
      <c r="H4594" s="100">
        <v>-6.0763043644730813E-2</v>
      </c>
      <c r="I4594" s="100">
        <v>-2.5390462599966943E-2</v>
      </c>
    </row>
    <row r="4595" spans="1:9">
      <c r="A4595" s="90">
        <v>4579</v>
      </c>
      <c r="B4595" s="110">
        <v>1.1065030496034749</v>
      </c>
      <c r="C4595" s="110">
        <v>1.0575358719703127</v>
      </c>
      <c r="G4595" s="90">
        <v>4579</v>
      </c>
      <c r="H4595" s="100">
        <v>-4.5263083738127596E-2</v>
      </c>
      <c r="I4595" s="100">
        <v>-2.5377613733070216E-2</v>
      </c>
    </row>
    <row r="4596" spans="1:9">
      <c r="A4596" s="90">
        <v>4580</v>
      </c>
      <c r="B4596" s="110">
        <v>1.1425139667074296</v>
      </c>
      <c r="C4596" s="110">
        <v>1.067468416185273</v>
      </c>
      <c r="G4596" s="90">
        <v>4580</v>
      </c>
      <c r="H4596" s="100">
        <v>-6.7941189429458898E-2</v>
      </c>
      <c r="I4596" s="100">
        <v>-2.5350944143231927E-2</v>
      </c>
    </row>
    <row r="4597" spans="1:9">
      <c r="A4597" s="90">
        <v>4581</v>
      </c>
      <c r="B4597" s="110">
        <v>1.1208984615489384</v>
      </c>
      <c r="C4597" s="110">
        <v>1.0299706335269239</v>
      </c>
      <c r="G4597" s="90">
        <v>4581</v>
      </c>
      <c r="H4597" s="100">
        <v>-8.46002708336792E-2</v>
      </c>
      <c r="I4597" s="100">
        <v>-2.5349953499457296E-2</v>
      </c>
    </row>
    <row r="4598" spans="1:9">
      <c r="A4598" s="90">
        <v>4582</v>
      </c>
      <c r="B4598" s="110">
        <v>1.1382621494687055</v>
      </c>
      <c r="C4598" s="110">
        <v>1.0684500222086266</v>
      </c>
      <c r="G4598" s="90">
        <v>4582</v>
      </c>
      <c r="H4598" s="100">
        <v>-6.3293648093548038E-2</v>
      </c>
      <c r="I4598" s="100">
        <v>-2.5326203376439458E-2</v>
      </c>
    </row>
    <row r="4599" spans="1:9">
      <c r="A4599" s="90">
        <v>4583</v>
      </c>
      <c r="B4599" s="110">
        <v>1.0959783446044349</v>
      </c>
      <c r="C4599" s="110">
        <v>1.0439413386081091</v>
      </c>
      <c r="G4599" s="90">
        <v>4583</v>
      </c>
      <c r="H4599" s="100">
        <v>-4.8644130948935264E-2</v>
      </c>
      <c r="I4599" s="100">
        <v>-2.5315507682317242E-2</v>
      </c>
    </row>
    <row r="4600" spans="1:9">
      <c r="A4600" s="90">
        <v>4584</v>
      </c>
      <c r="B4600" s="110">
        <v>1.1258664653076937</v>
      </c>
      <c r="C4600" s="110">
        <v>1.0439236875951952</v>
      </c>
      <c r="G4600" s="90">
        <v>4584</v>
      </c>
      <c r="H4600" s="100">
        <v>-7.5566539980212052E-2</v>
      </c>
      <c r="I4600" s="100">
        <v>-2.5315139519343353E-2</v>
      </c>
    </row>
    <row r="4601" spans="1:9">
      <c r="A4601" s="90">
        <v>4585</v>
      </c>
      <c r="B4601" s="110">
        <v>1.1160006860559961</v>
      </c>
      <c r="C4601" s="110">
        <v>1.0648111364105457</v>
      </c>
      <c r="G4601" s="90">
        <v>4585</v>
      </c>
      <c r="H4601" s="100">
        <v>-4.6954031972783437E-2</v>
      </c>
      <c r="I4601" s="100">
        <v>-2.5311314663500745E-2</v>
      </c>
    </row>
    <row r="4602" spans="1:9">
      <c r="A4602" s="90">
        <v>4586</v>
      </c>
      <c r="B4602" s="110">
        <v>1.1126694548702289</v>
      </c>
      <c r="C4602" s="110">
        <v>1.0627091161740374</v>
      </c>
      <c r="G4602" s="90">
        <v>4586</v>
      </c>
      <c r="H4602" s="100">
        <v>-4.5940624769891775E-2</v>
      </c>
      <c r="I4602" s="100">
        <v>-2.5308197047525436E-2</v>
      </c>
    </row>
    <row r="4603" spans="1:9">
      <c r="A4603" s="90">
        <v>4587</v>
      </c>
      <c r="B4603" s="110">
        <v>1.0987350490534624</v>
      </c>
      <c r="C4603" s="110">
        <v>1.0297253577289138</v>
      </c>
      <c r="G4603" s="90">
        <v>4587</v>
      </c>
      <c r="H4603" s="100">
        <v>-6.4867438987979906E-2</v>
      </c>
      <c r="I4603" s="100">
        <v>-2.5275946288642843E-2</v>
      </c>
    </row>
    <row r="4604" spans="1:9">
      <c r="A4604" s="90">
        <v>4588</v>
      </c>
      <c r="B4604" s="110">
        <v>1.1074474413485991</v>
      </c>
      <c r="C4604" s="110">
        <v>1.0536090780264076</v>
      </c>
      <c r="G4604" s="90">
        <v>4588</v>
      </c>
      <c r="H4604" s="100">
        <v>-4.9836277181452664E-2</v>
      </c>
      <c r="I4604" s="100">
        <v>-2.525859904975267E-2</v>
      </c>
    </row>
    <row r="4605" spans="1:9">
      <c r="A4605" s="90">
        <v>4589</v>
      </c>
      <c r="B4605" s="110">
        <v>1.1150332653700423</v>
      </c>
      <c r="C4605" s="110">
        <v>1.0498446938375441</v>
      </c>
      <c r="G4605" s="90">
        <v>4589</v>
      </c>
      <c r="H4605" s="100">
        <v>-6.0241996280973369E-2</v>
      </c>
      <c r="I4605" s="100">
        <v>-2.5241036912216727E-2</v>
      </c>
    </row>
    <row r="4606" spans="1:9">
      <c r="A4606" s="90">
        <v>4590</v>
      </c>
      <c r="B4606" s="110">
        <v>1.0805664473572605</v>
      </c>
      <c r="C4606" s="110">
        <v>1.0634798763775555</v>
      </c>
      <c r="G4606" s="90">
        <v>4590</v>
      </c>
      <c r="H4606" s="100">
        <v>-1.5938958525787097E-2</v>
      </c>
      <c r="I4606" s="100">
        <v>-2.5219411599324854E-2</v>
      </c>
    </row>
    <row r="4607" spans="1:9">
      <c r="A4607" s="90">
        <v>4591</v>
      </c>
      <c r="B4607" s="110">
        <v>1.1247393808750201</v>
      </c>
      <c r="C4607" s="110">
        <v>1.0404276815969815</v>
      </c>
      <c r="G4607" s="90">
        <v>4591</v>
      </c>
      <c r="H4607" s="100">
        <v>-7.791948644905837E-2</v>
      </c>
      <c r="I4607" s="100">
        <v>-2.5217777003934627E-2</v>
      </c>
    </row>
    <row r="4608" spans="1:9">
      <c r="A4608" s="90">
        <v>4592</v>
      </c>
      <c r="B4608" s="110">
        <v>1.1310437839519718</v>
      </c>
      <c r="C4608" s="110">
        <v>1.0599785481937223</v>
      </c>
      <c r="G4608" s="90">
        <v>4592</v>
      </c>
      <c r="H4608" s="100">
        <v>-6.4892238619781301E-2</v>
      </c>
      <c r="I4608" s="100">
        <v>-2.5205649028495779E-2</v>
      </c>
    </row>
    <row r="4609" spans="1:9">
      <c r="A4609" s="90">
        <v>4593</v>
      </c>
      <c r="B4609" s="110">
        <v>1.1033110205674024</v>
      </c>
      <c r="C4609" s="110">
        <v>1.0524628365018081</v>
      </c>
      <c r="G4609" s="90">
        <v>4593</v>
      </c>
      <c r="H4609" s="100">
        <v>-4.7182701251683994E-2</v>
      </c>
      <c r="I4609" s="100">
        <v>-2.5188733187998441E-2</v>
      </c>
    </row>
    <row r="4610" spans="1:9">
      <c r="A4610" s="90">
        <v>4594</v>
      </c>
      <c r="B4610" s="110">
        <v>1.1126313042913747</v>
      </c>
      <c r="C4610" s="110">
        <v>1.0502410155708564</v>
      </c>
      <c r="G4610" s="90">
        <v>4594</v>
      </c>
      <c r="H4610" s="100">
        <v>-5.7708077954644478E-2</v>
      </c>
      <c r="I4610" s="100">
        <v>-2.5101463100213675E-2</v>
      </c>
    </row>
    <row r="4611" spans="1:9">
      <c r="A4611" s="90">
        <v>4595</v>
      </c>
      <c r="B4611" s="110">
        <v>1.1123467356006498</v>
      </c>
      <c r="C4611" s="110">
        <v>1.0463596724855224</v>
      </c>
      <c r="G4611" s="90">
        <v>4595</v>
      </c>
      <c r="H4611" s="100">
        <v>-6.1154798128679369E-2</v>
      </c>
      <c r="I4611" s="100">
        <v>-2.5084473512800035E-2</v>
      </c>
    </row>
    <row r="4612" spans="1:9">
      <c r="A4612" s="90">
        <v>4596</v>
      </c>
      <c r="B4612" s="110">
        <v>1.0909922967749879</v>
      </c>
      <c r="C4612" s="110">
        <v>1.0282319098511483</v>
      </c>
      <c r="G4612" s="90">
        <v>4596</v>
      </c>
      <c r="H4612" s="100">
        <v>-5.9246911293742932E-2</v>
      </c>
      <c r="I4612" s="100">
        <v>-2.5079669797379137E-2</v>
      </c>
    </row>
    <row r="4613" spans="1:9">
      <c r="A4613" s="90">
        <v>4597</v>
      </c>
      <c r="B4613" s="110">
        <v>1.1327213864309043</v>
      </c>
      <c r="C4613" s="110">
        <v>1.0464866033400386</v>
      </c>
      <c r="G4613" s="90">
        <v>4597</v>
      </c>
      <c r="H4613" s="100">
        <v>-7.9184582550717475E-2</v>
      </c>
      <c r="I4613" s="100">
        <v>-2.5067963760228903E-2</v>
      </c>
    </row>
    <row r="4614" spans="1:9">
      <c r="A4614" s="90">
        <v>4598</v>
      </c>
      <c r="B4614" s="110">
        <v>1.0874665762756286</v>
      </c>
      <c r="C4614" s="110">
        <v>1.0537518303259688</v>
      </c>
      <c r="G4614" s="90">
        <v>4598</v>
      </c>
      <c r="H4614" s="100">
        <v>-3.1493781752631268E-2</v>
      </c>
      <c r="I4614" s="100">
        <v>-2.5040205761641943E-2</v>
      </c>
    </row>
    <row r="4615" spans="1:9">
      <c r="A4615" s="90">
        <v>4599</v>
      </c>
      <c r="B4615" s="110">
        <v>1.1236556532210051</v>
      </c>
      <c r="C4615" s="110">
        <v>1.0533657656886539</v>
      </c>
      <c r="G4615" s="90">
        <v>4599</v>
      </c>
      <c r="H4615" s="100">
        <v>-6.4596817522443992E-2</v>
      </c>
      <c r="I4615" s="100">
        <v>-2.5029716340270729E-2</v>
      </c>
    </row>
    <row r="4616" spans="1:9">
      <c r="A4616" s="90">
        <v>4600</v>
      </c>
      <c r="B4616" s="110">
        <v>1.1171049728468074</v>
      </c>
      <c r="C4616" s="110">
        <v>1.0609240763682399</v>
      </c>
      <c r="G4616" s="90">
        <v>4600</v>
      </c>
      <c r="H4616" s="100">
        <v>-5.1600194641144542E-2</v>
      </c>
      <c r="I4616" s="100">
        <v>-2.5005827286099618E-2</v>
      </c>
    </row>
    <row r="4617" spans="1:9">
      <c r="A4617" s="90">
        <v>4601</v>
      </c>
      <c r="B4617" s="110">
        <v>1.1104242469208914</v>
      </c>
      <c r="C4617" s="110">
        <v>1.0718275604013803</v>
      </c>
      <c r="G4617" s="90">
        <v>4601</v>
      </c>
      <c r="H4617" s="100">
        <v>-3.5376954860901477E-2</v>
      </c>
      <c r="I4617" s="100">
        <v>-2.5003082203156279E-2</v>
      </c>
    </row>
    <row r="4618" spans="1:9">
      <c r="A4618" s="90">
        <v>4602</v>
      </c>
      <c r="B4618" s="110">
        <v>1.1198435388819363</v>
      </c>
      <c r="C4618" s="110">
        <v>1.0595338442077513</v>
      </c>
      <c r="G4618" s="90">
        <v>4602</v>
      </c>
      <c r="H4618" s="100">
        <v>-5.5359936339936161E-2</v>
      </c>
      <c r="I4618" s="100">
        <v>-2.4979415482288467E-2</v>
      </c>
    </row>
    <row r="4619" spans="1:9">
      <c r="A4619" s="90">
        <v>4603</v>
      </c>
      <c r="B4619" s="110">
        <v>1.099469296010076</v>
      </c>
      <c r="C4619" s="110">
        <v>1.0549221237774047</v>
      </c>
      <c r="G4619" s="90">
        <v>4603</v>
      </c>
      <c r="H4619" s="100">
        <v>-4.1360657332539762E-2</v>
      </c>
      <c r="I4619" s="100">
        <v>-2.4964369304270519E-2</v>
      </c>
    </row>
    <row r="4620" spans="1:9">
      <c r="A4620" s="90">
        <v>4604</v>
      </c>
      <c r="B4620" s="110">
        <v>1.1157282821203844</v>
      </c>
      <c r="C4620" s="110">
        <v>1.0612855519681412</v>
      </c>
      <c r="G4620" s="90">
        <v>4604</v>
      </c>
      <c r="H4620" s="100">
        <v>-5.0026401341724459E-2</v>
      </c>
      <c r="I4620" s="100">
        <v>-2.4951777260379306E-2</v>
      </c>
    </row>
    <row r="4621" spans="1:9">
      <c r="A4621" s="90">
        <v>4605</v>
      </c>
      <c r="B4621" s="110">
        <v>1.1149911201203375</v>
      </c>
      <c r="C4621" s="110">
        <v>1.0171950727027597</v>
      </c>
      <c r="G4621" s="90">
        <v>4605</v>
      </c>
      <c r="H4621" s="100">
        <v>-9.1797530289410317E-2</v>
      </c>
      <c r="I4621" s="100">
        <v>-2.4910711430568038E-2</v>
      </c>
    </row>
    <row r="4622" spans="1:9">
      <c r="A4622" s="90">
        <v>4606</v>
      </c>
      <c r="B4622" s="110">
        <v>1.1081732492541034</v>
      </c>
      <c r="C4622" s="110">
        <v>1.0678489269232034</v>
      </c>
      <c r="G4622" s="90">
        <v>4606</v>
      </c>
      <c r="H4622" s="100">
        <v>-3.7066661903840767E-2</v>
      </c>
      <c r="I4622" s="100">
        <v>-2.4879416532136739E-2</v>
      </c>
    </row>
    <row r="4623" spans="1:9">
      <c r="A4623" s="90">
        <v>4607</v>
      </c>
      <c r="B4623" s="110">
        <v>1.0754236165510183</v>
      </c>
      <c r="C4623" s="110">
        <v>1.0384202364794606</v>
      </c>
      <c r="G4623" s="90">
        <v>4607</v>
      </c>
      <c r="H4623" s="100">
        <v>-3.5014090952676699E-2</v>
      </c>
      <c r="I4623" s="100">
        <v>-2.4868750911084852E-2</v>
      </c>
    </row>
    <row r="4624" spans="1:9">
      <c r="A4624" s="90">
        <v>4608</v>
      </c>
      <c r="B4624" s="110">
        <v>1.1182748799705029</v>
      </c>
      <c r="C4624" s="110">
        <v>1.0372338945175112</v>
      </c>
      <c r="G4624" s="90">
        <v>4608</v>
      </c>
      <c r="H4624" s="100">
        <v>-7.5229759094582849E-2</v>
      </c>
      <c r="I4624" s="100">
        <v>-2.4867792924302457E-2</v>
      </c>
    </row>
    <row r="4625" spans="1:9">
      <c r="A4625" s="90">
        <v>4609</v>
      </c>
      <c r="B4625" s="110">
        <v>1.1191694198123592</v>
      </c>
      <c r="C4625" s="110">
        <v>1.0324981242173756</v>
      </c>
      <c r="G4625" s="90">
        <v>4609</v>
      </c>
      <c r="H4625" s="100">
        <v>-8.0605591627490009E-2</v>
      </c>
      <c r="I4625" s="100">
        <v>-2.4867194005296998E-2</v>
      </c>
    </row>
    <row r="4626" spans="1:9">
      <c r="A4626" s="90">
        <v>4610</v>
      </c>
      <c r="B4626" s="110">
        <v>1.0922191240828314</v>
      </c>
      <c r="C4626" s="110">
        <v>1.068149593098946</v>
      </c>
      <c r="G4626" s="90">
        <v>4610</v>
      </c>
      <c r="H4626" s="100">
        <v>-2.2283721098045977E-2</v>
      </c>
      <c r="I4626" s="100">
        <v>-2.4816910440098535E-2</v>
      </c>
    </row>
    <row r="4627" spans="1:9">
      <c r="A4627" s="90">
        <v>4611</v>
      </c>
      <c r="B4627" s="110">
        <v>1.1086248554611677</v>
      </c>
      <c r="C4627" s="110">
        <v>1.0708137567030582</v>
      </c>
      <c r="G4627" s="90">
        <v>4611</v>
      </c>
      <c r="H4627" s="100">
        <v>-3.4701498629765397E-2</v>
      </c>
      <c r="I4627" s="100">
        <v>-2.4804124577945594E-2</v>
      </c>
    </row>
    <row r="4628" spans="1:9">
      <c r="A4628" s="90">
        <v>4612</v>
      </c>
      <c r="B4628" s="110">
        <v>1.1308991237472812</v>
      </c>
      <c r="C4628" s="110">
        <v>1.0398866934470408</v>
      </c>
      <c r="G4628" s="90">
        <v>4612</v>
      </c>
      <c r="H4628" s="100">
        <v>-8.3901242457743705E-2</v>
      </c>
      <c r="I4628" s="100">
        <v>-2.4802475481991024E-2</v>
      </c>
    </row>
    <row r="4629" spans="1:9">
      <c r="A4629" s="90">
        <v>4613</v>
      </c>
      <c r="B4629" s="110">
        <v>1.1094691789897575</v>
      </c>
      <c r="C4629" s="110">
        <v>1.0662873729041062</v>
      </c>
      <c r="G4629" s="90">
        <v>4613</v>
      </c>
      <c r="H4629" s="100">
        <v>-3.9698813816818876E-2</v>
      </c>
      <c r="I4629" s="100">
        <v>-2.477069786708758E-2</v>
      </c>
    </row>
    <row r="4630" spans="1:9">
      <c r="A4630" s="90">
        <v>4614</v>
      </c>
      <c r="B4630" s="110">
        <v>1.1136726000759114</v>
      </c>
      <c r="C4630" s="110">
        <v>1.0574491795792631</v>
      </c>
      <c r="G4630" s="90">
        <v>4614</v>
      </c>
      <c r="H4630" s="100">
        <v>-5.1803628858598051E-2</v>
      </c>
      <c r="I4630" s="100">
        <v>-2.472254007764358E-2</v>
      </c>
    </row>
    <row r="4631" spans="1:9">
      <c r="A4631" s="90">
        <v>4615</v>
      </c>
      <c r="B4631" s="110">
        <v>1.1114385453790674</v>
      </c>
      <c r="C4631" s="110">
        <v>1.0549319739860108</v>
      </c>
      <c r="G4631" s="90">
        <v>4615</v>
      </c>
      <c r="H4631" s="100">
        <v>-5.2178877871153835E-2</v>
      </c>
      <c r="I4631" s="100">
        <v>-2.4666309770651245E-2</v>
      </c>
    </row>
    <row r="4632" spans="1:9">
      <c r="A4632" s="90">
        <v>4616</v>
      </c>
      <c r="B4632" s="110">
        <v>1.0959526922162943</v>
      </c>
      <c r="C4632" s="110">
        <v>1.052793431842266</v>
      </c>
      <c r="G4632" s="90">
        <v>4616</v>
      </c>
      <c r="H4632" s="100">
        <v>-4.0176980740194539E-2</v>
      </c>
      <c r="I4632" s="100">
        <v>-2.4658812001441145E-2</v>
      </c>
    </row>
    <row r="4633" spans="1:9">
      <c r="A4633" s="90">
        <v>4617</v>
      </c>
      <c r="B4633" s="110">
        <v>1.1020816732649688</v>
      </c>
      <c r="C4633" s="110">
        <v>1.0419340220698849</v>
      </c>
      <c r="G4633" s="90">
        <v>4617</v>
      </c>
      <c r="H4633" s="100">
        <v>-5.612219887951396E-2</v>
      </c>
      <c r="I4633" s="100">
        <v>-2.4630208276877442E-2</v>
      </c>
    </row>
    <row r="4634" spans="1:9">
      <c r="A4634" s="90">
        <v>4618</v>
      </c>
      <c r="B4634" s="110">
        <v>1.1164440209609026</v>
      </c>
      <c r="C4634" s="110">
        <v>1.0642161001239103</v>
      </c>
      <c r="G4634" s="90">
        <v>4618</v>
      </c>
      <c r="H4634" s="100">
        <v>-4.7910181157746097E-2</v>
      </c>
      <c r="I4634" s="100">
        <v>-2.4624481880865183E-2</v>
      </c>
    </row>
    <row r="4635" spans="1:9">
      <c r="A4635" s="90">
        <v>4619</v>
      </c>
      <c r="B4635" s="110">
        <v>1.1680034720673749</v>
      </c>
      <c r="C4635" s="110">
        <v>1.0541019849267266</v>
      </c>
      <c r="G4635" s="90">
        <v>4619</v>
      </c>
      <c r="H4635" s="100">
        <v>-0.10260665173127655</v>
      </c>
      <c r="I4635" s="100">
        <v>-2.4619078744210616E-2</v>
      </c>
    </row>
    <row r="4636" spans="1:9">
      <c r="A4636" s="90">
        <v>4620</v>
      </c>
      <c r="B4636" s="110">
        <v>1.1126699590411138</v>
      </c>
      <c r="C4636" s="110">
        <v>1.0453165738495411</v>
      </c>
      <c r="G4636" s="90">
        <v>4620</v>
      </c>
      <c r="H4636" s="100">
        <v>-6.2442714539482996E-2</v>
      </c>
      <c r="I4636" s="100">
        <v>-2.4529487710946624E-2</v>
      </c>
    </row>
    <row r="4637" spans="1:9">
      <c r="A4637" s="90">
        <v>4621</v>
      </c>
      <c r="B4637" s="110">
        <v>1.1333822230682453</v>
      </c>
      <c r="C4637" s="110">
        <v>1.0557274503133582</v>
      </c>
      <c r="G4637" s="90">
        <v>4621</v>
      </c>
      <c r="H4637" s="100">
        <v>-7.0976224347661321E-2</v>
      </c>
      <c r="I4637" s="100">
        <v>-2.4426072924455186E-2</v>
      </c>
    </row>
    <row r="4638" spans="1:9">
      <c r="A4638" s="90">
        <v>4622</v>
      </c>
      <c r="B4638" s="110">
        <v>1.1270972817739568</v>
      </c>
      <c r="C4638" s="110">
        <v>1.0353032056762204</v>
      </c>
      <c r="G4638" s="90">
        <v>4622</v>
      </c>
      <c r="H4638" s="100">
        <v>-8.4951214404551459E-2</v>
      </c>
      <c r="I4638" s="100">
        <v>-2.4417953083498679E-2</v>
      </c>
    </row>
    <row r="4639" spans="1:9">
      <c r="A4639" s="90">
        <v>4623</v>
      </c>
      <c r="B4639" s="110">
        <v>1.1009190922838588</v>
      </c>
      <c r="C4639" s="110">
        <v>1.0467474336371405</v>
      </c>
      <c r="G4639" s="90">
        <v>4623</v>
      </c>
      <c r="H4639" s="100">
        <v>-5.0457695205994101E-2</v>
      </c>
      <c r="I4639" s="100">
        <v>-2.4411623662481084E-2</v>
      </c>
    </row>
    <row r="4640" spans="1:9">
      <c r="A4640" s="90">
        <v>4624</v>
      </c>
      <c r="B4640" s="110">
        <v>1.1223076955182636</v>
      </c>
      <c r="C4640" s="110">
        <v>1.0519201398814428</v>
      </c>
      <c r="G4640" s="90">
        <v>4624</v>
      </c>
      <c r="H4640" s="100">
        <v>-6.4769809160063904E-2</v>
      </c>
      <c r="I4640" s="100">
        <v>-2.4399475313396136E-2</v>
      </c>
    </row>
    <row r="4641" spans="1:9">
      <c r="A4641" s="90">
        <v>4625</v>
      </c>
      <c r="B4641" s="110">
        <v>1.1220004017415748</v>
      </c>
      <c r="C4641" s="110">
        <v>1.063354874635535</v>
      </c>
      <c r="G4641" s="90">
        <v>4625</v>
      </c>
      <c r="H4641" s="100">
        <v>-5.3684278957505063E-2</v>
      </c>
      <c r="I4641" s="100">
        <v>-2.4350824212586154E-2</v>
      </c>
    </row>
    <row r="4642" spans="1:9">
      <c r="A4642" s="90">
        <v>4626</v>
      </c>
      <c r="B4642" s="110">
        <v>1.0979844449760441</v>
      </c>
      <c r="C4642" s="110">
        <v>1.0535667948501373</v>
      </c>
      <c r="G4642" s="90">
        <v>4626</v>
      </c>
      <c r="H4642" s="100">
        <v>-4.1294821245951782E-2</v>
      </c>
      <c r="I4642" s="100">
        <v>-2.4314198317526944E-2</v>
      </c>
    </row>
    <row r="4643" spans="1:9">
      <c r="A4643" s="90">
        <v>4627</v>
      </c>
      <c r="B4643" s="110">
        <v>1.1089303695153143</v>
      </c>
      <c r="C4643" s="110">
        <v>1.0624024017551639</v>
      </c>
      <c r="G4643" s="90">
        <v>4627</v>
      </c>
      <c r="H4643" s="100">
        <v>-4.2863159240358675E-2</v>
      </c>
      <c r="I4643" s="100">
        <v>-2.4298344327568302E-2</v>
      </c>
    </row>
    <row r="4644" spans="1:9">
      <c r="A4644" s="90">
        <v>4628</v>
      </c>
      <c r="B4644" s="110">
        <v>1.1057462784143315</v>
      </c>
      <c r="C4644" s="110">
        <v>1.0350461592669926</v>
      </c>
      <c r="G4644" s="90">
        <v>4628</v>
      </c>
      <c r="H4644" s="100">
        <v>-6.6074448045739587E-2</v>
      </c>
      <c r="I4644" s="100">
        <v>-2.4265870444244969E-2</v>
      </c>
    </row>
    <row r="4645" spans="1:9">
      <c r="A4645" s="90">
        <v>4629</v>
      </c>
      <c r="B4645" s="110">
        <v>1.120188292167134</v>
      </c>
      <c r="C4645" s="110">
        <v>1.0436988694878593</v>
      </c>
      <c r="G4645" s="90">
        <v>4629</v>
      </c>
      <c r="H4645" s="100">
        <v>-7.0725780517135156E-2</v>
      </c>
      <c r="I4645" s="100">
        <v>-2.4258025939596126E-2</v>
      </c>
    </row>
    <row r="4646" spans="1:9">
      <c r="A4646" s="90">
        <v>4630</v>
      </c>
      <c r="B4646" s="110">
        <v>1.1119488725185716</v>
      </c>
      <c r="C4646" s="110">
        <v>1.0439478572340275</v>
      </c>
      <c r="G4646" s="90">
        <v>4630</v>
      </c>
      <c r="H4646" s="100">
        <v>-6.310467378543691E-2</v>
      </c>
      <c r="I4646" s="100">
        <v>-2.4257192987283214E-2</v>
      </c>
    </row>
    <row r="4647" spans="1:9">
      <c r="A4647" s="90">
        <v>4631</v>
      </c>
      <c r="B4647" s="110">
        <v>1.1346876865107767</v>
      </c>
      <c r="C4647" s="110">
        <v>1.0665287852747218</v>
      </c>
      <c r="G4647" s="90">
        <v>4631</v>
      </c>
      <c r="H4647" s="100">
        <v>-6.1948198021099243E-2</v>
      </c>
      <c r="I4647" s="100">
        <v>-2.4170945606515466E-2</v>
      </c>
    </row>
    <row r="4648" spans="1:9">
      <c r="A4648" s="90">
        <v>4632</v>
      </c>
      <c r="B4648" s="110">
        <v>1.1341981318710161</v>
      </c>
      <c r="C4648" s="110">
        <v>1.0556077093754603</v>
      </c>
      <c r="G4648" s="90">
        <v>4632</v>
      </c>
      <c r="H4648" s="100">
        <v>-7.1809280575157619E-2</v>
      </c>
      <c r="I4648" s="100">
        <v>-2.4120144981278284E-2</v>
      </c>
    </row>
    <row r="4649" spans="1:9">
      <c r="A4649" s="90">
        <v>4633</v>
      </c>
      <c r="B4649" s="110">
        <v>1.0955355957806998</v>
      </c>
      <c r="C4649" s="110">
        <v>1.0686823722190071</v>
      </c>
      <c r="G4649" s="90">
        <v>4633</v>
      </c>
      <c r="H4649" s="100">
        <v>-2.4816910440098535E-2</v>
      </c>
      <c r="I4649" s="100">
        <v>-2.4109321075601414E-2</v>
      </c>
    </row>
    <row r="4650" spans="1:9">
      <c r="A4650" s="90">
        <v>4634</v>
      </c>
      <c r="B4650" s="110">
        <v>1.1196828559131133</v>
      </c>
      <c r="C4650" s="110">
        <v>1.0493575133358717</v>
      </c>
      <c r="G4650" s="90">
        <v>4634</v>
      </c>
      <c r="H4650" s="100">
        <v>-6.4867396019104739E-2</v>
      </c>
      <c r="I4650" s="100">
        <v>-2.4091269958842622E-2</v>
      </c>
    </row>
    <row r="4651" spans="1:9">
      <c r="A4651" s="90">
        <v>4635</v>
      </c>
      <c r="B4651" s="110">
        <v>1.1168691443230907</v>
      </c>
      <c r="C4651" s="110">
        <v>1.0720167873093616</v>
      </c>
      <c r="G4651" s="90">
        <v>4635</v>
      </c>
      <c r="H4651" s="100">
        <v>-4.0987641676691222E-2</v>
      </c>
      <c r="I4651" s="100">
        <v>-2.4061581953125896E-2</v>
      </c>
    </row>
    <row r="4652" spans="1:9">
      <c r="A4652" s="90">
        <v>4636</v>
      </c>
      <c r="B4652" s="110">
        <v>1.1271754546037525</v>
      </c>
      <c r="C4652" s="110">
        <v>1.0613856724575068</v>
      </c>
      <c r="G4652" s="90">
        <v>4636</v>
      </c>
      <c r="H4652" s="100">
        <v>-6.0139613219009742E-2</v>
      </c>
      <c r="I4652" s="100">
        <v>-2.4049876378375294E-2</v>
      </c>
    </row>
    <row r="4653" spans="1:9">
      <c r="A4653" s="90">
        <v>4637</v>
      </c>
      <c r="B4653" s="110">
        <v>1.1035499172574414</v>
      </c>
      <c r="C4653" s="110">
        <v>1.0437790733193246</v>
      </c>
      <c r="G4653" s="90">
        <v>4637</v>
      </c>
      <c r="H4653" s="100">
        <v>-5.5684329613520558E-2</v>
      </c>
      <c r="I4653" s="100">
        <v>-2.4038833741481188E-2</v>
      </c>
    </row>
    <row r="4654" spans="1:9">
      <c r="A4654" s="90">
        <v>4638</v>
      </c>
      <c r="B4654" s="110">
        <v>1.1411432412027167</v>
      </c>
      <c r="C4654" s="110">
        <v>1.0513476150534806</v>
      </c>
      <c r="G4654" s="90">
        <v>4638</v>
      </c>
      <c r="H4654" s="100">
        <v>-8.1957818886723016E-2</v>
      </c>
      <c r="I4654" s="100">
        <v>-2.4021010228175401E-2</v>
      </c>
    </row>
    <row r="4655" spans="1:9">
      <c r="A4655" s="90">
        <v>4639</v>
      </c>
      <c r="B4655" s="110">
        <v>1.0942534057347795</v>
      </c>
      <c r="C4655" s="110">
        <v>1.0563929789615669</v>
      </c>
      <c r="G4655" s="90">
        <v>4639</v>
      </c>
      <c r="H4655" s="100">
        <v>-3.5212054250257911E-2</v>
      </c>
      <c r="I4655" s="100">
        <v>-2.4009524850848358E-2</v>
      </c>
    </row>
    <row r="4656" spans="1:9">
      <c r="A4656" s="90">
        <v>4640</v>
      </c>
      <c r="B4656" s="110">
        <v>1.1415502984787693</v>
      </c>
      <c r="C4656" s="110">
        <v>1.0300729057427294</v>
      </c>
      <c r="G4656" s="90">
        <v>4640</v>
      </c>
      <c r="H4656" s="100">
        <v>-0.10275766750017662</v>
      </c>
      <c r="I4656" s="100">
        <v>-2.4003137406360484E-2</v>
      </c>
    </row>
    <row r="4657" spans="1:9">
      <c r="A4657" s="90">
        <v>4641</v>
      </c>
      <c r="B4657" s="110">
        <v>1.122123333272828</v>
      </c>
      <c r="C4657" s="110">
        <v>1.0796507485014768</v>
      </c>
      <c r="G4657" s="90">
        <v>4641</v>
      </c>
      <c r="H4657" s="100">
        <v>-3.8585115942441378E-2</v>
      </c>
      <c r="I4657" s="100">
        <v>-2.3989776596989441E-2</v>
      </c>
    </row>
    <row r="4658" spans="1:9">
      <c r="A4658" s="90">
        <v>4642</v>
      </c>
      <c r="B4658" s="110">
        <v>1.1125963951334883</v>
      </c>
      <c r="C4658" s="110">
        <v>1.045313719927611</v>
      </c>
      <c r="G4658" s="90">
        <v>4642</v>
      </c>
      <c r="H4658" s="100">
        <v>-6.2379327795921528E-2</v>
      </c>
      <c r="I4658" s="100">
        <v>-2.3963516496396241E-2</v>
      </c>
    </row>
    <row r="4659" spans="1:9">
      <c r="A4659" s="90">
        <v>4643</v>
      </c>
      <c r="B4659" s="110">
        <v>1.1050470886393433</v>
      </c>
      <c r="C4659" s="110">
        <v>1.0478359016341776</v>
      </c>
      <c r="G4659" s="90">
        <v>4643</v>
      </c>
      <c r="H4659" s="100">
        <v>-5.3160956986601685E-2</v>
      </c>
      <c r="I4659" s="100">
        <v>-2.3956471890275548E-2</v>
      </c>
    </row>
    <row r="4660" spans="1:9">
      <c r="A4660" s="90">
        <v>4644</v>
      </c>
      <c r="B4660" s="110">
        <v>1.0963333159318369</v>
      </c>
      <c r="C4660" s="110">
        <v>1.0492057558076404</v>
      </c>
      <c r="G4660" s="90">
        <v>4644</v>
      </c>
      <c r="H4660" s="100">
        <v>-4.393780776952904E-2</v>
      </c>
      <c r="I4660" s="100">
        <v>-2.3945516375328907E-2</v>
      </c>
    </row>
    <row r="4661" spans="1:9">
      <c r="A4661" s="90">
        <v>4645</v>
      </c>
      <c r="B4661" s="110">
        <v>1.1258022103630914</v>
      </c>
      <c r="C4661" s="110">
        <v>1.0378641512716413</v>
      </c>
      <c r="G4661" s="90">
        <v>4645</v>
      </c>
      <c r="H4661" s="100">
        <v>-8.1330956698969142E-2</v>
      </c>
      <c r="I4661" s="100">
        <v>-2.3937574489961057E-2</v>
      </c>
    </row>
    <row r="4662" spans="1:9">
      <c r="A4662" s="90">
        <v>4646</v>
      </c>
      <c r="B4662" s="110">
        <v>1.0978050766283147</v>
      </c>
      <c r="C4662" s="110">
        <v>1.0444212274978708</v>
      </c>
      <c r="G4662" s="90">
        <v>4646</v>
      </c>
      <c r="H4662" s="100">
        <v>-4.9849918787069139E-2</v>
      </c>
      <c r="I4662" s="100">
        <v>-2.3874773217347826E-2</v>
      </c>
    </row>
    <row r="4663" spans="1:9">
      <c r="A4663" s="90">
        <v>4647</v>
      </c>
      <c r="B4663" s="110">
        <v>1.0924655576571094</v>
      </c>
      <c r="C4663" s="110">
        <v>1.056848343883497</v>
      </c>
      <c r="G4663" s="90">
        <v>4647</v>
      </c>
      <c r="H4663" s="100">
        <v>-3.3145902601986701E-2</v>
      </c>
      <c r="I4663" s="100">
        <v>-2.3845955834213371E-2</v>
      </c>
    </row>
    <row r="4664" spans="1:9">
      <c r="A4664" s="90">
        <v>4648</v>
      </c>
      <c r="B4664" s="110">
        <v>1.1043201598209469</v>
      </c>
      <c r="C4664" s="110">
        <v>1.0512437389200748</v>
      </c>
      <c r="G4664" s="90">
        <v>4648</v>
      </c>
      <c r="H4664" s="100">
        <v>-4.9255929206580805E-2</v>
      </c>
      <c r="I4664" s="100">
        <v>-2.3789147883368687E-2</v>
      </c>
    </row>
    <row r="4665" spans="1:9">
      <c r="A4665" s="90">
        <v>4649</v>
      </c>
      <c r="B4665" s="110">
        <v>1.1200467397853067</v>
      </c>
      <c r="C4665" s="110">
        <v>1.0738304293434064</v>
      </c>
      <c r="G4665" s="90">
        <v>4649</v>
      </c>
      <c r="H4665" s="100">
        <v>-4.2138319783522886E-2</v>
      </c>
      <c r="I4665" s="100">
        <v>-2.3735777911555914E-2</v>
      </c>
    </row>
    <row r="4666" spans="1:9">
      <c r="A4666" s="90">
        <v>4650</v>
      </c>
      <c r="B4666" s="110">
        <v>1.1304671817989937</v>
      </c>
      <c r="C4666" s="110">
        <v>1.0579295353722784</v>
      </c>
      <c r="G4666" s="90">
        <v>4650</v>
      </c>
      <c r="H4666" s="100">
        <v>-6.6317253013216587E-2</v>
      </c>
      <c r="I4666" s="100">
        <v>-2.3731646592231675E-2</v>
      </c>
    </row>
    <row r="4667" spans="1:9">
      <c r="A4667" s="90">
        <v>4651</v>
      </c>
      <c r="B4667" s="110">
        <v>1.1183259507429573</v>
      </c>
      <c r="C4667" s="110">
        <v>1.0585455912494426</v>
      </c>
      <c r="G4667" s="90">
        <v>4651</v>
      </c>
      <c r="H4667" s="100">
        <v>-5.4936998083414797E-2</v>
      </c>
      <c r="I4667" s="100">
        <v>-2.3654066289961067E-2</v>
      </c>
    </row>
    <row r="4668" spans="1:9">
      <c r="A4668" s="90">
        <v>4652</v>
      </c>
      <c r="B4668" s="110">
        <v>1.1221130688838337</v>
      </c>
      <c r="C4668" s="110">
        <v>1.0660956302786404</v>
      </c>
      <c r="G4668" s="90">
        <v>4652</v>
      </c>
      <c r="H4668" s="100">
        <v>-5.1210545254739274E-2</v>
      </c>
      <c r="I4668" s="100">
        <v>-2.3628384242059569E-2</v>
      </c>
    </row>
    <row r="4669" spans="1:9">
      <c r="A4669" s="90">
        <v>4653</v>
      </c>
      <c r="B4669" s="110">
        <v>1.1022467990748805</v>
      </c>
      <c r="C4669" s="110">
        <v>1.0863253694034338</v>
      </c>
      <c r="G4669" s="90">
        <v>4653</v>
      </c>
      <c r="H4669" s="100">
        <v>-1.4549861117932201E-2</v>
      </c>
      <c r="I4669" s="100">
        <v>-2.362104161817738E-2</v>
      </c>
    </row>
    <row r="4670" spans="1:9">
      <c r="A4670" s="90">
        <v>4654</v>
      </c>
      <c r="B4670" s="110">
        <v>1.1058617350273456</v>
      </c>
      <c r="C4670" s="110">
        <v>1.0529004621815063</v>
      </c>
      <c r="G4670" s="90">
        <v>4654</v>
      </c>
      <c r="H4670" s="100">
        <v>-4.9076180906660896E-2</v>
      </c>
      <c r="I4670" s="100">
        <v>-2.35896145797602E-2</v>
      </c>
    </row>
    <row r="4671" spans="1:9">
      <c r="A4671" s="90">
        <v>4655</v>
      </c>
      <c r="B4671" s="110">
        <v>1.130047082920876</v>
      </c>
      <c r="C4671" s="110">
        <v>1.0508816715188634</v>
      </c>
      <c r="G4671" s="90">
        <v>4655</v>
      </c>
      <c r="H4671" s="100">
        <v>-7.2629799167679698E-2</v>
      </c>
      <c r="I4671" s="100">
        <v>-2.3587486990560732E-2</v>
      </c>
    </row>
    <row r="4672" spans="1:9">
      <c r="A4672" s="90">
        <v>4656</v>
      </c>
      <c r="B4672" s="110">
        <v>1.1283697969163686</v>
      </c>
      <c r="C4672" s="110">
        <v>1.0623001108469472</v>
      </c>
      <c r="G4672" s="90">
        <v>4656</v>
      </c>
      <c r="H4672" s="100">
        <v>-6.0337460345706813E-2</v>
      </c>
      <c r="I4672" s="100">
        <v>-2.3565371501092315E-2</v>
      </c>
    </row>
    <row r="4673" spans="1:9">
      <c r="A4673" s="90">
        <v>4657</v>
      </c>
      <c r="B4673" s="110">
        <v>1.153385629693189</v>
      </c>
      <c r="C4673" s="110">
        <v>1.0614400251071994</v>
      </c>
      <c r="G4673" s="90">
        <v>4657</v>
      </c>
      <c r="H4673" s="100">
        <v>-8.3075142607691263E-2</v>
      </c>
      <c r="I4673" s="100">
        <v>-2.354250220988938E-2</v>
      </c>
    </row>
    <row r="4674" spans="1:9">
      <c r="A4674" s="90">
        <v>4658</v>
      </c>
      <c r="B4674" s="110">
        <v>1.125622475062569</v>
      </c>
      <c r="C4674" s="110">
        <v>1.0699673269863443</v>
      </c>
      <c r="G4674" s="90">
        <v>4658</v>
      </c>
      <c r="H4674" s="100">
        <v>-5.0708081322115323E-2</v>
      </c>
      <c r="I4674" s="100">
        <v>-2.3516591647542655E-2</v>
      </c>
    </row>
    <row r="4675" spans="1:9">
      <c r="A4675" s="90">
        <v>4659</v>
      </c>
      <c r="B4675" s="110">
        <v>1.0954517445510634</v>
      </c>
      <c r="C4675" s="110">
        <v>1.0337837977688382</v>
      </c>
      <c r="G4675" s="90">
        <v>4659</v>
      </c>
      <c r="H4675" s="100">
        <v>-5.7941169137324999E-2</v>
      </c>
      <c r="I4675" s="100">
        <v>-2.3513609778018474E-2</v>
      </c>
    </row>
    <row r="4676" spans="1:9">
      <c r="A4676" s="90">
        <v>4660</v>
      </c>
      <c r="B4676" s="110">
        <v>1.1113925392528774</v>
      </c>
      <c r="C4676" s="110">
        <v>1.0586982738841677</v>
      </c>
      <c r="G4676" s="90">
        <v>4660</v>
      </c>
      <c r="H4676" s="100">
        <v>-4.8573658958957655E-2</v>
      </c>
      <c r="I4676" s="100">
        <v>-2.3497173892986434E-2</v>
      </c>
    </row>
    <row r="4677" spans="1:9">
      <c r="A4677" s="90">
        <v>4661</v>
      </c>
      <c r="B4677" s="110">
        <v>1.0864765509702059</v>
      </c>
      <c r="C4677" s="110">
        <v>1.0665696943336598</v>
      </c>
      <c r="G4677" s="90">
        <v>4661</v>
      </c>
      <c r="H4677" s="100">
        <v>-1.8492332866855355E-2</v>
      </c>
      <c r="I4677" s="100">
        <v>-2.3490907352987075E-2</v>
      </c>
    </row>
    <row r="4678" spans="1:9">
      <c r="A4678" s="90">
        <v>4662</v>
      </c>
      <c r="B4678" s="110">
        <v>1.1317268300718046</v>
      </c>
      <c r="C4678" s="110">
        <v>1.0602159564242819</v>
      </c>
      <c r="G4678" s="90">
        <v>4662</v>
      </c>
      <c r="H4678" s="100">
        <v>-6.5272014619497817E-2</v>
      </c>
      <c r="I4678" s="100">
        <v>-2.3483719215397013E-2</v>
      </c>
    </row>
    <row r="4679" spans="1:9">
      <c r="A4679" s="90">
        <v>4663</v>
      </c>
      <c r="B4679" s="110">
        <v>1.12552189628857</v>
      </c>
      <c r="C4679" s="110">
        <v>1.0513060233929596</v>
      </c>
      <c r="G4679" s="90">
        <v>4663</v>
      </c>
      <c r="H4679" s="100">
        <v>-6.8213612842156948E-2</v>
      </c>
      <c r="I4679" s="100">
        <v>-2.3470449249848126E-2</v>
      </c>
    </row>
    <row r="4680" spans="1:9">
      <c r="A4680" s="90">
        <v>4664</v>
      </c>
      <c r="B4680" s="110">
        <v>1.1104166929356654</v>
      </c>
      <c r="C4680" s="110">
        <v>1.0602376416683787</v>
      </c>
      <c r="G4680" s="90">
        <v>4664</v>
      </c>
      <c r="H4680" s="100">
        <v>-4.6242270670508123E-2</v>
      </c>
      <c r="I4680" s="100">
        <v>-2.3460570186935009E-2</v>
      </c>
    </row>
    <row r="4681" spans="1:9">
      <c r="A4681" s="90">
        <v>4665</v>
      </c>
      <c r="B4681" s="110">
        <v>1.1217456364838825</v>
      </c>
      <c r="C4681" s="110">
        <v>1.0337353279634895</v>
      </c>
      <c r="G4681" s="90">
        <v>4665</v>
      </c>
      <c r="H4681" s="100">
        <v>-8.17073017148294E-2</v>
      </c>
      <c r="I4681" s="100">
        <v>-2.3434969790547044E-2</v>
      </c>
    </row>
    <row r="4682" spans="1:9">
      <c r="A4682" s="90">
        <v>4666</v>
      </c>
      <c r="B4682" s="110">
        <v>1.0929014512319568</v>
      </c>
      <c r="C4682" s="110">
        <v>1.0568579966516691</v>
      </c>
      <c r="G4682" s="90">
        <v>4666</v>
      </c>
      <c r="H4682" s="100">
        <v>-3.3535689355767576E-2</v>
      </c>
      <c r="I4682" s="100">
        <v>-2.3393992725324129E-2</v>
      </c>
    </row>
    <row r="4683" spans="1:9">
      <c r="A4683" s="90">
        <v>4667</v>
      </c>
      <c r="B4683" s="110">
        <v>1.1084577806949423</v>
      </c>
      <c r="C4683" s="110">
        <v>1.0587984334908309</v>
      </c>
      <c r="G4683" s="90">
        <v>4667</v>
      </c>
      <c r="H4683" s="100">
        <v>-4.5834950614233955E-2</v>
      </c>
      <c r="I4683" s="100">
        <v>-2.3379813479632264E-2</v>
      </c>
    </row>
    <row r="4684" spans="1:9">
      <c r="A4684" s="90">
        <v>4668</v>
      </c>
      <c r="B4684" s="110">
        <v>1.0979426237432826</v>
      </c>
      <c r="C4684" s="110">
        <v>1.063570813999388</v>
      </c>
      <c r="G4684" s="90">
        <v>4668</v>
      </c>
      <c r="H4684" s="100">
        <v>-3.1806147236632241E-2</v>
      </c>
      <c r="I4684" s="100">
        <v>-2.335167228867821E-2</v>
      </c>
    </row>
    <row r="4685" spans="1:9">
      <c r="A4685" s="90">
        <v>4669</v>
      </c>
      <c r="B4685" s="110">
        <v>1.0999648292831956</v>
      </c>
      <c r="C4685" s="110">
        <v>1.0442839268097428</v>
      </c>
      <c r="G4685" s="90">
        <v>4669</v>
      </c>
      <c r="H4685" s="100">
        <v>-5.1946792882640452E-2</v>
      </c>
      <c r="I4685" s="100">
        <v>-2.332847990923614E-2</v>
      </c>
    </row>
    <row r="4686" spans="1:9">
      <c r="A4686" s="90">
        <v>4670</v>
      </c>
      <c r="B4686" s="110">
        <v>1.1204431751359434</v>
      </c>
      <c r="C4686" s="110">
        <v>1.0529990282333264</v>
      </c>
      <c r="G4686" s="90">
        <v>4670</v>
      </c>
      <c r="H4686" s="100">
        <v>-6.2081988831126936E-2</v>
      </c>
      <c r="I4686" s="100">
        <v>-2.3263940160294122E-2</v>
      </c>
    </row>
    <row r="4687" spans="1:9">
      <c r="A4687" s="90">
        <v>4671</v>
      </c>
      <c r="B4687" s="110">
        <v>1.100473513423839</v>
      </c>
      <c r="C4687" s="110">
        <v>1.0446718105456554</v>
      </c>
      <c r="G4687" s="90">
        <v>4671</v>
      </c>
      <c r="H4687" s="100">
        <v>-5.203777473256805E-2</v>
      </c>
      <c r="I4687" s="100">
        <v>-2.3263206844825603E-2</v>
      </c>
    </row>
    <row r="4688" spans="1:9">
      <c r="A4688" s="90">
        <v>4672</v>
      </c>
      <c r="B4688" s="110">
        <v>1.1026202980333666</v>
      </c>
      <c r="C4688" s="110">
        <v>1.0792529902880699</v>
      </c>
      <c r="G4688" s="90">
        <v>4672</v>
      </c>
      <c r="H4688" s="100">
        <v>-2.1420310089878516E-2</v>
      </c>
      <c r="I4688" s="100">
        <v>-2.3256284320702349E-2</v>
      </c>
    </row>
    <row r="4689" spans="1:9">
      <c r="A4689" s="90">
        <v>4673</v>
      </c>
      <c r="B4689" s="110">
        <v>1.1309810729078964</v>
      </c>
      <c r="C4689" s="110">
        <v>1.0527810798627506</v>
      </c>
      <c r="G4689" s="90">
        <v>4673</v>
      </c>
      <c r="H4689" s="100">
        <v>-7.1650151992063774E-2</v>
      </c>
      <c r="I4689" s="100">
        <v>-2.3243514814264014E-2</v>
      </c>
    </row>
    <row r="4690" spans="1:9">
      <c r="A4690" s="90">
        <v>4674</v>
      </c>
      <c r="B4690" s="110">
        <v>1.1199405586311766</v>
      </c>
      <c r="C4690" s="110">
        <v>1.0463107644355027</v>
      </c>
      <c r="G4690" s="90">
        <v>4674</v>
      </c>
      <c r="H4690" s="100">
        <v>-6.8005191799293777E-2</v>
      </c>
      <c r="I4690" s="100">
        <v>-2.3183801446676928E-2</v>
      </c>
    </row>
    <row r="4691" spans="1:9">
      <c r="A4691" s="90">
        <v>4675</v>
      </c>
      <c r="B4691" s="110">
        <v>1.0951711297273663</v>
      </c>
      <c r="C4691" s="110">
        <v>1.0453409906609772</v>
      </c>
      <c r="G4691" s="90">
        <v>4675</v>
      </c>
      <c r="H4691" s="100">
        <v>-4.6567494870731529E-2</v>
      </c>
      <c r="I4691" s="100">
        <v>-2.3108394477240717E-2</v>
      </c>
    </row>
    <row r="4692" spans="1:9">
      <c r="A4692" s="90">
        <v>4676</v>
      </c>
      <c r="B4692" s="110">
        <v>1.1214421020427587</v>
      </c>
      <c r="C4692" s="110">
        <v>1.0482136769265986</v>
      </c>
      <c r="G4692" s="90">
        <v>4676</v>
      </c>
      <c r="H4692" s="100">
        <v>-6.7527992868846642E-2</v>
      </c>
      <c r="I4692" s="100">
        <v>-2.3061981874945771E-2</v>
      </c>
    </row>
    <row r="4693" spans="1:9">
      <c r="A4693" s="90">
        <v>4677</v>
      </c>
      <c r="B4693" s="110">
        <v>1.1064761702636776</v>
      </c>
      <c r="C4693" s="110">
        <v>1.0408919870254183</v>
      </c>
      <c r="G4693" s="90">
        <v>4677</v>
      </c>
      <c r="H4693" s="100">
        <v>-6.1102318751160713E-2</v>
      </c>
      <c r="I4693" s="100">
        <v>-2.3005434531696872E-2</v>
      </c>
    </row>
    <row r="4694" spans="1:9">
      <c r="A4694" s="90">
        <v>4678</v>
      </c>
      <c r="B4694" s="110">
        <v>1.1200779841809241</v>
      </c>
      <c r="C4694" s="110">
        <v>1.0628506133209712</v>
      </c>
      <c r="G4694" s="90">
        <v>4678</v>
      </c>
      <c r="H4694" s="100">
        <v>-5.2443755225993524E-2</v>
      </c>
      <c r="I4694" s="100">
        <v>-2.2991523876567343E-2</v>
      </c>
    </row>
    <row r="4695" spans="1:9">
      <c r="A4695" s="90">
        <v>4679</v>
      </c>
      <c r="B4695" s="110">
        <v>1.1094001049450672</v>
      </c>
      <c r="C4695" s="110">
        <v>1.0413202381314814</v>
      </c>
      <c r="G4695" s="90">
        <v>4679</v>
      </c>
      <c r="H4695" s="100">
        <v>-6.3330055422884307E-2</v>
      </c>
      <c r="I4695" s="100">
        <v>-2.2921537140829052E-2</v>
      </c>
    </row>
    <row r="4696" spans="1:9">
      <c r="A4696" s="90">
        <v>4680</v>
      </c>
      <c r="B4696" s="110">
        <v>1.1228791912140088</v>
      </c>
      <c r="C4696" s="110">
        <v>1.0433891234680726</v>
      </c>
      <c r="G4696" s="90">
        <v>4680</v>
      </c>
      <c r="H4696" s="100">
        <v>-7.3421905707331259E-2</v>
      </c>
      <c r="I4696" s="100">
        <v>-2.2912132238003067E-2</v>
      </c>
    </row>
    <row r="4697" spans="1:9">
      <c r="A4697" s="90">
        <v>4681</v>
      </c>
      <c r="B4697" s="110">
        <v>1.1073309170864023</v>
      </c>
      <c r="C4697" s="110">
        <v>1.0395779890100971</v>
      </c>
      <c r="G4697" s="90">
        <v>4681</v>
      </c>
      <c r="H4697" s="100">
        <v>-6.3137689475037673E-2</v>
      </c>
      <c r="I4697" s="100">
        <v>-2.2885022627820467E-2</v>
      </c>
    </row>
    <row r="4698" spans="1:9">
      <c r="A4698" s="90">
        <v>4682</v>
      </c>
      <c r="B4698" s="110">
        <v>1.0912461155149524</v>
      </c>
      <c r="C4698" s="110">
        <v>1.0684250859754618</v>
      </c>
      <c r="G4698" s="90">
        <v>4682</v>
      </c>
      <c r="H4698" s="100">
        <v>-2.1134586574673909E-2</v>
      </c>
      <c r="I4698" s="100">
        <v>-2.2871914140871009E-2</v>
      </c>
    </row>
    <row r="4699" spans="1:9">
      <c r="A4699" s="90">
        <v>4683</v>
      </c>
      <c r="B4699" s="110">
        <v>1.0965960881539052</v>
      </c>
      <c r="C4699" s="110">
        <v>1.0535404279470797</v>
      </c>
      <c r="G4699" s="90">
        <v>4683</v>
      </c>
      <c r="H4699" s="100">
        <v>-4.0054588315430573E-2</v>
      </c>
      <c r="I4699" s="100">
        <v>-2.2833952036370619E-2</v>
      </c>
    </row>
    <row r="4700" spans="1:9">
      <c r="A4700" s="90">
        <v>4684</v>
      </c>
      <c r="B4700" s="110">
        <v>1.0885110693436437</v>
      </c>
      <c r="C4700" s="110">
        <v>1.045144510695305</v>
      </c>
      <c r="G4700" s="90">
        <v>4684</v>
      </c>
      <c r="H4700" s="100">
        <v>-4.0655607393816073E-2</v>
      </c>
      <c r="I4700" s="100">
        <v>-2.2825135792900967E-2</v>
      </c>
    </row>
    <row r="4701" spans="1:9">
      <c r="A4701" s="90">
        <v>4685</v>
      </c>
      <c r="B4701" s="110">
        <v>1.0972313977719121</v>
      </c>
      <c r="C4701" s="110">
        <v>1.0548299312755782</v>
      </c>
      <c r="G4701" s="90">
        <v>4685</v>
      </c>
      <c r="H4701" s="100">
        <v>-3.9410544591193447E-2</v>
      </c>
      <c r="I4701" s="100">
        <v>-2.2751695498689006E-2</v>
      </c>
    </row>
    <row r="4702" spans="1:9">
      <c r="A4702" s="90">
        <v>4686</v>
      </c>
      <c r="B4702" s="110">
        <v>1.1191013692521719</v>
      </c>
      <c r="C4702" s="110">
        <v>1.0531774012110522</v>
      </c>
      <c r="G4702" s="90">
        <v>4686</v>
      </c>
      <c r="H4702" s="100">
        <v>-6.0714323223643153E-2</v>
      </c>
      <c r="I4702" s="100">
        <v>-2.2692321413549377E-2</v>
      </c>
    </row>
    <row r="4703" spans="1:9">
      <c r="A4703" s="90">
        <v>4687</v>
      </c>
      <c r="B4703" s="110">
        <v>1.1068559828172568</v>
      </c>
      <c r="C4703" s="110">
        <v>1.0748229882594269</v>
      </c>
      <c r="G4703" s="90">
        <v>4687</v>
      </c>
      <c r="H4703" s="100">
        <v>-2.9367562503378578E-2</v>
      </c>
      <c r="I4703" s="100">
        <v>-2.2625856686161842E-2</v>
      </c>
    </row>
    <row r="4704" spans="1:9">
      <c r="A4704" s="90">
        <v>4688</v>
      </c>
      <c r="B4704" s="110">
        <v>1.1090170005444633</v>
      </c>
      <c r="C4704" s="110">
        <v>1.0517364894892001</v>
      </c>
      <c r="G4704" s="90">
        <v>4688</v>
      </c>
      <c r="H4704" s="100">
        <v>-5.3031440204604763E-2</v>
      </c>
      <c r="I4704" s="100">
        <v>-2.2619549278709575E-2</v>
      </c>
    </row>
    <row r="4705" spans="1:9">
      <c r="A4705" s="90">
        <v>4689</v>
      </c>
      <c r="B4705" s="110">
        <v>1.1115000634484591</v>
      </c>
      <c r="C4705" s="110">
        <v>1.0517300092167439</v>
      </c>
      <c r="G4705" s="90">
        <v>4689</v>
      </c>
      <c r="H4705" s="100">
        <v>-5.5274075360483711E-2</v>
      </c>
      <c r="I4705" s="100">
        <v>-2.2590489861417949E-2</v>
      </c>
    </row>
    <row r="4706" spans="1:9">
      <c r="A4706" s="90">
        <v>4690</v>
      </c>
      <c r="B4706" s="110">
        <v>1.0986537392276734</v>
      </c>
      <c r="C4706" s="110">
        <v>1.044503176221357</v>
      </c>
      <c r="G4706" s="90">
        <v>4690</v>
      </c>
      <c r="H4706" s="100">
        <v>-5.0544213919112624E-2</v>
      </c>
      <c r="I4706" s="100">
        <v>-2.256645241753617E-2</v>
      </c>
    </row>
    <row r="4707" spans="1:9">
      <c r="A4707" s="90">
        <v>4691</v>
      </c>
      <c r="B4707" s="110">
        <v>1.137335542245224</v>
      </c>
      <c r="C4707" s="110">
        <v>1.0664229822932758</v>
      </c>
      <c r="G4707" s="90">
        <v>4691</v>
      </c>
      <c r="H4707" s="100">
        <v>-6.437824220666527E-2</v>
      </c>
      <c r="I4707" s="100">
        <v>-2.2521580904994523E-2</v>
      </c>
    </row>
    <row r="4708" spans="1:9">
      <c r="A4708" s="90">
        <v>4692</v>
      </c>
      <c r="B4708" s="110">
        <v>1.1470580022849601</v>
      </c>
      <c r="C4708" s="110">
        <v>1.0506785062747417</v>
      </c>
      <c r="G4708" s="90">
        <v>4692</v>
      </c>
      <c r="H4708" s="100">
        <v>-8.7764253629987257E-2</v>
      </c>
      <c r="I4708" s="100">
        <v>-2.240866428113231E-2</v>
      </c>
    </row>
    <row r="4709" spans="1:9">
      <c r="A4709" s="90">
        <v>4693</v>
      </c>
      <c r="B4709" s="110">
        <v>1.1355205037262388</v>
      </c>
      <c r="C4709" s="110">
        <v>1.0481037460785896</v>
      </c>
      <c r="G4709" s="90">
        <v>4693</v>
      </c>
      <c r="H4709" s="100">
        <v>-8.0108564053830059E-2</v>
      </c>
      <c r="I4709" s="100">
        <v>-2.2337962835609671E-2</v>
      </c>
    </row>
    <row r="4710" spans="1:9">
      <c r="A4710" s="90">
        <v>4694</v>
      </c>
      <c r="B4710" s="110">
        <v>1.0931345000223971</v>
      </c>
      <c r="C4710" s="110">
        <v>1.0634099962978336</v>
      </c>
      <c r="G4710" s="90">
        <v>4694</v>
      </c>
      <c r="H4710" s="100">
        <v>-2.7568535092233084E-2</v>
      </c>
      <c r="I4710" s="100">
        <v>-2.2321781223844005E-2</v>
      </c>
    </row>
    <row r="4711" spans="1:9">
      <c r="A4711" s="90">
        <v>4695</v>
      </c>
      <c r="B4711" s="110">
        <v>1.1186570785229553</v>
      </c>
      <c r="C4711" s="110">
        <v>1.0474600934886655</v>
      </c>
      <c r="G4711" s="90">
        <v>4695</v>
      </c>
      <c r="H4711" s="100">
        <v>-6.5760653673637592E-2</v>
      </c>
      <c r="I4711" s="100">
        <v>-2.2308714760025321E-2</v>
      </c>
    </row>
    <row r="4712" spans="1:9">
      <c r="A4712" s="90">
        <v>4696</v>
      </c>
      <c r="B4712" s="110">
        <v>1.0936711191333086</v>
      </c>
      <c r="C4712" s="110">
        <v>1.0474578921182613</v>
      </c>
      <c r="G4712" s="90">
        <v>4696</v>
      </c>
      <c r="H4712" s="100">
        <v>-4.3173862888338042E-2</v>
      </c>
      <c r="I4712" s="100">
        <v>-2.2290503066974977E-2</v>
      </c>
    </row>
    <row r="4713" spans="1:9">
      <c r="A4713" s="90">
        <v>4697</v>
      </c>
      <c r="B4713" s="110">
        <v>1.1206011089002821</v>
      </c>
      <c r="C4713" s="110">
        <v>1.0474454831149456</v>
      </c>
      <c r="G4713" s="90">
        <v>4697</v>
      </c>
      <c r="H4713" s="100">
        <v>-6.7510919007195525E-2</v>
      </c>
      <c r="I4713" s="100">
        <v>-2.2289557765324538E-2</v>
      </c>
    </row>
    <row r="4714" spans="1:9">
      <c r="A4714" s="90">
        <v>4698</v>
      </c>
      <c r="B4714" s="110">
        <v>1.1536343474088755</v>
      </c>
      <c r="C4714" s="110">
        <v>1.050097502380652</v>
      </c>
      <c r="G4714" s="90">
        <v>4698</v>
      </c>
      <c r="H4714" s="100">
        <v>-9.4034241943067115E-2</v>
      </c>
      <c r="I4714" s="100">
        <v>-2.2283721098045977E-2</v>
      </c>
    </row>
    <row r="4715" spans="1:9">
      <c r="A4715" s="90">
        <v>4699</v>
      </c>
      <c r="B4715" s="110">
        <v>1.1024474327932596</v>
      </c>
      <c r="C4715" s="110">
        <v>1.0494285165094301</v>
      </c>
      <c r="G4715" s="90">
        <v>4699</v>
      </c>
      <c r="H4715" s="100">
        <v>-4.9286901186286043E-2</v>
      </c>
      <c r="I4715" s="100">
        <v>-2.2270313528385384E-2</v>
      </c>
    </row>
    <row r="4716" spans="1:9">
      <c r="A4716" s="90">
        <v>4700</v>
      </c>
      <c r="B4716" s="110">
        <v>1.1116484056058045</v>
      </c>
      <c r="C4716" s="110">
        <v>1.0552603349845986</v>
      </c>
      <c r="G4716" s="90">
        <v>4700</v>
      </c>
      <c r="H4716" s="100">
        <v>-5.2056464317530998E-2</v>
      </c>
      <c r="I4716" s="100">
        <v>-2.2217059743578668E-2</v>
      </c>
    </row>
    <row r="4717" spans="1:9">
      <c r="A4717" s="90">
        <v>4701</v>
      </c>
      <c r="B4717" s="110">
        <v>1.11115265516636</v>
      </c>
      <c r="C4717" s="110">
        <v>1.0704421420961072</v>
      </c>
      <c r="G4717" s="90">
        <v>4701</v>
      </c>
      <c r="H4717" s="100">
        <v>-3.7326124573107126E-2</v>
      </c>
      <c r="I4717" s="100">
        <v>-2.2207554467299325E-2</v>
      </c>
    </row>
    <row r="4718" spans="1:9">
      <c r="A4718" s="90">
        <v>4702</v>
      </c>
      <c r="B4718" s="110">
        <v>1.1337006570839612</v>
      </c>
      <c r="C4718" s="110">
        <v>1.0249712935066437</v>
      </c>
      <c r="G4718" s="90">
        <v>4702</v>
      </c>
      <c r="H4718" s="100">
        <v>-0.10082259377049341</v>
      </c>
      <c r="I4718" s="100">
        <v>-2.2185823409080738E-2</v>
      </c>
    </row>
    <row r="4719" spans="1:9">
      <c r="A4719" s="90">
        <v>4703</v>
      </c>
      <c r="B4719" s="110">
        <v>1.0893452284008025</v>
      </c>
      <c r="C4719" s="110">
        <v>1.0533813538531376</v>
      </c>
      <c r="G4719" s="90">
        <v>4703</v>
      </c>
      <c r="H4719" s="100">
        <v>-3.3571480861968976E-2</v>
      </c>
      <c r="I4719" s="100">
        <v>-2.2175041602847223E-2</v>
      </c>
    </row>
    <row r="4720" spans="1:9">
      <c r="A4720" s="90">
        <v>4704</v>
      </c>
      <c r="B4720" s="110">
        <v>1.0677745579611588</v>
      </c>
      <c r="C4720" s="110">
        <v>1.0401170049852315</v>
      </c>
      <c r="G4720" s="90">
        <v>4704</v>
      </c>
      <c r="H4720" s="100">
        <v>-2.6243418585851795E-2</v>
      </c>
      <c r="I4720" s="100">
        <v>-2.204512139995549E-2</v>
      </c>
    </row>
    <row r="4721" spans="1:9">
      <c r="A4721" s="90">
        <v>4705</v>
      </c>
      <c r="B4721" s="110">
        <v>1.1163020332910878</v>
      </c>
      <c r="C4721" s="110">
        <v>1.0461916958252946</v>
      </c>
      <c r="G4721" s="90">
        <v>4705</v>
      </c>
      <c r="H4721" s="100">
        <v>-6.4864852033673759E-2</v>
      </c>
      <c r="I4721" s="100">
        <v>-2.2015372033392235E-2</v>
      </c>
    </row>
    <row r="4722" spans="1:9">
      <c r="A4722" s="90">
        <v>4706</v>
      </c>
      <c r="B4722" s="110">
        <v>1.1358593508245878</v>
      </c>
      <c r="C4722" s="110">
        <v>1.0552397980648884</v>
      </c>
      <c r="G4722" s="90">
        <v>4706</v>
      </c>
      <c r="H4722" s="100">
        <v>-7.3621463895900782E-2</v>
      </c>
      <c r="I4722" s="100">
        <v>-2.1967815764520775E-2</v>
      </c>
    </row>
    <row r="4723" spans="1:9">
      <c r="A4723" s="90">
        <v>4707</v>
      </c>
      <c r="B4723" s="110">
        <v>1.0958438202174308</v>
      </c>
      <c r="C4723" s="110">
        <v>1.0486340368286298</v>
      </c>
      <c r="G4723" s="90">
        <v>4707</v>
      </c>
      <c r="H4723" s="100">
        <v>-4.4036278634303053E-2</v>
      </c>
      <c r="I4723" s="100">
        <v>-2.194989406446184E-2</v>
      </c>
    </row>
    <row r="4724" spans="1:9">
      <c r="A4724" s="90">
        <v>4708</v>
      </c>
      <c r="B4724" s="110">
        <v>1.1241977915482069</v>
      </c>
      <c r="C4724" s="110">
        <v>1.0498780411425754</v>
      </c>
      <c r="G4724" s="90">
        <v>4708</v>
      </c>
      <c r="H4724" s="100">
        <v>-6.8395700988131442E-2</v>
      </c>
      <c r="I4724" s="100">
        <v>-2.1881952175506734E-2</v>
      </c>
    </row>
    <row r="4725" spans="1:9">
      <c r="A4725" s="90">
        <v>4709</v>
      </c>
      <c r="B4725" s="110">
        <v>1.1401229814119165</v>
      </c>
      <c r="C4725" s="110">
        <v>1.0393696490262609</v>
      </c>
      <c r="G4725" s="90">
        <v>4709</v>
      </c>
      <c r="H4725" s="100">
        <v>-9.2521712328611103E-2</v>
      </c>
      <c r="I4725" s="100">
        <v>-2.1857094062499752E-2</v>
      </c>
    </row>
    <row r="4726" spans="1:9">
      <c r="A4726" s="90">
        <v>4710</v>
      </c>
      <c r="B4726" s="110">
        <v>1.1005632695482723</v>
      </c>
      <c r="C4726" s="110">
        <v>1.0477336159897919</v>
      </c>
      <c r="G4726" s="90">
        <v>4710</v>
      </c>
      <c r="H4726" s="100">
        <v>-4.9192741597417974E-2</v>
      </c>
      <c r="I4726" s="100">
        <v>-2.1849733394184317E-2</v>
      </c>
    </row>
    <row r="4727" spans="1:9">
      <c r="A4727" s="90">
        <v>4711</v>
      </c>
      <c r="B4727" s="110">
        <v>1.1002320406744903</v>
      </c>
      <c r="C4727" s="110">
        <v>1.0482106940500671</v>
      </c>
      <c r="G4727" s="90">
        <v>4711</v>
      </c>
      <c r="H4727" s="100">
        <v>-4.8436493992920708E-2</v>
      </c>
      <c r="I4727" s="100">
        <v>-2.1840439336853607E-2</v>
      </c>
    </row>
    <row r="4728" spans="1:9">
      <c r="A4728" s="90">
        <v>4712</v>
      </c>
      <c r="B4728" s="110">
        <v>1.0987180508368553</v>
      </c>
      <c r="C4728" s="110">
        <v>1.0678334960305884</v>
      </c>
      <c r="G4728" s="90">
        <v>4712</v>
      </c>
      <c r="H4728" s="100">
        <v>-2.8512266066984988E-2</v>
      </c>
      <c r="I4728" s="100">
        <v>-2.1807317983012102E-2</v>
      </c>
    </row>
    <row r="4729" spans="1:9">
      <c r="A4729" s="90">
        <v>4713</v>
      </c>
      <c r="B4729" s="110">
        <v>1.1235551811216127</v>
      </c>
      <c r="C4729" s="110">
        <v>1.0388436815338429</v>
      </c>
      <c r="G4729" s="90">
        <v>4713</v>
      </c>
      <c r="H4729" s="100">
        <v>-7.838967689371544E-2</v>
      </c>
      <c r="I4729" s="100">
        <v>-2.1780096104419285E-2</v>
      </c>
    </row>
    <row r="4730" spans="1:9">
      <c r="A4730" s="90">
        <v>4714</v>
      </c>
      <c r="B4730" s="110">
        <v>1.0957265950264088</v>
      </c>
      <c r="C4730" s="110">
        <v>1.0532348965795728</v>
      </c>
      <c r="G4730" s="90">
        <v>4714</v>
      </c>
      <c r="H4730" s="100">
        <v>-3.9551418364121335E-2</v>
      </c>
      <c r="I4730" s="100">
        <v>-2.1770506375674747E-2</v>
      </c>
    </row>
    <row r="4731" spans="1:9">
      <c r="A4731" s="90">
        <v>4715</v>
      </c>
      <c r="B4731" s="110">
        <v>1.136879659187032</v>
      </c>
      <c r="C4731" s="110">
        <v>1.0624845530247842</v>
      </c>
      <c r="G4731" s="90">
        <v>4715</v>
      </c>
      <c r="H4731" s="100">
        <v>-6.7677285141094543E-2</v>
      </c>
      <c r="I4731" s="100">
        <v>-2.1746095280726945E-2</v>
      </c>
    </row>
    <row r="4732" spans="1:9">
      <c r="A4732" s="90">
        <v>4716</v>
      </c>
      <c r="B4732" s="110">
        <v>1.0860624961710321</v>
      </c>
      <c r="C4732" s="110">
        <v>1.056101434672559</v>
      </c>
      <c r="G4732" s="90">
        <v>4716</v>
      </c>
      <c r="H4732" s="100">
        <v>-2.7974530742620775E-2</v>
      </c>
      <c r="I4732" s="100">
        <v>-2.1703578938550964E-2</v>
      </c>
    </row>
    <row r="4733" spans="1:9">
      <c r="A4733" s="90">
        <v>4717</v>
      </c>
      <c r="B4733" s="110">
        <v>1.1419844555835754</v>
      </c>
      <c r="C4733" s="110">
        <v>1.0527233405940319</v>
      </c>
      <c r="G4733" s="90">
        <v>4717</v>
      </c>
      <c r="H4733" s="100">
        <v>-8.1387035415642323E-2</v>
      </c>
      <c r="I4733" s="100">
        <v>-2.1619678024435388E-2</v>
      </c>
    </row>
    <row r="4734" spans="1:9">
      <c r="A4734" s="90">
        <v>4718</v>
      </c>
      <c r="B4734" s="110">
        <v>1.1427837502718852</v>
      </c>
      <c r="C4734" s="110">
        <v>1.0381178069784645</v>
      </c>
      <c r="G4734" s="90">
        <v>4718</v>
      </c>
      <c r="H4734" s="100">
        <v>-9.6057899547701664E-2</v>
      </c>
      <c r="I4734" s="100">
        <v>-2.1604409301364254E-2</v>
      </c>
    </row>
    <row r="4735" spans="1:9">
      <c r="A4735" s="90">
        <v>4719</v>
      </c>
      <c r="B4735" s="110">
        <v>1.1085540312996258</v>
      </c>
      <c r="C4735" s="110">
        <v>1.0460363639168355</v>
      </c>
      <c r="G4735" s="90">
        <v>4719</v>
      </c>
      <c r="H4735" s="100">
        <v>-5.8048361824085036E-2</v>
      </c>
      <c r="I4735" s="100">
        <v>-2.1563497139728917E-2</v>
      </c>
    </row>
    <row r="4736" spans="1:9">
      <c r="A4736" s="90">
        <v>4720</v>
      </c>
      <c r="B4736" s="110">
        <v>1.1327991671585511</v>
      </c>
      <c r="C4736" s="110">
        <v>1.0536656784742298</v>
      </c>
      <c r="G4736" s="90">
        <v>4720</v>
      </c>
      <c r="H4736" s="100">
        <v>-7.2416502046621062E-2</v>
      </c>
      <c r="I4736" s="100">
        <v>-2.1546319751356811E-2</v>
      </c>
    </row>
    <row r="4737" spans="1:9">
      <c r="A4737" s="90">
        <v>4721</v>
      </c>
      <c r="B4737" s="110">
        <v>1.104475631018043</v>
      </c>
      <c r="C4737" s="110">
        <v>1.0456871298531345</v>
      </c>
      <c r="G4737" s="90">
        <v>4721</v>
      </c>
      <c r="H4737" s="100">
        <v>-5.4696470412843777E-2</v>
      </c>
      <c r="I4737" s="100">
        <v>-2.1536654147017189E-2</v>
      </c>
    </row>
    <row r="4738" spans="1:9">
      <c r="A4738" s="90">
        <v>4722</v>
      </c>
      <c r="B4738" s="110">
        <v>1.1062749202516384</v>
      </c>
      <c r="C4738" s="110">
        <v>1.0482608061210514</v>
      </c>
      <c r="G4738" s="90">
        <v>4722</v>
      </c>
      <c r="H4738" s="100">
        <v>-5.3866028126752757E-2</v>
      </c>
      <c r="I4738" s="100">
        <v>-2.1526493143094301E-2</v>
      </c>
    </row>
    <row r="4739" spans="1:9">
      <c r="A4739" s="90">
        <v>4723</v>
      </c>
      <c r="B4739" s="110">
        <v>1.0885280366675829</v>
      </c>
      <c r="C4739" s="110">
        <v>1.0632772770911783</v>
      </c>
      <c r="G4739" s="90">
        <v>4723</v>
      </c>
      <c r="H4739" s="100">
        <v>-2.3470449249848126E-2</v>
      </c>
      <c r="I4739" s="100">
        <v>-2.145893722322216E-2</v>
      </c>
    </row>
    <row r="4740" spans="1:9">
      <c r="A4740" s="90">
        <v>4724</v>
      </c>
      <c r="B4740" s="110">
        <v>1.1084204555136095</v>
      </c>
      <c r="C4740" s="110">
        <v>1.0570767618086081</v>
      </c>
      <c r="G4740" s="90">
        <v>4724</v>
      </c>
      <c r="H4740" s="100">
        <v>-4.7428662242113173E-2</v>
      </c>
      <c r="I4740" s="100">
        <v>-2.1420310089878516E-2</v>
      </c>
    </row>
    <row r="4741" spans="1:9">
      <c r="A4741" s="90">
        <v>4725</v>
      </c>
      <c r="B4741" s="110">
        <v>1.1097175488626168</v>
      </c>
      <c r="C4741" s="110">
        <v>1.0373193584919793</v>
      </c>
      <c r="G4741" s="90">
        <v>4725</v>
      </c>
      <c r="H4741" s="100">
        <v>-6.7465676793028242E-2</v>
      </c>
      <c r="I4741" s="100">
        <v>-2.1333809386378043E-2</v>
      </c>
    </row>
    <row r="4742" spans="1:9">
      <c r="A4742" s="90">
        <v>4726</v>
      </c>
      <c r="B4742" s="110">
        <v>1.1168593274860958</v>
      </c>
      <c r="C4742" s="110">
        <v>1.026163892020941</v>
      </c>
      <c r="G4742" s="90">
        <v>4726</v>
      </c>
      <c r="H4742" s="100">
        <v>-8.4693101560493395E-2</v>
      </c>
      <c r="I4742" s="100">
        <v>-2.1331877953992183E-2</v>
      </c>
    </row>
    <row r="4743" spans="1:9">
      <c r="A4743" s="90">
        <v>4727</v>
      </c>
      <c r="B4743" s="110">
        <v>1.1082314273979281</v>
      </c>
      <c r="C4743" s="110">
        <v>1.0758934113094902</v>
      </c>
      <c r="G4743" s="90">
        <v>4727</v>
      </c>
      <c r="H4743" s="100">
        <v>-2.9614039296088215E-2</v>
      </c>
      <c r="I4743" s="100">
        <v>-2.1322401123801828E-2</v>
      </c>
    </row>
    <row r="4744" spans="1:9">
      <c r="A4744" s="90">
        <v>4728</v>
      </c>
      <c r="B4744" s="110">
        <v>1.0982322124758881</v>
      </c>
      <c r="C4744" s="110">
        <v>1.0450336692676303</v>
      </c>
      <c r="G4744" s="90">
        <v>4728</v>
      </c>
      <c r="H4744" s="100">
        <v>-4.9652703206773105E-2</v>
      </c>
      <c r="I4744" s="100">
        <v>-2.1293212652246856E-2</v>
      </c>
    </row>
    <row r="4745" spans="1:9">
      <c r="A4745" s="90">
        <v>4729</v>
      </c>
      <c r="B4745" s="110">
        <v>1.0934370697961799</v>
      </c>
      <c r="C4745" s="110">
        <v>1.0726356669727093</v>
      </c>
      <c r="G4745" s="90">
        <v>4729</v>
      </c>
      <c r="H4745" s="100">
        <v>-1.9207150306234693E-2</v>
      </c>
      <c r="I4745" s="100">
        <v>-2.1255793395582975E-2</v>
      </c>
    </row>
    <row r="4746" spans="1:9">
      <c r="A4746" s="90">
        <v>4730</v>
      </c>
      <c r="B4746" s="110">
        <v>1.0885776679799533</v>
      </c>
      <c r="C4746" s="110">
        <v>1.0424784687708175</v>
      </c>
      <c r="G4746" s="90">
        <v>4730</v>
      </c>
      <c r="H4746" s="100">
        <v>-4.3270931346645281E-2</v>
      </c>
      <c r="I4746" s="100">
        <v>-2.1250829377674967E-2</v>
      </c>
    </row>
    <row r="4747" spans="1:9">
      <c r="A4747" s="90">
        <v>4731</v>
      </c>
      <c r="B4747" s="110">
        <v>1.0771514490879142</v>
      </c>
      <c r="C4747" s="110">
        <v>1.054415094252168</v>
      </c>
      <c r="G4747" s="90">
        <v>4731</v>
      </c>
      <c r="H4747" s="100">
        <v>-2.1333809386378043E-2</v>
      </c>
      <c r="I4747" s="100">
        <v>-2.1238812494003743E-2</v>
      </c>
    </row>
    <row r="4748" spans="1:9">
      <c r="A4748" s="90">
        <v>4732</v>
      </c>
      <c r="B4748" s="110">
        <v>1.1168029386117941</v>
      </c>
      <c r="C4748" s="110">
        <v>1.0565755645271013</v>
      </c>
      <c r="G4748" s="90">
        <v>4732</v>
      </c>
      <c r="H4748" s="100">
        <v>-5.5437005332623995E-2</v>
      </c>
      <c r="I4748" s="100">
        <v>-2.1200438804804055E-2</v>
      </c>
    </row>
    <row r="4749" spans="1:9">
      <c r="A4749" s="90">
        <v>4733</v>
      </c>
      <c r="B4749" s="110">
        <v>1.1237662387972964</v>
      </c>
      <c r="C4749" s="110">
        <v>1.0536422841264648</v>
      </c>
      <c r="G4749" s="90">
        <v>4733</v>
      </c>
      <c r="H4749" s="100">
        <v>-6.4432753602518461E-2</v>
      </c>
      <c r="I4749" s="100">
        <v>-2.1184132204198305E-2</v>
      </c>
    </row>
    <row r="4750" spans="1:9">
      <c r="A4750" s="90">
        <v>4734</v>
      </c>
      <c r="B4750" s="110">
        <v>1.0980745517928101</v>
      </c>
      <c r="C4750" s="110">
        <v>1.0527494501136561</v>
      </c>
      <c r="G4750" s="90">
        <v>4734</v>
      </c>
      <c r="H4750" s="100">
        <v>-4.2152972863547127E-2</v>
      </c>
      <c r="I4750" s="100">
        <v>-2.1182282969828787E-2</v>
      </c>
    </row>
    <row r="4751" spans="1:9">
      <c r="A4751" s="90">
        <v>4735</v>
      </c>
      <c r="B4751" s="110">
        <v>1.1202746897620302</v>
      </c>
      <c r="C4751" s="110">
        <v>1.0459320862164034</v>
      </c>
      <c r="G4751" s="90">
        <v>4735</v>
      </c>
      <c r="H4751" s="100">
        <v>-6.8665477552595403E-2</v>
      </c>
      <c r="I4751" s="100">
        <v>-2.1134586574673909E-2</v>
      </c>
    </row>
    <row r="4752" spans="1:9">
      <c r="A4752" s="90">
        <v>4736</v>
      </c>
      <c r="B4752" s="110">
        <v>1.1110176099987108</v>
      </c>
      <c r="C4752" s="110">
        <v>1.0505208518704086</v>
      </c>
      <c r="G4752" s="90">
        <v>4736</v>
      </c>
      <c r="H4752" s="100">
        <v>-5.5990270537782945E-2</v>
      </c>
      <c r="I4752" s="100">
        <v>-2.1111016281340989E-2</v>
      </c>
    </row>
    <row r="4753" spans="1:9">
      <c r="A4753" s="90">
        <v>4737</v>
      </c>
      <c r="B4753" s="110">
        <v>1.1018649093308563</v>
      </c>
      <c r="C4753" s="110">
        <v>1.0433934596788779</v>
      </c>
      <c r="G4753" s="90">
        <v>4737</v>
      </c>
      <c r="H4753" s="100">
        <v>-5.4525773093593508E-2</v>
      </c>
      <c r="I4753" s="100">
        <v>-2.099429879819361E-2</v>
      </c>
    </row>
    <row r="4754" spans="1:9">
      <c r="A4754" s="90">
        <v>4738</v>
      </c>
      <c r="B4754" s="110">
        <v>1.1028687120692675</v>
      </c>
      <c r="C4754" s="110">
        <v>1.0590054012331362</v>
      </c>
      <c r="G4754" s="90">
        <v>4738</v>
      </c>
      <c r="H4754" s="100">
        <v>-4.0584538223758203E-2</v>
      </c>
      <c r="I4754" s="100">
        <v>-2.0944108676078186E-2</v>
      </c>
    </row>
    <row r="4755" spans="1:9">
      <c r="A4755" s="90">
        <v>4739</v>
      </c>
      <c r="B4755" s="110">
        <v>1.1037481870853929</v>
      </c>
      <c r="C4755" s="110">
        <v>1.0719803988162184</v>
      </c>
      <c r="G4755" s="90">
        <v>4739</v>
      </c>
      <c r="H4755" s="100">
        <v>-2.9204052634863586E-2</v>
      </c>
      <c r="I4755" s="100">
        <v>-2.0875346933219876E-2</v>
      </c>
    </row>
    <row r="4756" spans="1:9">
      <c r="A4756" s="90">
        <v>4740</v>
      </c>
      <c r="B4756" s="110">
        <v>1.1084614243337461</v>
      </c>
      <c r="C4756" s="110">
        <v>1.0587990000991105</v>
      </c>
      <c r="G4756" s="90">
        <v>4740</v>
      </c>
      <c r="H4756" s="100">
        <v>-4.5837702590817139E-2</v>
      </c>
      <c r="I4756" s="100">
        <v>-2.0810928791550384E-2</v>
      </c>
    </row>
    <row r="4757" spans="1:9">
      <c r="A4757" s="90">
        <v>4741</v>
      </c>
      <c r="B4757" s="110">
        <v>1.1325310363578702</v>
      </c>
      <c r="C4757" s="110">
        <v>1.0306072759728893</v>
      </c>
      <c r="G4757" s="90">
        <v>4741</v>
      </c>
      <c r="H4757" s="100">
        <v>-9.430676634622083E-2</v>
      </c>
      <c r="I4757" s="100">
        <v>-2.0784659596937805E-2</v>
      </c>
    </row>
    <row r="4758" spans="1:9">
      <c r="A4758" s="90">
        <v>4742</v>
      </c>
      <c r="B4758" s="110">
        <v>1.0976988815609183</v>
      </c>
      <c r="C4758" s="110">
        <v>1.0341516494545413</v>
      </c>
      <c r="G4758" s="90">
        <v>4742</v>
      </c>
      <c r="H4758" s="100">
        <v>-5.9634634569699502E-2</v>
      </c>
      <c r="I4758" s="100">
        <v>-2.0745525827420768E-2</v>
      </c>
    </row>
    <row r="4759" spans="1:9">
      <c r="A4759" s="90">
        <v>4743</v>
      </c>
      <c r="B4759" s="110">
        <v>1.0922048694897699</v>
      </c>
      <c r="C4759" s="110">
        <v>1.0506222221273209</v>
      </c>
      <c r="G4759" s="90">
        <v>4743</v>
      </c>
      <c r="H4759" s="100">
        <v>-3.8815887991091674E-2</v>
      </c>
      <c r="I4759" s="100">
        <v>-2.0674365522697025E-2</v>
      </c>
    </row>
    <row r="4760" spans="1:9">
      <c r="A4760" s="90">
        <v>4744</v>
      </c>
      <c r="B4760" s="110">
        <v>1.1194537059723999</v>
      </c>
      <c r="C4760" s="110">
        <v>1.0668759248708679</v>
      </c>
      <c r="G4760" s="90">
        <v>4744</v>
      </c>
      <c r="H4760" s="100">
        <v>-4.8106122324209216E-2</v>
      </c>
      <c r="I4760" s="100">
        <v>-2.0650665434050232E-2</v>
      </c>
    </row>
    <row r="4761" spans="1:9">
      <c r="A4761" s="90">
        <v>4745</v>
      </c>
      <c r="B4761" s="110">
        <v>1.1432840592905045</v>
      </c>
      <c r="C4761" s="110">
        <v>1.065433083207372</v>
      </c>
      <c r="G4761" s="90">
        <v>4745</v>
      </c>
      <c r="H4761" s="100">
        <v>-7.0523507350320341E-2</v>
      </c>
      <c r="I4761" s="100">
        <v>-2.0610326515799145E-2</v>
      </c>
    </row>
    <row r="4762" spans="1:9">
      <c r="A4762" s="90">
        <v>4746</v>
      </c>
      <c r="B4762" s="110">
        <v>1.122068752312313</v>
      </c>
      <c r="C4762" s="110">
        <v>1.0605483447573791</v>
      </c>
      <c r="G4762" s="90">
        <v>4746</v>
      </c>
      <c r="H4762" s="100">
        <v>-5.6388001051815261E-2</v>
      </c>
      <c r="I4762" s="100">
        <v>-2.0601551825865528E-2</v>
      </c>
    </row>
    <row r="4763" spans="1:9">
      <c r="A4763" s="90">
        <v>4747</v>
      </c>
      <c r="B4763" s="110">
        <v>1.09699854570811</v>
      </c>
      <c r="C4763" s="110">
        <v>1.0336705279225982</v>
      </c>
      <c r="G4763" s="90">
        <v>4747</v>
      </c>
      <c r="H4763" s="100">
        <v>-5.9461768655619418E-2</v>
      </c>
      <c r="I4763" s="100">
        <v>-2.0585717210884771E-2</v>
      </c>
    </row>
    <row r="4764" spans="1:9">
      <c r="A4764" s="90">
        <v>4748</v>
      </c>
      <c r="B4764" s="110">
        <v>1.1032420549695034</v>
      </c>
      <c r="C4764" s="110">
        <v>1.073721917532926</v>
      </c>
      <c r="G4764" s="90">
        <v>4748</v>
      </c>
      <c r="H4764" s="100">
        <v>-2.7122127325760161E-2</v>
      </c>
      <c r="I4764" s="100">
        <v>-2.0553959807027043E-2</v>
      </c>
    </row>
    <row r="4765" spans="1:9">
      <c r="A4765" s="90">
        <v>4749</v>
      </c>
      <c r="B4765" s="110">
        <v>1.1008414552706645</v>
      </c>
      <c r="C4765" s="110">
        <v>1.0294814772960295</v>
      </c>
      <c r="G4765" s="90">
        <v>4749</v>
      </c>
      <c r="H4765" s="100">
        <v>-6.7019591326862513E-2</v>
      </c>
      <c r="I4765" s="100">
        <v>-2.0427435450297338E-2</v>
      </c>
    </row>
    <row r="4766" spans="1:9">
      <c r="A4766" s="90">
        <v>4750</v>
      </c>
      <c r="B4766" s="110">
        <v>1.1134689971681397</v>
      </c>
      <c r="C4766" s="110">
        <v>1.0704835525172758</v>
      </c>
      <c r="G4766" s="90">
        <v>4750</v>
      </c>
      <c r="H4766" s="100">
        <v>-3.9369900010806896E-2</v>
      </c>
      <c r="I4766" s="100">
        <v>-2.041815857229282E-2</v>
      </c>
    </row>
    <row r="4767" spans="1:9">
      <c r="A4767" s="90">
        <v>4751</v>
      </c>
      <c r="B4767" s="110">
        <v>1.1114811290621314</v>
      </c>
      <c r="C4767" s="110">
        <v>1.0604505437823104</v>
      </c>
      <c r="G4767" s="90">
        <v>4751</v>
      </c>
      <c r="H4767" s="100">
        <v>-4.6999617252596881E-2</v>
      </c>
      <c r="I4767" s="100">
        <v>-2.0414806971182194E-2</v>
      </c>
    </row>
    <row r="4768" spans="1:9">
      <c r="A4768" s="90">
        <v>4752</v>
      </c>
      <c r="B4768" s="110">
        <v>1.1061126346563461</v>
      </c>
      <c r="C4768" s="110">
        <v>1.0824554870527761</v>
      </c>
      <c r="G4768" s="90">
        <v>4752</v>
      </c>
      <c r="H4768" s="100">
        <v>-2.1619678024435388E-2</v>
      </c>
      <c r="I4768" s="100">
        <v>-2.0410445371962547E-2</v>
      </c>
    </row>
    <row r="4769" spans="1:9">
      <c r="A4769" s="90">
        <v>4753</v>
      </c>
      <c r="B4769" s="110">
        <v>1.0872809558831547</v>
      </c>
      <c r="C4769" s="110">
        <v>1.0519931903774844</v>
      </c>
      <c r="G4769" s="90">
        <v>4753</v>
      </c>
      <c r="H4769" s="100">
        <v>-3.2993402546072248E-2</v>
      </c>
      <c r="I4769" s="100">
        <v>-2.0407804859247432E-2</v>
      </c>
    </row>
    <row r="4770" spans="1:9">
      <c r="A4770" s="90">
        <v>4754</v>
      </c>
      <c r="B4770" s="110">
        <v>1.1092092470146913</v>
      </c>
      <c r="C4770" s="110">
        <v>1.0520705835820909</v>
      </c>
      <c r="G4770" s="90">
        <v>4754</v>
      </c>
      <c r="H4770" s="100">
        <v>-5.2887164652445945E-2</v>
      </c>
      <c r="I4770" s="100">
        <v>-2.03979822953037E-2</v>
      </c>
    </row>
    <row r="4771" spans="1:9">
      <c r="A4771" s="90">
        <v>4755</v>
      </c>
      <c r="B4771" s="110">
        <v>1.0954996453805261</v>
      </c>
      <c r="C4771" s="110">
        <v>1.0389411078005832</v>
      </c>
      <c r="G4771" s="90">
        <v>4755</v>
      </c>
      <c r="H4771" s="100">
        <v>-5.3008527453492972E-2</v>
      </c>
      <c r="I4771" s="100">
        <v>-2.0396023039841296E-2</v>
      </c>
    </row>
    <row r="4772" spans="1:9">
      <c r="A4772" s="90">
        <v>4756</v>
      </c>
      <c r="B4772" s="110">
        <v>1.0782033405728257</v>
      </c>
      <c r="C4772" s="110">
        <v>1.0683636621118362</v>
      </c>
      <c r="G4772" s="90">
        <v>4756</v>
      </c>
      <c r="H4772" s="100">
        <v>-9.1678921436288887E-3</v>
      </c>
      <c r="I4772" s="100">
        <v>-2.0391359935715104E-2</v>
      </c>
    </row>
    <row r="4773" spans="1:9">
      <c r="A4773" s="90">
        <v>4757</v>
      </c>
      <c r="B4773" s="110">
        <v>1.1404303170683052</v>
      </c>
      <c r="C4773" s="110">
        <v>1.055982168917676</v>
      </c>
      <c r="G4773" s="90">
        <v>4757</v>
      </c>
      <c r="H4773" s="100">
        <v>-7.6934362647771801E-2</v>
      </c>
      <c r="I4773" s="100">
        <v>-2.0297186975230509E-2</v>
      </c>
    </row>
    <row r="4774" spans="1:9">
      <c r="A4774" s="90">
        <v>4758</v>
      </c>
      <c r="B4774" s="110">
        <v>1.088950160026489</v>
      </c>
      <c r="C4774" s="110">
        <v>1.035278687158482</v>
      </c>
      <c r="G4774" s="90">
        <v>4758</v>
      </c>
      <c r="H4774" s="100">
        <v>-5.0543422741700532E-2</v>
      </c>
      <c r="I4774" s="100">
        <v>-2.0176014640324487E-2</v>
      </c>
    </row>
    <row r="4775" spans="1:9">
      <c r="A4775" s="90">
        <v>4759</v>
      </c>
      <c r="B4775" s="110">
        <v>1.1090344756296144</v>
      </c>
      <c r="C4775" s="110">
        <v>1.0409256260253048</v>
      </c>
      <c r="G4775" s="90">
        <v>4759</v>
      </c>
      <c r="H4775" s="100">
        <v>-6.3379452677045672E-2</v>
      </c>
      <c r="I4775" s="100">
        <v>-2.0156719097817809E-2</v>
      </c>
    </row>
    <row r="4776" spans="1:9">
      <c r="A4776" s="90">
        <v>4760</v>
      </c>
      <c r="B4776" s="110">
        <v>1.0957151010951436</v>
      </c>
      <c r="C4776" s="110">
        <v>1.0254655370101418</v>
      </c>
      <c r="G4776" s="90">
        <v>4760</v>
      </c>
      <c r="H4776" s="100">
        <v>-6.6260518548542646E-2</v>
      </c>
      <c r="I4776" s="100">
        <v>-2.0143455339823743E-2</v>
      </c>
    </row>
    <row r="4777" spans="1:9">
      <c r="A4777" s="90">
        <v>4761</v>
      </c>
      <c r="B4777" s="110">
        <v>1.1259543238907994</v>
      </c>
      <c r="C4777" s="110">
        <v>1.0609361596256626</v>
      </c>
      <c r="G4777" s="90">
        <v>4761</v>
      </c>
      <c r="H4777" s="100">
        <v>-5.9479276149006902E-2</v>
      </c>
      <c r="I4777" s="100">
        <v>-2.0073212606411477E-2</v>
      </c>
    </row>
    <row r="4778" spans="1:9">
      <c r="A4778" s="90">
        <v>4762</v>
      </c>
      <c r="B4778" s="110">
        <v>1.1192277426337396</v>
      </c>
      <c r="C4778" s="110">
        <v>1.0681839965829689</v>
      </c>
      <c r="G4778" s="90">
        <v>4762</v>
      </c>
      <c r="H4778" s="100">
        <v>-4.6678924832281525E-2</v>
      </c>
      <c r="I4778" s="100">
        <v>-2.0034087346138336E-2</v>
      </c>
    </row>
    <row r="4779" spans="1:9">
      <c r="A4779" s="90">
        <v>4763</v>
      </c>
      <c r="B4779" s="110">
        <v>1.1278141134814872</v>
      </c>
      <c r="C4779" s="110">
        <v>1.0316666709986555</v>
      </c>
      <c r="G4779" s="90">
        <v>4763</v>
      </c>
      <c r="H4779" s="100">
        <v>-8.9105724815671139E-2</v>
      </c>
      <c r="I4779" s="100">
        <v>-2.0010132441866002E-2</v>
      </c>
    </row>
    <row r="4780" spans="1:9">
      <c r="A4780" s="90">
        <v>4764</v>
      </c>
      <c r="B4780" s="110">
        <v>1.1315320192787728</v>
      </c>
      <c r="C4780" s="110">
        <v>1.0461151187471323</v>
      </c>
      <c r="G4780" s="90">
        <v>4764</v>
      </c>
      <c r="H4780" s="100">
        <v>-7.848906802157686E-2</v>
      </c>
      <c r="I4780" s="100">
        <v>-2.0003250346382423E-2</v>
      </c>
    </row>
    <row r="4781" spans="1:9">
      <c r="A4781" s="90">
        <v>4765</v>
      </c>
      <c r="B4781" s="110">
        <v>1.1430484045420772</v>
      </c>
      <c r="C4781" s="110">
        <v>1.0638227367196895</v>
      </c>
      <c r="G4781" s="90">
        <v>4765</v>
      </c>
      <c r="H4781" s="100">
        <v>-7.1829956384092244E-2</v>
      </c>
      <c r="I4781" s="100">
        <v>-1.9942803439658138E-2</v>
      </c>
    </row>
    <row r="4782" spans="1:9">
      <c r="A4782" s="90">
        <v>4766</v>
      </c>
      <c r="B4782" s="110">
        <v>1.1066249364189946</v>
      </c>
      <c r="C4782" s="110">
        <v>1.0657644662410224</v>
      </c>
      <c r="G4782" s="90">
        <v>4766</v>
      </c>
      <c r="H4782" s="100">
        <v>-3.7622435157222071E-2</v>
      </c>
      <c r="I4782" s="100">
        <v>-1.989639623156951E-2</v>
      </c>
    </row>
    <row r="4783" spans="1:9">
      <c r="A4783" s="90">
        <v>4767</v>
      </c>
      <c r="B4783" s="110">
        <v>1.1092385029732581</v>
      </c>
      <c r="C4783" s="110">
        <v>1.0625370910919747</v>
      </c>
      <c r="G4783" s="90">
        <v>4767</v>
      </c>
      <c r="H4783" s="100">
        <v>-4.3014216068097494E-2</v>
      </c>
      <c r="I4783" s="100">
        <v>-1.9876800048548315E-2</v>
      </c>
    </row>
    <row r="4784" spans="1:9">
      <c r="A4784" s="90">
        <v>4768</v>
      </c>
      <c r="B4784" s="110">
        <v>1.1178473788484427</v>
      </c>
      <c r="C4784" s="110">
        <v>1.0579600312500874</v>
      </c>
      <c r="G4784" s="90">
        <v>4768</v>
      </c>
      <c r="H4784" s="100">
        <v>-5.5062297680189817E-2</v>
      </c>
      <c r="I4784" s="100">
        <v>-1.9809654619710775E-2</v>
      </c>
    </row>
    <row r="4785" spans="1:9">
      <c r="A4785" s="90">
        <v>4769</v>
      </c>
      <c r="B4785" s="110">
        <v>1.0982217064878963</v>
      </c>
      <c r="C4785" s="110">
        <v>1.0580409533249493</v>
      </c>
      <c r="G4785" s="90">
        <v>4769</v>
      </c>
      <c r="H4785" s="100">
        <v>-3.7273200248077086E-2</v>
      </c>
      <c r="I4785" s="100">
        <v>-1.9795614921058184E-2</v>
      </c>
    </row>
    <row r="4786" spans="1:9">
      <c r="A4786" s="90">
        <v>4770</v>
      </c>
      <c r="B4786" s="110">
        <v>1.1177042564388286</v>
      </c>
      <c r="C4786" s="110">
        <v>1.0420465691668557</v>
      </c>
      <c r="G4786" s="90">
        <v>4770</v>
      </c>
      <c r="H4786" s="100">
        <v>-7.0090176183201791E-2</v>
      </c>
      <c r="I4786" s="100">
        <v>-1.9768019310650829E-2</v>
      </c>
    </row>
    <row r="4787" spans="1:9">
      <c r="A4787" s="90">
        <v>4771</v>
      </c>
      <c r="B4787" s="110">
        <v>1.0822798821596618</v>
      </c>
      <c r="C4787" s="110">
        <v>1.0678410385848718</v>
      </c>
      <c r="G4787" s="90">
        <v>4771</v>
      </c>
      <c r="H4787" s="100">
        <v>-1.343092891805828E-2</v>
      </c>
      <c r="I4787" s="100">
        <v>-1.9704326789743053E-2</v>
      </c>
    </row>
    <row r="4788" spans="1:9">
      <c r="A4788" s="90">
        <v>4772</v>
      </c>
      <c r="B4788" s="110">
        <v>1.1268937616714783</v>
      </c>
      <c r="C4788" s="110">
        <v>1.0552938623192862</v>
      </c>
      <c r="G4788" s="90">
        <v>4772</v>
      </c>
      <c r="H4788" s="100">
        <v>-6.5645693504329555E-2</v>
      </c>
      <c r="I4788" s="100">
        <v>-1.9658159642788671E-2</v>
      </c>
    </row>
    <row r="4789" spans="1:9">
      <c r="A4789" s="90">
        <v>4773</v>
      </c>
      <c r="B4789" s="110">
        <v>1.0996695118266351</v>
      </c>
      <c r="C4789" s="110">
        <v>1.0372770753394629</v>
      </c>
      <c r="G4789" s="90">
        <v>4773</v>
      </c>
      <c r="H4789" s="100">
        <v>-5.8410607975299823E-2</v>
      </c>
      <c r="I4789" s="100">
        <v>-1.9642722166042136E-2</v>
      </c>
    </row>
    <row r="4790" spans="1:9">
      <c r="A4790" s="90">
        <v>4774</v>
      </c>
      <c r="B4790" s="110">
        <v>1.1182991063712944</v>
      </c>
      <c r="C4790" s="110">
        <v>1.0622249892923996</v>
      </c>
      <c r="G4790" s="90">
        <v>4774</v>
      </c>
      <c r="H4790" s="100">
        <v>-5.144312124991824E-2</v>
      </c>
      <c r="I4790" s="100">
        <v>-1.9602020504128997E-2</v>
      </c>
    </row>
    <row r="4791" spans="1:9">
      <c r="A4791" s="90">
        <v>4775</v>
      </c>
      <c r="B4791" s="110">
        <v>1.1094863408975562</v>
      </c>
      <c r="C4791" s="110">
        <v>1.0479464906372389</v>
      </c>
      <c r="G4791" s="90">
        <v>4775</v>
      </c>
      <c r="H4791" s="100">
        <v>-5.7064626228452743E-2</v>
      </c>
      <c r="I4791" s="100">
        <v>-1.9520278872538918E-2</v>
      </c>
    </row>
    <row r="4792" spans="1:9">
      <c r="A4792" s="90">
        <v>4776</v>
      </c>
      <c r="B4792" s="110">
        <v>1.1310247593849347</v>
      </c>
      <c r="C4792" s="110">
        <v>1.0466176442919655</v>
      </c>
      <c r="G4792" s="90">
        <v>4776</v>
      </c>
      <c r="H4792" s="100">
        <v>-7.7560414989945231E-2</v>
      </c>
      <c r="I4792" s="100">
        <v>-1.9479465321336965E-2</v>
      </c>
    </row>
    <row r="4793" spans="1:9">
      <c r="A4793" s="90">
        <v>4777</v>
      </c>
      <c r="B4793" s="110">
        <v>1.0988392793657229</v>
      </c>
      <c r="C4793" s="110">
        <v>1.0643791771373849</v>
      </c>
      <c r="G4793" s="90">
        <v>4777</v>
      </c>
      <c r="H4793" s="100">
        <v>-3.1862725186682039E-2</v>
      </c>
      <c r="I4793" s="100">
        <v>-1.9444496222071481E-2</v>
      </c>
    </row>
    <row r="4794" spans="1:9">
      <c r="A4794" s="90">
        <v>4778</v>
      </c>
      <c r="B4794" s="110">
        <v>1.1179257112865393</v>
      </c>
      <c r="C4794" s="110">
        <v>1.052843974897784</v>
      </c>
      <c r="G4794" s="90">
        <v>4778</v>
      </c>
      <c r="H4794" s="100">
        <v>-5.997987447342535E-2</v>
      </c>
      <c r="I4794" s="100">
        <v>-1.9342402950555178E-2</v>
      </c>
    </row>
    <row r="4795" spans="1:9">
      <c r="A4795" s="90">
        <v>4779</v>
      </c>
      <c r="B4795" s="110">
        <v>1.1050948231668054</v>
      </c>
      <c r="C4795" s="110">
        <v>1.0603839424249186</v>
      </c>
      <c r="G4795" s="90">
        <v>4779</v>
      </c>
      <c r="H4795" s="100">
        <v>-4.1300091731986767E-2</v>
      </c>
      <c r="I4795" s="100">
        <v>-1.9222933383941675E-2</v>
      </c>
    </row>
    <row r="4796" spans="1:9">
      <c r="A4796" s="90">
        <v>4780</v>
      </c>
      <c r="B4796" s="110">
        <v>1.1204808322055229</v>
      </c>
      <c r="C4796" s="110">
        <v>1.0534486951786683</v>
      </c>
      <c r="G4796" s="90">
        <v>4780</v>
      </c>
      <c r="H4796" s="100">
        <v>-6.1688653974135761E-2</v>
      </c>
      <c r="I4796" s="100">
        <v>-1.9215778460895096E-2</v>
      </c>
    </row>
    <row r="4797" spans="1:9">
      <c r="A4797" s="90">
        <v>4781</v>
      </c>
      <c r="B4797" s="110">
        <v>1.1513362945856331</v>
      </c>
      <c r="C4797" s="110">
        <v>1.0540248236860168</v>
      </c>
      <c r="G4797" s="90">
        <v>4781</v>
      </c>
      <c r="H4797" s="100">
        <v>-8.8307261346921531E-2</v>
      </c>
      <c r="I4797" s="100">
        <v>-1.9207150306234693E-2</v>
      </c>
    </row>
    <row r="4798" spans="1:9">
      <c r="A4798" s="90">
        <v>4782</v>
      </c>
      <c r="B4798" s="110">
        <v>1.0964974412266724</v>
      </c>
      <c r="C4798" s="110">
        <v>1.066931953615627</v>
      </c>
      <c r="G4798" s="90">
        <v>4782</v>
      </c>
      <c r="H4798" s="100">
        <v>-2.7333758560593637E-2</v>
      </c>
      <c r="I4798" s="100">
        <v>-1.911978456098682E-2</v>
      </c>
    </row>
    <row r="4799" spans="1:9">
      <c r="A4799" s="90">
        <v>4783</v>
      </c>
      <c r="B4799" s="110">
        <v>1.0904822148657964</v>
      </c>
      <c r="C4799" s="110">
        <v>1.0635960090398642</v>
      </c>
      <c r="G4799" s="90">
        <v>4783</v>
      </c>
      <c r="H4799" s="100">
        <v>-2.4964369304270519E-2</v>
      </c>
      <c r="I4799" s="100">
        <v>-1.8864083052244292E-2</v>
      </c>
    </row>
    <row r="4800" spans="1:9">
      <c r="A4800" s="90">
        <v>4784</v>
      </c>
      <c r="B4800" s="110">
        <v>1.1257207997130423</v>
      </c>
      <c r="C4800" s="110">
        <v>1.0570804805396683</v>
      </c>
      <c r="G4800" s="90">
        <v>4784</v>
      </c>
      <c r="H4800" s="100">
        <v>-6.291269682580608E-2</v>
      </c>
      <c r="I4800" s="100">
        <v>-1.8720242757430956E-2</v>
      </c>
    </row>
    <row r="4801" spans="1:9">
      <c r="A4801" s="90">
        <v>4785</v>
      </c>
      <c r="B4801" s="110">
        <v>1.1220374440379246</v>
      </c>
      <c r="C4801" s="110">
        <v>1.0691491885479143</v>
      </c>
      <c r="G4801" s="90">
        <v>4785</v>
      </c>
      <c r="H4801" s="100">
        <v>-4.8282997842608533E-2</v>
      </c>
      <c r="I4801" s="100">
        <v>-1.8604509949869483E-2</v>
      </c>
    </row>
    <row r="4802" spans="1:9">
      <c r="A4802" s="90">
        <v>4786</v>
      </c>
      <c r="B4802" s="110">
        <v>1.0969005085391417</v>
      </c>
      <c r="C4802" s="110">
        <v>1.0707596373879411</v>
      </c>
      <c r="G4802" s="90">
        <v>4786</v>
      </c>
      <c r="H4802" s="100">
        <v>-2.4120144981278284E-2</v>
      </c>
      <c r="I4802" s="100">
        <v>-1.8602211807922563E-2</v>
      </c>
    </row>
    <row r="4803" spans="1:9">
      <c r="A4803" s="90">
        <v>4787</v>
      </c>
      <c r="B4803" s="110">
        <v>1.1244823601047689</v>
      </c>
      <c r="C4803" s="110">
        <v>1.0412606190145282</v>
      </c>
      <c r="G4803" s="90">
        <v>4787</v>
      </c>
      <c r="H4803" s="100">
        <v>-7.6890692635181584E-2</v>
      </c>
      <c r="I4803" s="100">
        <v>-1.8589181315968144E-2</v>
      </c>
    </row>
    <row r="4804" spans="1:9">
      <c r="A4804" s="90">
        <v>4788</v>
      </c>
      <c r="B4804" s="110">
        <v>1.0988803834485665</v>
      </c>
      <c r="C4804" s="110">
        <v>1.0441121004321841</v>
      </c>
      <c r="G4804" s="90">
        <v>4788</v>
      </c>
      <c r="H4804" s="100">
        <v>-5.1124968642788392E-2</v>
      </c>
      <c r="I4804" s="100">
        <v>-1.8586572420088491E-2</v>
      </c>
    </row>
    <row r="4805" spans="1:9">
      <c r="A4805" s="90">
        <v>4789</v>
      </c>
      <c r="B4805" s="110">
        <v>1.1193115841389594</v>
      </c>
      <c r="C4805" s="110">
        <v>1.0482632648770978</v>
      </c>
      <c r="G4805" s="90">
        <v>4789</v>
      </c>
      <c r="H4805" s="100">
        <v>-6.5579078013684566E-2</v>
      </c>
      <c r="I4805" s="100">
        <v>-1.8582472051978903E-2</v>
      </c>
    </row>
    <row r="4806" spans="1:9">
      <c r="A4806" s="90">
        <v>4790</v>
      </c>
      <c r="B4806" s="110">
        <v>1.135972267935764</v>
      </c>
      <c r="C4806" s="110">
        <v>1.0656274315354113</v>
      </c>
      <c r="G4806" s="90">
        <v>4790</v>
      </c>
      <c r="H4806" s="100">
        <v>-6.3925144692701844E-2</v>
      </c>
      <c r="I4806" s="100">
        <v>-1.8561855489963319E-2</v>
      </c>
    </row>
    <row r="4807" spans="1:9">
      <c r="A4807" s="90">
        <v>4791</v>
      </c>
      <c r="B4807" s="110">
        <v>1.1018250945726706</v>
      </c>
      <c r="C4807" s="110">
        <v>1.0502987706287104</v>
      </c>
      <c r="G4807" s="90">
        <v>4791</v>
      </c>
      <c r="H4807" s="100">
        <v>-4.7893314624675359E-2</v>
      </c>
      <c r="I4807" s="100">
        <v>-1.8560769043508191E-2</v>
      </c>
    </row>
    <row r="4808" spans="1:9">
      <c r="A4808" s="90">
        <v>4792</v>
      </c>
      <c r="B4808" s="110">
        <v>1.1233486976255291</v>
      </c>
      <c r="C4808" s="110">
        <v>1.0519834806041835</v>
      </c>
      <c r="G4808" s="90">
        <v>4792</v>
      </c>
      <c r="H4808" s="100">
        <v>-6.5636721669583231E-2</v>
      </c>
      <c r="I4808" s="100">
        <v>-1.8492332866855355E-2</v>
      </c>
    </row>
    <row r="4809" spans="1:9">
      <c r="A4809" s="90">
        <v>4793</v>
      </c>
      <c r="B4809" s="110">
        <v>1.1037626566370209</v>
      </c>
      <c r="C4809" s="110">
        <v>1.0571897514949014</v>
      </c>
      <c r="G4809" s="90">
        <v>4793</v>
      </c>
      <c r="H4809" s="100">
        <v>-4.3110730118935868E-2</v>
      </c>
      <c r="I4809" s="100">
        <v>-1.8429120831699987E-2</v>
      </c>
    </row>
    <row r="4810" spans="1:9">
      <c r="A4810" s="90">
        <v>4794</v>
      </c>
      <c r="B4810" s="110">
        <v>1.1125496820731702</v>
      </c>
      <c r="C4810" s="110">
        <v>1.0465102320570876</v>
      </c>
      <c r="G4810" s="90">
        <v>4794</v>
      </c>
      <c r="H4810" s="100">
        <v>-6.1193351840665065E-2</v>
      </c>
      <c r="I4810" s="100">
        <v>-1.8363354345017301E-2</v>
      </c>
    </row>
    <row r="4811" spans="1:9">
      <c r="A4811" s="90">
        <v>4795</v>
      </c>
      <c r="B4811" s="110">
        <v>1.0804809993542472</v>
      </c>
      <c r="C4811" s="110">
        <v>1.0709051966010867</v>
      </c>
      <c r="G4811" s="90">
        <v>4795</v>
      </c>
      <c r="H4811" s="100">
        <v>-8.9020427930394178E-3</v>
      </c>
      <c r="I4811" s="100">
        <v>-1.8275997373867432E-2</v>
      </c>
    </row>
    <row r="4812" spans="1:9">
      <c r="A4812" s="90">
        <v>4796</v>
      </c>
      <c r="B4812" s="110">
        <v>1.1075550025788006</v>
      </c>
      <c r="C4812" s="110">
        <v>1.0554121369432805</v>
      </c>
      <c r="G4812" s="90">
        <v>4796</v>
      </c>
      <c r="H4812" s="100">
        <v>-4.8223543657173559E-2</v>
      </c>
      <c r="I4812" s="100">
        <v>-1.8270087411352165E-2</v>
      </c>
    </row>
    <row r="4813" spans="1:9">
      <c r="A4813" s="90">
        <v>4797</v>
      </c>
      <c r="B4813" s="110">
        <v>1.1420719504905716</v>
      </c>
      <c r="C4813" s="110">
        <v>1.0586099330972916</v>
      </c>
      <c r="G4813" s="90">
        <v>4797</v>
      </c>
      <c r="H4813" s="100">
        <v>-7.5887449544166319E-2</v>
      </c>
      <c r="I4813" s="100">
        <v>-1.8226091588575615E-2</v>
      </c>
    </row>
    <row r="4814" spans="1:9">
      <c r="A4814" s="90">
        <v>4798</v>
      </c>
      <c r="B4814" s="110">
        <v>1.1266147009721243</v>
      </c>
      <c r="C4814" s="110">
        <v>1.0551732911222049</v>
      </c>
      <c r="G4814" s="90">
        <v>4798</v>
      </c>
      <c r="H4814" s="100">
        <v>-6.5512285938378531E-2</v>
      </c>
      <c r="I4814" s="100">
        <v>-1.8157839015696165E-2</v>
      </c>
    </row>
    <row r="4815" spans="1:9">
      <c r="A4815" s="90">
        <v>4799</v>
      </c>
      <c r="B4815" s="110">
        <v>1.1326507218710651</v>
      </c>
      <c r="C4815" s="110">
        <v>1.0420838710841633</v>
      </c>
      <c r="G4815" s="90">
        <v>4799</v>
      </c>
      <c r="H4815" s="100">
        <v>-8.333822668870168E-2</v>
      </c>
      <c r="I4815" s="100">
        <v>-1.8107333996688669E-2</v>
      </c>
    </row>
    <row r="4816" spans="1:9">
      <c r="A4816" s="90">
        <v>4800</v>
      </c>
      <c r="B4816" s="110">
        <v>1.1236960436893506</v>
      </c>
      <c r="C4816" s="110">
        <v>1.0308797846084949</v>
      </c>
      <c r="G4816" s="90">
        <v>4800</v>
      </c>
      <c r="H4816" s="100">
        <v>-8.6210693667758381E-2</v>
      </c>
      <c r="I4816" s="100">
        <v>-1.8066088002014646E-2</v>
      </c>
    </row>
    <row r="4817" spans="1:9">
      <c r="A4817" s="90">
        <v>4801</v>
      </c>
      <c r="B4817" s="110">
        <v>1.1139034410721282</v>
      </c>
      <c r="C4817" s="110">
        <v>1.0605512302121944</v>
      </c>
      <c r="G4817" s="90">
        <v>4801</v>
      </c>
      <c r="H4817" s="100">
        <v>-4.9081658617147951E-2</v>
      </c>
      <c r="I4817" s="100">
        <v>-1.8023541222103586E-2</v>
      </c>
    </row>
    <row r="4818" spans="1:9">
      <c r="A4818" s="90">
        <v>4802</v>
      </c>
      <c r="B4818" s="110">
        <v>1.1556151888461472</v>
      </c>
      <c r="C4818" s="110">
        <v>1.0576337363778248</v>
      </c>
      <c r="G4818" s="90">
        <v>4802</v>
      </c>
      <c r="H4818" s="100">
        <v>-8.8598744609623817E-2</v>
      </c>
      <c r="I4818" s="100">
        <v>-1.7996427913457104E-2</v>
      </c>
    </row>
    <row r="4819" spans="1:9">
      <c r="A4819" s="90">
        <v>4803</v>
      </c>
      <c r="B4819" s="110">
        <v>1.0894936478729049</v>
      </c>
      <c r="C4819" s="110">
        <v>1.0373170579114863</v>
      </c>
      <c r="G4819" s="90">
        <v>4803</v>
      </c>
      <c r="H4819" s="100">
        <v>-4.9075417220614231E-2</v>
      </c>
      <c r="I4819" s="100">
        <v>-1.788053857554938E-2</v>
      </c>
    </row>
    <row r="4820" spans="1:9">
      <c r="A4820" s="90">
        <v>4804</v>
      </c>
      <c r="B4820" s="110">
        <v>1.0960140877325493</v>
      </c>
      <c r="C4820" s="110">
        <v>1.0520875573115624</v>
      </c>
      <c r="G4820" s="90">
        <v>4804</v>
      </c>
      <c r="H4820" s="100">
        <v>-4.0903701978029339E-2</v>
      </c>
      <c r="I4820" s="100">
        <v>-1.7868186683010594E-2</v>
      </c>
    </row>
    <row r="4821" spans="1:9">
      <c r="A4821" s="90">
        <v>4805</v>
      </c>
      <c r="B4821" s="110">
        <v>1.1137162254060979</v>
      </c>
      <c r="C4821" s="110">
        <v>1.0375641379933644</v>
      </c>
      <c r="G4821" s="90">
        <v>4805</v>
      </c>
      <c r="H4821" s="100">
        <v>-7.0826583266101972E-2</v>
      </c>
      <c r="I4821" s="100">
        <v>-1.7859210494857707E-2</v>
      </c>
    </row>
    <row r="4822" spans="1:9">
      <c r="A4822" s="90">
        <v>4806</v>
      </c>
      <c r="B4822" s="110">
        <v>1.1579284126196774</v>
      </c>
      <c r="C4822" s="110">
        <v>1.0790305175618233</v>
      </c>
      <c r="G4822" s="90">
        <v>4806</v>
      </c>
      <c r="H4822" s="100">
        <v>-7.0569588329177216E-2</v>
      </c>
      <c r="I4822" s="100">
        <v>-1.7746933420566869E-2</v>
      </c>
    </row>
    <row r="4823" spans="1:9">
      <c r="A4823" s="90">
        <v>4807</v>
      </c>
      <c r="B4823" s="110">
        <v>1.1043262457857907</v>
      </c>
      <c r="C4823" s="110">
        <v>1.0519329566927744</v>
      </c>
      <c r="G4823" s="90">
        <v>4807</v>
      </c>
      <c r="H4823" s="100">
        <v>-4.8606033781595143E-2</v>
      </c>
      <c r="I4823" s="100">
        <v>-1.7726668858427455E-2</v>
      </c>
    </row>
    <row r="4824" spans="1:9">
      <c r="A4824" s="90">
        <v>4808</v>
      </c>
      <c r="B4824" s="110">
        <v>1.1532740721797332</v>
      </c>
      <c r="C4824" s="110">
        <v>1.0671901492146882</v>
      </c>
      <c r="G4824" s="90">
        <v>4808</v>
      </c>
      <c r="H4824" s="100">
        <v>-7.7575750937636537E-2</v>
      </c>
      <c r="I4824" s="100">
        <v>-1.7636452207337863E-2</v>
      </c>
    </row>
    <row r="4825" spans="1:9">
      <c r="A4825" s="90">
        <v>4809</v>
      </c>
      <c r="B4825" s="110">
        <v>1.1508152648417795</v>
      </c>
      <c r="C4825" s="110">
        <v>1.078597970240218</v>
      </c>
      <c r="G4825" s="90">
        <v>4809</v>
      </c>
      <c r="H4825" s="100">
        <v>-6.4808595082648843E-2</v>
      </c>
      <c r="I4825" s="100">
        <v>-1.7584846834134003E-2</v>
      </c>
    </row>
    <row r="4826" spans="1:9">
      <c r="A4826" s="90">
        <v>4810</v>
      </c>
      <c r="B4826" s="110">
        <v>1.1052129666531381</v>
      </c>
      <c r="C4826" s="110">
        <v>1.0427888254414606</v>
      </c>
      <c r="G4826" s="90">
        <v>4810</v>
      </c>
      <c r="H4826" s="100">
        <v>-5.8139359300001026E-2</v>
      </c>
      <c r="I4826" s="100">
        <v>-1.748461636423718E-2</v>
      </c>
    </row>
    <row r="4827" spans="1:9">
      <c r="A4827" s="90">
        <v>4811</v>
      </c>
      <c r="B4827" s="110">
        <v>1.1188099235908826</v>
      </c>
      <c r="C4827" s="110">
        <v>1.0585559185119977</v>
      </c>
      <c r="G4827" s="90">
        <v>4811</v>
      </c>
      <c r="H4827" s="100">
        <v>-5.5359913891408846E-2</v>
      </c>
      <c r="I4827" s="100">
        <v>-1.7483315499751583E-2</v>
      </c>
    </row>
    <row r="4828" spans="1:9">
      <c r="A4828" s="90">
        <v>4812</v>
      </c>
      <c r="B4828" s="110">
        <v>1.107515949767935</v>
      </c>
      <c r="C4828" s="110">
        <v>1.0651480002313118</v>
      </c>
      <c r="G4828" s="90">
        <v>4812</v>
      </c>
      <c r="H4828" s="100">
        <v>-3.9005867570116461E-2</v>
      </c>
      <c r="I4828" s="100">
        <v>-1.7441685130375879E-2</v>
      </c>
    </row>
    <row r="4829" spans="1:9">
      <c r="A4829" s="90">
        <v>4813</v>
      </c>
      <c r="B4829" s="110">
        <v>1.1006176794929696</v>
      </c>
      <c r="C4829" s="110">
        <v>1.0703090350037923</v>
      </c>
      <c r="G4829" s="90">
        <v>4813</v>
      </c>
      <c r="H4829" s="100">
        <v>-2.7924124484381346E-2</v>
      </c>
      <c r="I4829" s="100">
        <v>-1.7324080951234611E-2</v>
      </c>
    </row>
    <row r="4830" spans="1:9">
      <c r="A4830" s="90">
        <v>4814</v>
      </c>
      <c r="B4830" s="110">
        <v>1.0982602529009009</v>
      </c>
      <c r="C4830" s="110">
        <v>1.054550076772754</v>
      </c>
      <c r="G4830" s="90">
        <v>4814</v>
      </c>
      <c r="H4830" s="100">
        <v>-4.0613131050460292E-2</v>
      </c>
      <c r="I4830" s="100">
        <v>-1.731810455778578E-2</v>
      </c>
    </row>
    <row r="4831" spans="1:9">
      <c r="A4831" s="90">
        <v>4815</v>
      </c>
      <c r="B4831" s="110">
        <v>1.1014423730031269</v>
      </c>
      <c r="C4831" s="110">
        <v>1.064523495170467</v>
      </c>
      <c r="G4831" s="90">
        <v>4815</v>
      </c>
      <c r="H4831" s="100">
        <v>-3.4093292390871083E-2</v>
      </c>
      <c r="I4831" s="100">
        <v>-1.724067804140186E-2</v>
      </c>
    </row>
    <row r="4832" spans="1:9">
      <c r="A4832" s="90">
        <v>4816</v>
      </c>
      <c r="B4832" s="110">
        <v>1.1389881104468715</v>
      </c>
      <c r="C4832" s="110">
        <v>1.0666397715524021</v>
      </c>
      <c r="G4832" s="90">
        <v>4816</v>
      </c>
      <c r="H4832" s="100">
        <v>-6.5626939171271048E-2</v>
      </c>
      <c r="I4832" s="100">
        <v>-1.7223047026594229E-2</v>
      </c>
    </row>
    <row r="4833" spans="1:9">
      <c r="A4833" s="90">
        <v>4817</v>
      </c>
      <c r="B4833" s="110">
        <v>1.1090032408648736</v>
      </c>
      <c r="C4833" s="110">
        <v>1.0592547251961284</v>
      </c>
      <c r="G4833" s="90">
        <v>4817</v>
      </c>
      <c r="H4833" s="100">
        <v>-4.5896059291707349E-2</v>
      </c>
      <c r="I4833" s="100">
        <v>-1.7208085930876256E-2</v>
      </c>
    </row>
    <row r="4834" spans="1:9">
      <c r="A4834" s="90">
        <v>4818</v>
      </c>
      <c r="B4834" s="110">
        <v>1.0770845159800886</v>
      </c>
      <c r="C4834" s="110">
        <v>1.0458819140563846</v>
      </c>
      <c r="G4834" s="90">
        <v>4818</v>
      </c>
      <c r="H4834" s="100">
        <v>-2.939740221615644E-2</v>
      </c>
      <c r="I4834" s="100">
        <v>-1.7170481151343214E-2</v>
      </c>
    </row>
    <row r="4835" spans="1:9">
      <c r="A4835" s="90">
        <v>4819</v>
      </c>
      <c r="B4835" s="110">
        <v>1.0800377790804199</v>
      </c>
      <c r="C4835" s="110">
        <v>1.0415414922055717</v>
      </c>
      <c r="G4835" s="90">
        <v>4819</v>
      </c>
      <c r="H4835" s="100">
        <v>-3.6294201337425218E-2</v>
      </c>
      <c r="I4835" s="100">
        <v>-1.7168161664893895E-2</v>
      </c>
    </row>
    <row r="4836" spans="1:9">
      <c r="A4836" s="90">
        <v>4820</v>
      </c>
      <c r="B4836" s="110">
        <v>1.0977336146482202</v>
      </c>
      <c r="C4836" s="110">
        <v>1.048569358728324</v>
      </c>
      <c r="G4836" s="90">
        <v>4820</v>
      </c>
      <c r="H4836" s="100">
        <v>-4.5820984438517773E-2</v>
      </c>
      <c r="I4836" s="100">
        <v>-1.7022616405162099E-2</v>
      </c>
    </row>
    <row r="4837" spans="1:9">
      <c r="A4837" s="90">
        <v>4821</v>
      </c>
      <c r="B4837" s="110">
        <v>1.0718355063349188</v>
      </c>
      <c r="C4837" s="110">
        <v>1.0440144815422467</v>
      </c>
      <c r="G4837" s="90">
        <v>4821</v>
      </c>
      <c r="H4837" s="100">
        <v>-2.6299244718242906E-2</v>
      </c>
      <c r="I4837" s="100">
        <v>-1.6984154666956925E-2</v>
      </c>
    </row>
    <row r="4838" spans="1:9">
      <c r="A4838" s="90">
        <v>4822</v>
      </c>
      <c r="B4838" s="110">
        <v>1.09288559046075</v>
      </c>
      <c r="C4838" s="110">
        <v>1.0561512805261204</v>
      </c>
      <c r="G4838" s="90">
        <v>4822</v>
      </c>
      <c r="H4838" s="100">
        <v>-3.419009583371526E-2</v>
      </c>
      <c r="I4838" s="100">
        <v>-1.6973316310662092E-2</v>
      </c>
    </row>
    <row r="4839" spans="1:9">
      <c r="A4839" s="90">
        <v>4823</v>
      </c>
      <c r="B4839" s="110">
        <v>1.0901932790679432</v>
      </c>
      <c r="C4839" s="110">
        <v>1.0560949648420959</v>
      </c>
      <c r="G4839" s="90">
        <v>4823</v>
      </c>
      <c r="H4839" s="100">
        <v>-3.1776890699037788E-2</v>
      </c>
      <c r="I4839" s="100">
        <v>-1.6973063536430365E-2</v>
      </c>
    </row>
    <row r="4840" spans="1:9">
      <c r="A4840" s="90">
        <v>4824</v>
      </c>
      <c r="B4840" s="110">
        <v>1.0864137021842581</v>
      </c>
      <c r="C4840" s="110">
        <v>1.0568257439076554</v>
      </c>
      <c r="G4840" s="90">
        <v>4824</v>
      </c>
      <c r="H4840" s="100">
        <v>-2.7612256034886609E-2</v>
      </c>
      <c r="I4840" s="100">
        <v>-1.6905024114802585E-2</v>
      </c>
    </row>
    <row r="4841" spans="1:9">
      <c r="A4841" s="90">
        <v>4825</v>
      </c>
      <c r="B4841" s="110">
        <v>1.1031299936180625</v>
      </c>
      <c r="C4841" s="110">
        <v>1.0602929460322148</v>
      </c>
      <c r="G4841" s="90">
        <v>4825</v>
      </c>
      <c r="H4841" s="100">
        <v>-3.9606353798091916E-2</v>
      </c>
      <c r="I4841" s="100">
        <v>-1.6901442086858894E-2</v>
      </c>
    </row>
    <row r="4842" spans="1:9">
      <c r="A4842" s="90">
        <v>4826</v>
      </c>
      <c r="B4842" s="110">
        <v>1.1100390292556412</v>
      </c>
      <c r="C4842" s="110">
        <v>1.0423750695402147</v>
      </c>
      <c r="G4842" s="90">
        <v>4826</v>
      </c>
      <c r="H4842" s="100">
        <v>-6.2893346059409438E-2</v>
      </c>
      <c r="I4842" s="100">
        <v>-1.6893429333714655E-2</v>
      </c>
    </row>
    <row r="4843" spans="1:9">
      <c r="A4843" s="90">
        <v>4827</v>
      </c>
      <c r="B4843" s="110">
        <v>1.0914003919275859</v>
      </c>
      <c r="C4843" s="110">
        <v>1.0628742274731497</v>
      </c>
      <c r="G4843" s="90">
        <v>4827</v>
      </c>
      <c r="H4843" s="100">
        <v>-2.6484860979297899E-2</v>
      </c>
      <c r="I4843" s="100">
        <v>-1.6889332790594597E-2</v>
      </c>
    </row>
    <row r="4844" spans="1:9">
      <c r="A4844" s="90">
        <v>4828</v>
      </c>
      <c r="B4844" s="110">
        <v>1.0979220411239614</v>
      </c>
      <c r="C4844" s="110">
        <v>1.0457634861627823</v>
      </c>
      <c r="G4844" s="90">
        <v>4828</v>
      </c>
      <c r="H4844" s="100">
        <v>-4.8672112348486854E-2</v>
      </c>
      <c r="I4844" s="100">
        <v>-1.6851793682984159E-2</v>
      </c>
    </row>
    <row r="4845" spans="1:9">
      <c r="A4845" s="90">
        <v>4829</v>
      </c>
      <c r="B4845" s="110">
        <v>1.095401055846231</v>
      </c>
      <c r="C4845" s="110">
        <v>1.0551247732770104</v>
      </c>
      <c r="G4845" s="90">
        <v>4829</v>
      </c>
      <c r="H4845" s="100">
        <v>-3.7461528814170815E-2</v>
      </c>
      <c r="I4845" s="100">
        <v>-1.6846486878846136E-2</v>
      </c>
    </row>
    <row r="4846" spans="1:9">
      <c r="A4846" s="90">
        <v>4830</v>
      </c>
      <c r="B4846" s="110">
        <v>1.1151514752778073</v>
      </c>
      <c r="C4846" s="110">
        <v>1.0460020518755437</v>
      </c>
      <c r="G4846" s="90">
        <v>4830</v>
      </c>
      <c r="H4846" s="100">
        <v>-6.4014920671184028E-2</v>
      </c>
      <c r="I4846" s="100">
        <v>-1.6832940687088509E-2</v>
      </c>
    </row>
    <row r="4847" spans="1:9">
      <c r="A4847" s="90">
        <v>4831</v>
      </c>
      <c r="B4847" s="110">
        <v>1.144745698878147</v>
      </c>
      <c r="C4847" s="110">
        <v>1.0638091114772446</v>
      </c>
      <c r="G4847" s="90">
        <v>4831</v>
      </c>
      <c r="H4847" s="100">
        <v>-7.3326546971516374E-2</v>
      </c>
      <c r="I4847" s="100">
        <v>-1.6827678551792312E-2</v>
      </c>
    </row>
    <row r="4848" spans="1:9">
      <c r="A4848" s="90">
        <v>4832</v>
      </c>
      <c r="B4848" s="110">
        <v>1.1359504144293147</v>
      </c>
      <c r="C4848" s="110">
        <v>1.0439384440846147</v>
      </c>
      <c r="G4848" s="90">
        <v>4832</v>
      </c>
      <c r="H4848" s="100">
        <v>-8.4469143958965043E-2</v>
      </c>
      <c r="I4848" s="100">
        <v>-1.6813479943326961E-2</v>
      </c>
    </row>
    <row r="4849" spans="1:9">
      <c r="A4849" s="90">
        <v>4833</v>
      </c>
      <c r="B4849" s="110">
        <v>1.1224281891564596</v>
      </c>
      <c r="C4849" s="110">
        <v>1.0548991023703103</v>
      </c>
      <c r="G4849" s="90">
        <v>4833</v>
      </c>
      <c r="H4849" s="100">
        <v>-6.2049239771641798E-2</v>
      </c>
      <c r="I4849" s="100">
        <v>-1.6721053982848195E-2</v>
      </c>
    </row>
    <row r="4850" spans="1:9">
      <c r="A4850" s="90">
        <v>4834</v>
      </c>
      <c r="B4850" s="110">
        <v>1.0815929846247081</v>
      </c>
      <c r="C4850" s="110">
        <v>1.0444101456548407</v>
      </c>
      <c r="G4850" s="90">
        <v>4834</v>
      </c>
      <c r="H4850" s="100">
        <v>-3.4982668042838526E-2</v>
      </c>
      <c r="I4850" s="100">
        <v>-1.6719688302877136E-2</v>
      </c>
    </row>
    <row r="4851" spans="1:9">
      <c r="A4851" s="90">
        <v>4835</v>
      </c>
      <c r="B4851" s="110">
        <v>1.1269114438594903</v>
      </c>
      <c r="C4851" s="110">
        <v>1.0594160315103849</v>
      </c>
      <c r="G4851" s="90">
        <v>4835</v>
      </c>
      <c r="H4851" s="100">
        <v>-6.176281244736493E-2</v>
      </c>
      <c r="I4851" s="100">
        <v>-1.6692813470842019E-2</v>
      </c>
    </row>
    <row r="4852" spans="1:9">
      <c r="A4852" s="90">
        <v>4836</v>
      </c>
      <c r="B4852" s="110">
        <v>1.0643092345918637</v>
      </c>
      <c r="C4852" s="110">
        <v>1.0606964277739648</v>
      </c>
      <c r="G4852" s="90">
        <v>4836</v>
      </c>
      <c r="H4852" s="100">
        <v>-3.4002829854040293E-3</v>
      </c>
      <c r="I4852" s="100">
        <v>-1.6667655761563288E-2</v>
      </c>
    </row>
    <row r="4853" spans="1:9">
      <c r="A4853" s="90">
        <v>4837</v>
      </c>
      <c r="B4853" s="110">
        <v>1.1015068624395108</v>
      </c>
      <c r="C4853" s="110">
        <v>1.0726704359671522</v>
      </c>
      <c r="G4853" s="90">
        <v>4837</v>
      </c>
      <c r="H4853" s="100">
        <v>-2.6527843477529622E-2</v>
      </c>
      <c r="I4853" s="100">
        <v>-1.6661326553797561E-2</v>
      </c>
    </row>
    <row r="4854" spans="1:9">
      <c r="A4854" s="90">
        <v>4838</v>
      </c>
      <c r="B4854" s="110">
        <v>1.0989333452767795</v>
      </c>
      <c r="C4854" s="110">
        <v>1.0640023090945867</v>
      </c>
      <c r="G4854" s="90">
        <v>4838</v>
      </c>
      <c r="H4854" s="100">
        <v>-3.230246212380105E-2</v>
      </c>
      <c r="I4854" s="100">
        <v>-1.6465284008283496E-2</v>
      </c>
    </row>
    <row r="4855" spans="1:9">
      <c r="A4855" s="90">
        <v>4839</v>
      </c>
      <c r="B4855" s="110">
        <v>1.0891799904645385</v>
      </c>
      <c r="C4855" s="110">
        <v>1.0401792298128489</v>
      </c>
      <c r="G4855" s="90">
        <v>4839</v>
      </c>
      <c r="H4855" s="100">
        <v>-4.6032076129956224E-2</v>
      </c>
      <c r="I4855" s="100">
        <v>-1.6346651670568087E-2</v>
      </c>
    </row>
    <row r="4856" spans="1:9">
      <c r="A4856" s="90">
        <v>4840</v>
      </c>
      <c r="B4856" s="110">
        <v>1.120293848759772</v>
      </c>
      <c r="C4856" s="110">
        <v>1.0547848473266941</v>
      </c>
      <c r="G4856" s="90">
        <v>4840</v>
      </c>
      <c r="H4856" s="100">
        <v>-6.0254205912426549E-2</v>
      </c>
      <c r="I4856" s="100">
        <v>-1.6346057113902523E-2</v>
      </c>
    </row>
    <row r="4857" spans="1:9">
      <c r="A4857" s="90">
        <v>4841</v>
      </c>
      <c r="B4857" s="110">
        <v>1.1095732353445671</v>
      </c>
      <c r="C4857" s="110">
        <v>1.0587836258794416</v>
      </c>
      <c r="G4857" s="90">
        <v>4841</v>
      </c>
      <c r="H4857" s="100">
        <v>-4.685474227275481E-2</v>
      </c>
      <c r="I4857" s="100">
        <v>-1.6216195298428923E-2</v>
      </c>
    </row>
    <row r="4858" spans="1:9">
      <c r="A4858" s="90">
        <v>4842</v>
      </c>
      <c r="B4858" s="110">
        <v>1.1317903553179716</v>
      </c>
      <c r="C4858" s="110">
        <v>1.0510523854436002</v>
      </c>
      <c r="G4858" s="90">
        <v>4842</v>
      </c>
      <c r="H4858" s="100">
        <v>-7.4008830065870862E-2</v>
      </c>
      <c r="I4858" s="100">
        <v>-1.6210370519183847E-2</v>
      </c>
    </row>
    <row r="4859" spans="1:9">
      <c r="A4859" s="90">
        <v>4843</v>
      </c>
      <c r="B4859" s="110">
        <v>1.1210047137280936</v>
      </c>
      <c r="C4859" s="110">
        <v>1.0764944764533859</v>
      </c>
      <c r="G4859" s="90">
        <v>4843</v>
      </c>
      <c r="H4859" s="100">
        <v>-4.0515442226789523E-2</v>
      </c>
      <c r="I4859" s="100">
        <v>-1.6174042665815642E-2</v>
      </c>
    </row>
    <row r="4860" spans="1:9">
      <c r="A4860" s="90">
        <v>4844</v>
      </c>
      <c r="B4860" s="110">
        <v>1.1271836950597576</v>
      </c>
      <c r="C4860" s="110">
        <v>1.060568653559266</v>
      </c>
      <c r="G4860" s="90">
        <v>4844</v>
      </c>
      <c r="H4860" s="100">
        <v>-6.0916986604910045E-2</v>
      </c>
      <c r="I4860" s="100">
        <v>-1.6160139267376725E-2</v>
      </c>
    </row>
    <row r="4861" spans="1:9">
      <c r="A4861" s="90">
        <v>4845</v>
      </c>
      <c r="B4861" s="110">
        <v>1.1025964877393422</v>
      </c>
      <c r="C4861" s="110">
        <v>1.0530342069782652</v>
      </c>
      <c r="G4861" s="90">
        <v>4845</v>
      </c>
      <c r="H4861" s="100">
        <v>-4.5992123849633339E-2</v>
      </c>
      <c r="I4861" s="100">
        <v>-1.610904492167882E-2</v>
      </c>
    </row>
    <row r="4862" spans="1:9">
      <c r="A4862" s="90">
        <v>4846</v>
      </c>
      <c r="B4862" s="110">
        <v>1.1151511900169215</v>
      </c>
      <c r="C4862" s="110">
        <v>1.0591312874421486</v>
      </c>
      <c r="G4862" s="90">
        <v>4846</v>
      </c>
      <c r="H4862" s="100">
        <v>-5.1540960179011421E-2</v>
      </c>
      <c r="I4862" s="100">
        <v>-1.5938958525787097E-2</v>
      </c>
    </row>
    <row r="4863" spans="1:9">
      <c r="A4863" s="90">
        <v>4847</v>
      </c>
      <c r="B4863" s="110">
        <v>1.0845260983389824</v>
      </c>
      <c r="C4863" s="110">
        <v>1.0645546507913193</v>
      </c>
      <c r="G4863" s="90">
        <v>4847</v>
      </c>
      <c r="H4863" s="100">
        <v>-1.8586572420088491E-2</v>
      </c>
      <c r="I4863" s="100">
        <v>-1.5848320103938669E-2</v>
      </c>
    </row>
    <row r="4864" spans="1:9">
      <c r="A4864" s="90">
        <v>4848</v>
      </c>
      <c r="B4864" s="110">
        <v>1.1074826352061342</v>
      </c>
      <c r="C4864" s="110">
        <v>1.0585650644999105</v>
      </c>
      <c r="G4864" s="90">
        <v>4848</v>
      </c>
      <c r="H4864" s="100">
        <v>-4.5175265250912977E-2</v>
      </c>
      <c r="I4864" s="100">
        <v>-1.5843398040508778E-2</v>
      </c>
    </row>
    <row r="4865" spans="1:9">
      <c r="A4865" s="90">
        <v>4849</v>
      </c>
      <c r="B4865" s="110">
        <v>1.0856521762543403</v>
      </c>
      <c r="C4865" s="110">
        <v>1.0283341672474176</v>
      </c>
      <c r="G4865" s="90">
        <v>4849</v>
      </c>
      <c r="H4865" s="100">
        <v>-5.4240710892679379E-2</v>
      </c>
      <c r="I4865" s="100">
        <v>-1.5836961083083217E-2</v>
      </c>
    </row>
    <row r="4866" spans="1:9">
      <c r="A4866" s="90">
        <v>4850</v>
      </c>
      <c r="B4866" s="110">
        <v>1.0980100477398631</v>
      </c>
      <c r="C4866" s="110">
        <v>1.0447381000231311</v>
      </c>
      <c r="G4866" s="90">
        <v>4850</v>
      </c>
      <c r="H4866" s="100">
        <v>-4.9733261974119862E-2</v>
      </c>
      <c r="I4866" s="100">
        <v>-1.5802254806233155E-2</v>
      </c>
    </row>
    <row r="4867" spans="1:9">
      <c r="A4867" s="90">
        <v>4851</v>
      </c>
      <c r="B4867" s="110">
        <v>1.1100806182829277</v>
      </c>
      <c r="C4867" s="110">
        <v>1.0527638033680211</v>
      </c>
      <c r="G4867" s="90">
        <v>4851</v>
      </c>
      <c r="H4867" s="100">
        <v>-5.3013742072103971E-2</v>
      </c>
      <c r="I4867" s="100">
        <v>-1.5744432258222724E-2</v>
      </c>
    </row>
    <row r="4868" spans="1:9">
      <c r="A4868" s="90">
        <v>4852</v>
      </c>
      <c r="B4868" s="110">
        <v>1.0993866603383289</v>
      </c>
      <c r="C4868" s="110">
        <v>1.0680787858208824</v>
      </c>
      <c r="G4868" s="90">
        <v>4852</v>
      </c>
      <c r="H4868" s="100">
        <v>-2.8890935474960654E-2</v>
      </c>
      <c r="I4868" s="100">
        <v>-1.572701803357367E-2</v>
      </c>
    </row>
    <row r="4869" spans="1:9">
      <c r="A4869" s="90">
        <v>4853</v>
      </c>
      <c r="B4869" s="110">
        <v>1.1235136428936268</v>
      </c>
      <c r="C4869" s="110">
        <v>1.0456293861622334</v>
      </c>
      <c r="G4869" s="90">
        <v>4853</v>
      </c>
      <c r="H4869" s="100">
        <v>-7.1841968251268915E-2</v>
      </c>
      <c r="I4869" s="100">
        <v>-1.5696644898622877E-2</v>
      </c>
    </row>
    <row r="4870" spans="1:9">
      <c r="A4870" s="90">
        <v>4854</v>
      </c>
      <c r="B4870" s="110">
        <v>1.1249291543381954</v>
      </c>
      <c r="C4870" s="110">
        <v>1.0567451427538472</v>
      </c>
      <c r="G4870" s="90">
        <v>4854</v>
      </c>
      <c r="H4870" s="100">
        <v>-6.2526495698068368E-2</v>
      </c>
      <c r="I4870" s="100">
        <v>-1.5566035532765202E-2</v>
      </c>
    </row>
    <row r="4871" spans="1:9">
      <c r="A4871" s="90">
        <v>4855</v>
      </c>
      <c r="B4871" s="110">
        <v>1.1072452521069509</v>
      </c>
      <c r="C4871" s="110">
        <v>1.0572870325447103</v>
      </c>
      <c r="G4871" s="90">
        <v>4855</v>
      </c>
      <c r="H4871" s="100">
        <v>-4.616895181491619E-2</v>
      </c>
      <c r="I4871" s="100">
        <v>-1.5474390443865711E-2</v>
      </c>
    </row>
    <row r="4872" spans="1:9">
      <c r="A4872" s="90">
        <v>4856</v>
      </c>
      <c r="B4872" s="110">
        <v>1.0859460125624762</v>
      </c>
      <c r="C4872" s="110">
        <v>1.0621186977259858</v>
      </c>
      <c r="G4872" s="90">
        <v>4856</v>
      </c>
      <c r="H4872" s="100">
        <v>-2.2185823409080738E-2</v>
      </c>
      <c r="I4872" s="100">
        <v>-1.5311951702607466E-2</v>
      </c>
    </row>
    <row r="4873" spans="1:9">
      <c r="A4873" s="90">
        <v>4857</v>
      </c>
      <c r="B4873" s="110">
        <v>1.0957461318657975</v>
      </c>
      <c r="C4873" s="110">
        <v>1.0623785214294128</v>
      </c>
      <c r="G4873" s="90">
        <v>4857</v>
      </c>
      <c r="H4873" s="100">
        <v>-3.0925247678165759E-2</v>
      </c>
      <c r="I4873" s="100">
        <v>-1.5295008805439346E-2</v>
      </c>
    </row>
    <row r="4874" spans="1:9">
      <c r="A4874" s="90">
        <v>4858</v>
      </c>
      <c r="B4874" s="110">
        <v>1.0889941113107382</v>
      </c>
      <c r="C4874" s="110">
        <v>1.059736733991447</v>
      </c>
      <c r="G4874" s="90">
        <v>4858</v>
      </c>
      <c r="H4874" s="100">
        <v>-2.7233923390569303E-2</v>
      </c>
      <c r="I4874" s="100">
        <v>-1.5207206134236963E-2</v>
      </c>
    </row>
    <row r="4875" spans="1:9">
      <c r="A4875" s="90">
        <v>4859</v>
      </c>
      <c r="B4875" s="110">
        <v>1.113623844175152</v>
      </c>
      <c r="C4875" s="110">
        <v>1.049012515417878</v>
      </c>
      <c r="G4875" s="90">
        <v>4859</v>
      </c>
      <c r="H4875" s="100">
        <v>-5.977016201274328E-2</v>
      </c>
      <c r="I4875" s="100">
        <v>-1.5131460954240819E-2</v>
      </c>
    </row>
    <row r="4876" spans="1:9">
      <c r="A4876" s="90">
        <v>4860</v>
      </c>
      <c r="B4876" s="110">
        <v>1.122681768337461</v>
      </c>
      <c r="C4876" s="110">
        <v>1.0930694897796744</v>
      </c>
      <c r="G4876" s="90">
        <v>4860</v>
      </c>
      <c r="H4876" s="100">
        <v>-2.6730474946461084E-2</v>
      </c>
      <c r="I4876" s="100">
        <v>-1.5055782417628085E-2</v>
      </c>
    </row>
    <row r="4877" spans="1:9">
      <c r="A4877" s="90">
        <v>4861</v>
      </c>
      <c r="B4877" s="110">
        <v>1.1050490710403427</v>
      </c>
      <c r="C4877" s="110">
        <v>1.0302457596819454</v>
      </c>
      <c r="G4877" s="90">
        <v>4861</v>
      </c>
      <c r="H4877" s="100">
        <v>-7.0092366751348972E-2</v>
      </c>
      <c r="I4877" s="100">
        <v>-1.492983599876827E-2</v>
      </c>
    </row>
    <row r="4878" spans="1:9">
      <c r="A4878" s="90">
        <v>4862</v>
      </c>
      <c r="B4878" s="110">
        <v>1.1554110184518163</v>
      </c>
      <c r="C4878" s="110">
        <v>1.0423574410143874</v>
      </c>
      <c r="G4878" s="90">
        <v>4862</v>
      </c>
      <c r="H4878" s="100">
        <v>-0.1029712226903411</v>
      </c>
      <c r="I4878" s="100">
        <v>-1.4900209568920492E-2</v>
      </c>
    </row>
    <row r="4879" spans="1:9">
      <c r="A4879" s="90">
        <v>4863</v>
      </c>
      <c r="B4879" s="110">
        <v>1.1356197838395228</v>
      </c>
      <c r="C4879" s="110">
        <v>1.065320566144258</v>
      </c>
      <c r="G4879" s="90">
        <v>4863</v>
      </c>
      <c r="H4879" s="100">
        <v>-6.390281200687134E-2</v>
      </c>
      <c r="I4879" s="100">
        <v>-1.4639664272471532E-2</v>
      </c>
    </row>
    <row r="4880" spans="1:9">
      <c r="A4880" s="90">
        <v>4864</v>
      </c>
      <c r="B4880" s="110">
        <v>1.1407559495619073</v>
      </c>
      <c r="C4880" s="110">
        <v>1.0460405794759489</v>
      </c>
      <c r="G4880" s="90">
        <v>4864</v>
      </c>
      <c r="H4880" s="100">
        <v>-8.6678996494176333E-2</v>
      </c>
      <c r="I4880" s="100">
        <v>-1.4624093224321719E-2</v>
      </c>
    </row>
    <row r="4881" spans="1:9">
      <c r="A4881" s="90">
        <v>4865</v>
      </c>
      <c r="B4881" s="110">
        <v>1.0847317275707689</v>
      </c>
      <c r="C4881" s="110">
        <v>1.0735678902268004</v>
      </c>
      <c r="G4881" s="90">
        <v>4865</v>
      </c>
      <c r="H4881" s="100">
        <v>-1.0345122443616581E-2</v>
      </c>
      <c r="I4881" s="100">
        <v>-1.4609564276599258E-2</v>
      </c>
    </row>
    <row r="4882" spans="1:9">
      <c r="A4882" s="90">
        <v>4866</v>
      </c>
      <c r="B4882" s="110">
        <v>1.1129041465446283</v>
      </c>
      <c r="C4882" s="110">
        <v>1.0560718069120534</v>
      </c>
      <c r="G4882" s="90">
        <v>4866</v>
      </c>
      <c r="H4882" s="100">
        <v>-5.2416764939789383E-2</v>
      </c>
      <c r="I4882" s="100">
        <v>-1.4607560846175323E-2</v>
      </c>
    </row>
    <row r="4883" spans="1:9">
      <c r="A4883" s="90">
        <v>4867</v>
      </c>
      <c r="B4883" s="110">
        <v>1.0967528079679192</v>
      </c>
      <c r="C4883" s="110">
        <v>1.0440236779163539</v>
      </c>
      <c r="G4883" s="90">
        <v>4867</v>
      </c>
      <c r="H4883" s="100">
        <v>-4.9271652123661927E-2</v>
      </c>
      <c r="I4883" s="100">
        <v>-1.460269991966133E-2</v>
      </c>
    </row>
    <row r="4884" spans="1:9">
      <c r="A4884" s="90">
        <v>4868</v>
      </c>
      <c r="B4884" s="110">
        <v>1.1059338947407003</v>
      </c>
      <c r="C4884" s="110">
        <v>1.0598753858808383</v>
      </c>
      <c r="G4884" s="90">
        <v>4868</v>
      </c>
      <c r="H4884" s="100">
        <v>-4.2538790916570798E-2</v>
      </c>
      <c r="I4884" s="100">
        <v>-1.4583939828731386E-2</v>
      </c>
    </row>
    <row r="4885" spans="1:9">
      <c r="A4885" s="90">
        <v>4869</v>
      </c>
      <c r="B4885" s="110">
        <v>1.105736484327138</v>
      </c>
      <c r="C4885" s="110">
        <v>1.0583361401363256</v>
      </c>
      <c r="G4885" s="90">
        <v>4869</v>
      </c>
      <c r="H4885" s="100">
        <v>-4.381361883930647E-2</v>
      </c>
      <c r="I4885" s="100">
        <v>-1.4549861117932201E-2</v>
      </c>
    </row>
    <row r="4886" spans="1:9">
      <c r="A4886" s="90">
        <v>4870</v>
      </c>
      <c r="B4886" s="110">
        <v>1.1089669268111808</v>
      </c>
      <c r="C4886" s="110">
        <v>1.0699117192886816</v>
      </c>
      <c r="G4886" s="90">
        <v>4870</v>
      </c>
      <c r="H4886" s="100">
        <v>-3.5852745658398466E-2</v>
      </c>
      <c r="I4886" s="100">
        <v>-1.4518262519008994E-2</v>
      </c>
    </row>
    <row r="4887" spans="1:9">
      <c r="A4887" s="90">
        <v>4871</v>
      </c>
      <c r="B4887" s="110">
        <v>1.1112708069056971</v>
      </c>
      <c r="C4887" s="110">
        <v>1.0618668582699473</v>
      </c>
      <c r="G4887" s="90">
        <v>4871</v>
      </c>
      <c r="H4887" s="100">
        <v>-4.5475685445606102E-2</v>
      </c>
      <c r="I4887" s="100">
        <v>-1.435243297445477E-2</v>
      </c>
    </row>
    <row r="4888" spans="1:9">
      <c r="A4888" s="90">
        <v>4872</v>
      </c>
      <c r="B4888" s="110">
        <v>1.0966508116885068</v>
      </c>
      <c r="C4888" s="110">
        <v>1.0528861744898279</v>
      </c>
      <c r="G4888" s="90">
        <v>4872</v>
      </c>
      <c r="H4888" s="100">
        <v>-4.0725687669689412E-2</v>
      </c>
      <c r="I4888" s="100">
        <v>-1.4307435065820081E-2</v>
      </c>
    </row>
    <row r="4889" spans="1:9">
      <c r="A4889" s="90">
        <v>4873</v>
      </c>
      <c r="B4889" s="110">
        <v>1.1132333708173585</v>
      </c>
      <c r="C4889" s="110">
        <v>1.0521743103486141</v>
      </c>
      <c r="G4889" s="90">
        <v>4873</v>
      </c>
      <c r="H4889" s="100">
        <v>-5.6409932760963372E-2</v>
      </c>
      <c r="I4889" s="100">
        <v>-1.4159452646324441E-2</v>
      </c>
    </row>
    <row r="4890" spans="1:9">
      <c r="A4890" s="90">
        <v>4874</v>
      </c>
      <c r="B4890" s="110">
        <v>1.126107210667378</v>
      </c>
      <c r="C4890" s="110">
        <v>1.086930296619026</v>
      </c>
      <c r="G4890" s="90">
        <v>4874</v>
      </c>
      <c r="H4890" s="100">
        <v>-3.5409257384037128E-2</v>
      </c>
      <c r="I4890" s="100">
        <v>-1.4094760111978683E-2</v>
      </c>
    </row>
    <row r="4891" spans="1:9">
      <c r="A4891" s="90">
        <v>4875</v>
      </c>
      <c r="B4891" s="110">
        <v>1.116702474399603</v>
      </c>
      <c r="C4891" s="110">
        <v>1.0447134209660232</v>
      </c>
      <c r="G4891" s="90">
        <v>4875</v>
      </c>
      <c r="H4891" s="100">
        <v>-6.6637513784705227E-2</v>
      </c>
      <c r="I4891" s="100">
        <v>-1.40825934501416E-2</v>
      </c>
    </row>
    <row r="4892" spans="1:9">
      <c r="A4892" s="90">
        <v>4876</v>
      </c>
      <c r="B4892" s="110">
        <v>1.126659596303891</v>
      </c>
      <c r="C4892" s="110">
        <v>1.0593162876175228</v>
      </c>
      <c r="G4892" s="90">
        <v>4876</v>
      </c>
      <c r="H4892" s="100">
        <v>-6.1633457004342307E-2</v>
      </c>
      <c r="I4892" s="100">
        <v>-1.4050263116913184E-2</v>
      </c>
    </row>
    <row r="4893" spans="1:9">
      <c r="A4893" s="90">
        <v>4877</v>
      </c>
      <c r="B4893" s="110">
        <v>1.0947601356455039</v>
      </c>
      <c r="C4893" s="110">
        <v>1.0652045364689935</v>
      </c>
      <c r="G4893" s="90">
        <v>4877</v>
      </c>
      <c r="H4893" s="100">
        <v>-2.7368451323471439E-2</v>
      </c>
      <c r="I4893" s="100">
        <v>-1.4023098888739993E-2</v>
      </c>
    </row>
    <row r="4894" spans="1:9">
      <c r="A4894" s="90">
        <v>4878</v>
      </c>
      <c r="B4894" s="110">
        <v>1.0923633179436558</v>
      </c>
      <c r="C4894" s="110">
        <v>1.0771226443650335</v>
      </c>
      <c r="G4894" s="90">
        <v>4878</v>
      </c>
      <c r="H4894" s="100">
        <v>-1.4050263116913184E-2</v>
      </c>
      <c r="I4894" s="100">
        <v>-1.3969286531661376E-2</v>
      </c>
    </row>
    <row r="4895" spans="1:9">
      <c r="A4895" s="90">
        <v>4879</v>
      </c>
      <c r="B4895" s="110">
        <v>1.1217317911378097</v>
      </c>
      <c r="C4895" s="110">
        <v>1.0397642436457648</v>
      </c>
      <c r="G4895" s="90">
        <v>4879</v>
      </c>
      <c r="H4895" s="100">
        <v>-7.587973453955292E-2</v>
      </c>
      <c r="I4895" s="100">
        <v>-1.3906151067649747E-2</v>
      </c>
    </row>
    <row r="4896" spans="1:9">
      <c r="A4896" s="90">
        <v>4880</v>
      </c>
      <c r="B4896" s="110">
        <v>1.1183467628096659</v>
      </c>
      <c r="C4896" s="110">
        <v>1.0569929744444111</v>
      </c>
      <c r="G4896" s="90">
        <v>4880</v>
      </c>
      <c r="H4896" s="100">
        <v>-5.6423429985073083E-2</v>
      </c>
      <c r="I4896" s="100">
        <v>-1.3856676629231721E-2</v>
      </c>
    </row>
    <row r="4897" spans="1:9">
      <c r="A4897" s="90">
        <v>4881</v>
      </c>
      <c r="B4897" s="110">
        <v>1.0876343648838898</v>
      </c>
      <c r="C4897" s="110">
        <v>1.0605249202717024</v>
      </c>
      <c r="G4897" s="90">
        <v>4881</v>
      </c>
      <c r="H4897" s="100">
        <v>-2.5241036912216727E-2</v>
      </c>
      <c r="I4897" s="100">
        <v>-1.3835487142292765E-2</v>
      </c>
    </row>
    <row r="4898" spans="1:9">
      <c r="A4898" s="90">
        <v>4882</v>
      </c>
      <c r="B4898" s="110">
        <v>1.1209821224430483</v>
      </c>
      <c r="C4898" s="110">
        <v>1.0486179478231026</v>
      </c>
      <c r="G4898" s="90">
        <v>4882</v>
      </c>
      <c r="H4898" s="100">
        <v>-6.673213910160547E-2</v>
      </c>
      <c r="I4898" s="100">
        <v>-1.3774436916183339E-2</v>
      </c>
    </row>
    <row r="4899" spans="1:9">
      <c r="A4899" s="90">
        <v>4883</v>
      </c>
      <c r="B4899" s="110">
        <v>1.0881503422762877</v>
      </c>
      <c r="C4899" s="110">
        <v>1.0606963877370374</v>
      </c>
      <c r="G4899" s="90">
        <v>4883</v>
      </c>
      <c r="H4899" s="100">
        <v>-2.5553659149513061E-2</v>
      </c>
      <c r="I4899" s="100">
        <v>-1.3623379084594859E-2</v>
      </c>
    </row>
    <row r="4900" spans="1:9">
      <c r="A4900" s="90">
        <v>4884</v>
      </c>
      <c r="B4900" s="110">
        <v>1.1020861275849407</v>
      </c>
      <c r="C4900" s="110">
        <v>1.0622008020853237</v>
      </c>
      <c r="G4900" s="90">
        <v>4884</v>
      </c>
      <c r="H4900" s="100">
        <v>-3.6861879257017588E-2</v>
      </c>
      <c r="I4900" s="100">
        <v>-1.359622482383754E-2</v>
      </c>
    </row>
    <row r="4901" spans="1:9">
      <c r="A4901" s="90">
        <v>4885</v>
      </c>
      <c r="B4901" s="110">
        <v>1.1162935586775351</v>
      </c>
      <c r="C4901" s="110">
        <v>1.0582573436551832</v>
      </c>
      <c r="G4901" s="90">
        <v>4885</v>
      </c>
      <c r="H4901" s="100">
        <v>-5.3390334950701154E-2</v>
      </c>
      <c r="I4901" s="100">
        <v>-1.3591139566407763E-2</v>
      </c>
    </row>
    <row r="4902" spans="1:9">
      <c r="A4902" s="90">
        <v>4886</v>
      </c>
      <c r="B4902" s="110">
        <v>1.1037261863237204</v>
      </c>
      <c r="C4902" s="110">
        <v>1.0694105742103863</v>
      </c>
      <c r="G4902" s="90">
        <v>4886</v>
      </c>
      <c r="H4902" s="100">
        <v>-3.1584265990750572E-2</v>
      </c>
      <c r="I4902" s="100">
        <v>-1.3577076820082135E-2</v>
      </c>
    </row>
    <row r="4903" spans="1:9">
      <c r="A4903" s="90">
        <v>4887</v>
      </c>
      <c r="B4903" s="110">
        <v>1.1113319476387162</v>
      </c>
      <c r="C4903" s="110">
        <v>1.0579678094247691</v>
      </c>
      <c r="G4903" s="90">
        <v>4887</v>
      </c>
      <c r="H4903" s="100">
        <v>-4.9209341685213008E-2</v>
      </c>
      <c r="I4903" s="100">
        <v>-1.3470599564763893E-2</v>
      </c>
    </row>
    <row r="4904" spans="1:9">
      <c r="A4904" s="90">
        <v>4888</v>
      </c>
      <c r="B4904" s="110">
        <v>1.1110846932699658</v>
      </c>
      <c r="C4904" s="110">
        <v>1.0505604277244969</v>
      </c>
      <c r="G4904" s="90">
        <v>4888</v>
      </c>
      <c r="H4904" s="100">
        <v>-5.6012976847610085E-2</v>
      </c>
      <c r="I4904" s="100">
        <v>-1.343092891805828E-2</v>
      </c>
    </row>
    <row r="4905" spans="1:9">
      <c r="A4905" s="90">
        <v>4889</v>
      </c>
      <c r="B4905" s="110">
        <v>1.1273544146965364</v>
      </c>
      <c r="C4905" s="110">
        <v>1.0441576909854808</v>
      </c>
      <c r="G4905" s="90">
        <v>4889</v>
      </c>
      <c r="H4905" s="100">
        <v>-7.6663138777789408E-2</v>
      </c>
      <c r="I4905" s="100">
        <v>-1.328545421871522E-2</v>
      </c>
    </row>
    <row r="4906" spans="1:9">
      <c r="A4906" s="90">
        <v>4890</v>
      </c>
      <c r="B4906" s="110">
        <v>1.1186248006348232</v>
      </c>
      <c r="C4906" s="110">
        <v>1.0655181121675883</v>
      </c>
      <c r="G4906" s="90">
        <v>4890</v>
      </c>
      <c r="H4906" s="100">
        <v>-4.8638903135892121E-2</v>
      </c>
      <c r="I4906" s="100">
        <v>-1.321636303187957E-2</v>
      </c>
    </row>
    <row r="4907" spans="1:9">
      <c r="A4907" s="90">
        <v>4891</v>
      </c>
      <c r="B4907" s="110">
        <v>1.114082914976525</v>
      </c>
      <c r="C4907" s="110">
        <v>1.0648035655298167</v>
      </c>
      <c r="G4907" s="90">
        <v>4891</v>
      </c>
      <c r="H4907" s="100">
        <v>-4.5241232058980271E-2</v>
      </c>
      <c r="I4907" s="100">
        <v>-1.3012816017140013E-2</v>
      </c>
    </row>
    <row r="4908" spans="1:9">
      <c r="A4908" s="90">
        <v>4892</v>
      </c>
      <c r="B4908" s="110">
        <v>1.1005398023414532</v>
      </c>
      <c r="C4908" s="110">
        <v>1.0558830972814588</v>
      </c>
      <c r="G4908" s="90">
        <v>4892</v>
      </c>
      <c r="H4908" s="100">
        <v>-4.1423313013298782E-2</v>
      </c>
      <c r="I4908" s="100">
        <v>-1.2941111775972647E-2</v>
      </c>
    </row>
    <row r="4909" spans="1:9">
      <c r="A4909" s="90">
        <v>4893</v>
      </c>
      <c r="B4909" s="110">
        <v>1.0998681901329701</v>
      </c>
      <c r="C4909" s="110">
        <v>1.0385882628112473</v>
      </c>
      <c r="G4909" s="90">
        <v>4893</v>
      </c>
      <c r="H4909" s="100">
        <v>-5.7327994079669757E-2</v>
      </c>
      <c r="I4909" s="100">
        <v>-1.290802454612751E-2</v>
      </c>
    </row>
    <row r="4910" spans="1:9">
      <c r="A4910" s="90">
        <v>4894</v>
      </c>
      <c r="B4910" s="110">
        <v>1.0977424534976714</v>
      </c>
      <c r="C4910" s="110">
        <v>1.0531488402073037</v>
      </c>
      <c r="G4910" s="90">
        <v>4894</v>
      </c>
      <c r="H4910" s="100">
        <v>-4.1471184029949891E-2</v>
      </c>
      <c r="I4910" s="100">
        <v>-1.2876049189322523E-2</v>
      </c>
    </row>
    <row r="4911" spans="1:9">
      <c r="A4911" s="90">
        <v>4895</v>
      </c>
      <c r="B4911" s="110">
        <v>1.0976753927451917</v>
      </c>
      <c r="C4911" s="110">
        <v>1.0412796735371328</v>
      </c>
      <c r="G4911" s="90">
        <v>4895</v>
      </c>
      <c r="H4911" s="100">
        <v>-5.2744252268396047E-2</v>
      </c>
      <c r="I4911" s="100">
        <v>-1.2788435513600819E-2</v>
      </c>
    </row>
    <row r="4912" spans="1:9">
      <c r="A4912" s="90">
        <v>4896</v>
      </c>
      <c r="B4912" s="110">
        <v>1.1165053656730306</v>
      </c>
      <c r="C4912" s="110">
        <v>1.0740192615917183</v>
      </c>
      <c r="G4912" s="90">
        <v>4896</v>
      </c>
      <c r="H4912" s="100">
        <v>-3.8795667715343367E-2</v>
      </c>
      <c r="I4912" s="100">
        <v>-1.2754358403098104E-2</v>
      </c>
    </row>
    <row r="4913" spans="1:9">
      <c r="A4913" s="90">
        <v>4897</v>
      </c>
      <c r="B4913" s="110">
        <v>1.1364558461530556</v>
      </c>
      <c r="C4913" s="110">
        <v>1.0650894043722101</v>
      </c>
      <c r="G4913" s="90">
        <v>4897</v>
      </c>
      <c r="H4913" s="100">
        <v>-6.4855769427222487E-2</v>
      </c>
      <c r="I4913" s="100">
        <v>-1.2721800253116757E-2</v>
      </c>
    </row>
    <row r="4914" spans="1:9">
      <c r="A4914" s="90">
        <v>4898</v>
      </c>
      <c r="B4914" s="110">
        <v>1.1224732095928853</v>
      </c>
      <c r="C4914" s="110">
        <v>1.0477181235339172</v>
      </c>
      <c r="G4914" s="90">
        <v>4898</v>
      </c>
      <c r="H4914" s="100">
        <v>-6.8919889989668151E-2</v>
      </c>
      <c r="I4914" s="100">
        <v>-1.2705298936518219E-2</v>
      </c>
    </row>
    <row r="4915" spans="1:9">
      <c r="A4915" s="90">
        <v>4899</v>
      </c>
      <c r="B4915" s="110">
        <v>1.1288561520872549</v>
      </c>
      <c r="C4915" s="110">
        <v>1.0682246443523802</v>
      </c>
      <c r="G4915" s="90">
        <v>4899</v>
      </c>
      <c r="H4915" s="100">
        <v>-5.5206805685009429E-2</v>
      </c>
      <c r="I4915" s="100">
        <v>-1.2289583486704416E-2</v>
      </c>
    </row>
    <row r="4916" spans="1:9">
      <c r="A4916" s="90">
        <v>4900</v>
      </c>
      <c r="B4916" s="110">
        <v>1.113898482864226</v>
      </c>
      <c r="C4916" s="110">
        <v>1.0618791776103711</v>
      </c>
      <c r="G4916" s="90">
        <v>4900</v>
      </c>
      <c r="H4916" s="100">
        <v>-4.7825861245381594E-2</v>
      </c>
      <c r="I4916" s="100">
        <v>-1.2284783669842748E-2</v>
      </c>
    </row>
    <row r="4917" spans="1:9">
      <c r="A4917" s="90">
        <v>4901</v>
      </c>
      <c r="B4917" s="110">
        <v>1.1018464835492545</v>
      </c>
      <c r="C4917" s="110">
        <v>1.070620996193838</v>
      </c>
      <c r="G4917" s="90">
        <v>4901</v>
      </c>
      <c r="H4917" s="100">
        <v>-2.8748543503760104E-2</v>
      </c>
      <c r="I4917" s="100">
        <v>-1.2284189785010065E-2</v>
      </c>
    </row>
    <row r="4918" spans="1:9">
      <c r="A4918" s="90">
        <v>4902</v>
      </c>
      <c r="B4918" s="110">
        <v>1.089015112898188</v>
      </c>
      <c r="C4918" s="110">
        <v>1.0252693950891112</v>
      </c>
      <c r="G4918" s="90">
        <v>4902</v>
      </c>
      <c r="H4918" s="100">
        <v>-6.0318319095391058E-2</v>
      </c>
      <c r="I4918" s="100">
        <v>-1.2032321521854041E-2</v>
      </c>
    </row>
    <row r="4919" spans="1:9">
      <c r="A4919" s="90">
        <v>4903</v>
      </c>
      <c r="B4919" s="110">
        <v>1.1127496650469775</v>
      </c>
      <c r="C4919" s="110">
        <v>1.0389382227640549</v>
      </c>
      <c r="G4919" s="90">
        <v>4903</v>
      </c>
      <c r="H4919" s="100">
        <v>-6.8634875910592988E-2</v>
      </c>
      <c r="I4919" s="100">
        <v>-1.2018545889421878E-2</v>
      </c>
    </row>
    <row r="4920" spans="1:9">
      <c r="A4920" s="90">
        <v>4904</v>
      </c>
      <c r="B4920" s="110">
        <v>1.09010096575139</v>
      </c>
      <c r="C4920" s="110">
        <v>1.0405802373529933</v>
      </c>
      <c r="G4920" s="90">
        <v>4904</v>
      </c>
      <c r="H4920" s="100">
        <v>-4.6491842975744456E-2</v>
      </c>
      <c r="I4920" s="100">
        <v>-1.1973769354784848E-2</v>
      </c>
    </row>
    <row r="4921" spans="1:9">
      <c r="A4921" s="90">
        <v>4905</v>
      </c>
      <c r="B4921" s="110">
        <v>1.1209382318480197</v>
      </c>
      <c r="C4921" s="110">
        <v>1.0398380103439711</v>
      </c>
      <c r="G4921" s="90">
        <v>4905</v>
      </c>
      <c r="H4921" s="100">
        <v>-7.5101099896579121E-2</v>
      </c>
      <c r="I4921" s="100">
        <v>-1.1866159464006912E-2</v>
      </c>
    </row>
    <row r="4922" spans="1:9">
      <c r="A4922" s="90">
        <v>4906</v>
      </c>
      <c r="B4922" s="110">
        <v>1.1013173829149399</v>
      </c>
      <c r="C4922" s="110">
        <v>1.0392900261647442</v>
      </c>
      <c r="G4922" s="90">
        <v>4906</v>
      </c>
      <c r="H4922" s="100">
        <v>-5.7969271179651678E-2</v>
      </c>
      <c r="I4922" s="100">
        <v>-1.1806456873478607E-2</v>
      </c>
    </row>
    <row r="4923" spans="1:9">
      <c r="A4923" s="90">
        <v>4907</v>
      </c>
      <c r="B4923" s="110">
        <v>1.1079892248949184</v>
      </c>
      <c r="C4923" s="110">
        <v>1.0669457743584287</v>
      </c>
      <c r="G4923" s="90">
        <v>4907</v>
      </c>
      <c r="H4923" s="100">
        <v>-3.7746713083039403E-2</v>
      </c>
      <c r="I4923" s="100">
        <v>-1.1752491226809958E-2</v>
      </c>
    </row>
    <row r="4924" spans="1:9">
      <c r="A4924" s="90">
        <v>4908</v>
      </c>
      <c r="B4924" s="110">
        <v>1.100471641382029</v>
      </c>
      <c r="C4924" s="110">
        <v>1.06562809502401</v>
      </c>
      <c r="G4924" s="90">
        <v>4908</v>
      </c>
      <c r="H4924" s="100">
        <v>-3.2174466896792951E-2</v>
      </c>
      <c r="I4924" s="100">
        <v>-1.1705485549174263E-2</v>
      </c>
    </row>
    <row r="4925" spans="1:9">
      <c r="A4925" s="90">
        <v>4909</v>
      </c>
      <c r="B4925" s="110">
        <v>1.1118771096530726</v>
      </c>
      <c r="C4925" s="110">
        <v>1.0432473537561355</v>
      </c>
      <c r="G4925" s="90">
        <v>4909</v>
      </c>
      <c r="H4925" s="100">
        <v>-6.3711372871740196E-2</v>
      </c>
      <c r="I4925" s="100">
        <v>-1.1625213476634092E-2</v>
      </c>
    </row>
    <row r="4926" spans="1:9">
      <c r="A4926" s="90">
        <v>4910</v>
      </c>
      <c r="B4926" s="110">
        <v>1.1174322393462974</v>
      </c>
      <c r="C4926" s="110">
        <v>1.0515447079617224</v>
      </c>
      <c r="G4926" s="90">
        <v>4910</v>
      </c>
      <c r="H4926" s="100">
        <v>-6.0773176207910777E-2</v>
      </c>
      <c r="I4926" s="100">
        <v>-1.1614816690634617E-2</v>
      </c>
    </row>
    <row r="4927" spans="1:9">
      <c r="A4927" s="90">
        <v>4911</v>
      </c>
      <c r="B4927" s="110">
        <v>1.1082078170101255</v>
      </c>
      <c r="C4927" s="110">
        <v>1.0455563225704443</v>
      </c>
      <c r="G4927" s="90">
        <v>4911</v>
      </c>
      <c r="H4927" s="100">
        <v>-5.8195021359940931E-2</v>
      </c>
      <c r="I4927" s="100">
        <v>-1.1557680256719997E-2</v>
      </c>
    </row>
    <row r="4928" spans="1:9">
      <c r="A4928" s="90">
        <v>4912</v>
      </c>
      <c r="B4928" s="110">
        <v>1.1227121744310129</v>
      </c>
      <c r="C4928" s="110">
        <v>1.0641100914847237</v>
      </c>
      <c r="G4928" s="90">
        <v>4912</v>
      </c>
      <c r="H4928" s="100">
        <v>-5.3608487302591969E-2</v>
      </c>
      <c r="I4928" s="100">
        <v>-1.1385721547872788E-2</v>
      </c>
    </row>
    <row r="4929" spans="1:9">
      <c r="A4929" s="90">
        <v>4913</v>
      </c>
      <c r="B4929" s="110">
        <v>1.1311592502696748</v>
      </c>
      <c r="C4929" s="110">
        <v>1.0746569058842479</v>
      </c>
      <c r="G4929" s="90">
        <v>4913</v>
      </c>
      <c r="H4929" s="100">
        <v>-5.1241538736941532E-2</v>
      </c>
      <c r="I4929" s="100">
        <v>-1.1340335501537221E-2</v>
      </c>
    </row>
    <row r="4930" spans="1:9">
      <c r="A4930" s="90">
        <v>4914</v>
      </c>
      <c r="B4930" s="110">
        <v>1.1233585701602753</v>
      </c>
      <c r="C4930" s="110">
        <v>1.0529900677259389</v>
      </c>
      <c r="G4930" s="90">
        <v>4914</v>
      </c>
      <c r="H4930" s="100">
        <v>-6.4689120713531598E-2</v>
      </c>
      <c r="I4930" s="100">
        <v>-1.1325387007252056E-2</v>
      </c>
    </row>
    <row r="4931" spans="1:9">
      <c r="A4931" s="90">
        <v>4915</v>
      </c>
      <c r="B4931" s="110">
        <v>1.1144062439239377</v>
      </c>
      <c r="C4931" s="110">
        <v>1.0607887737162991</v>
      </c>
      <c r="G4931" s="90">
        <v>4915</v>
      </c>
      <c r="H4931" s="100">
        <v>-4.930898886774758E-2</v>
      </c>
      <c r="I4931" s="100">
        <v>-1.131560431453083E-2</v>
      </c>
    </row>
    <row r="4932" spans="1:9">
      <c r="A4932" s="90">
        <v>4916</v>
      </c>
      <c r="B4932" s="110">
        <v>1.0959268034375771</v>
      </c>
      <c r="C4932" s="110">
        <v>1.0448708696838005</v>
      </c>
      <c r="G4932" s="90">
        <v>4916</v>
      </c>
      <c r="H4932" s="100">
        <v>-4.770709301006295E-2</v>
      </c>
      <c r="I4932" s="100">
        <v>-1.1311638851342991E-2</v>
      </c>
    </row>
    <row r="4933" spans="1:9">
      <c r="A4933" s="90">
        <v>4917</v>
      </c>
      <c r="B4933" s="110">
        <v>1.1111887572379007</v>
      </c>
      <c r="C4933" s="110">
        <v>1.0473542318559161</v>
      </c>
      <c r="G4933" s="90">
        <v>4917</v>
      </c>
      <c r="H4933" s="100">
        <v>-5.9163189732350227E-2</v>
      </c>
      <c r="I4933" s="100">
        <v>-1.1072560730274747E-2</v>
      </c>
    </row>
    <row r="4934" spans="1:9">
      <c r="A4934" s="90">
        <v>4918</v>
      </c>
      <c r="B4934" s="110">
        <v>1.1150760145552876</v>
      </c>
      <c r="C4934" s="110">
        <v>1.0515761138277986</v>
      </c>
      <c r="G4934" s="90">
        <v>4918</v>
      </c>
      <c r="H4934" s="100">
        <v>-5.8632477585167181E-2</v>
      </c>
      <c r="I4934" s="100">
        <v>-1.1031798061951294E-2</v>
      </c>
    </row>
    <row r="4935" spans="1:9">
      <c r="A4935" s="90">
        <v>4919</v>
      </c>
      <c r="B4935" s="110">
        <v>1.1134358566964333</v>
      </c>
      <c r="C4935" s="110">
        <v>1.0478854357911094</v>
      </c>
      <c r="G4935" s="90">
        <v>4919</v>
      </c>
      <c r="H4935" s="100">
        <v>-6.0676338003753015E-2</v>
      </c>
      <c r="I4935" s="100">
        <v>-1.0997789094406307E-2</v>
      </c>
    </row>
    <row r="4936" spans="1:9">
      <c r="A4936" s="90">
        <v>4920</v>
      </c>
      <c r="B4936" s="110">
        <v>1.1108480882832654</v>
      </c>
      <c r="C4936" s="110">
        <v>1.0470734739126009</v>
      </c>
      <c r="G4936" s="90">
        <v>4920</v>
      </c>
      <c r="H4936" s="100">
        <v>-5.9124662007096603E-2</v>
      </c>
      <c r="I4936" s="100">
        <v>-1.0961738972832214E-2</v>
      </c>
    </row>
    <row r="4937" spans="1:9">
      <c r="A4937" s="90">
        <v>4921</v>
      </c>
      <c r="B4937" s="110">
        <v>1.1295248882691156</v>
      </c>
      <c r="C4937" s="110">
        <v>1.0502859388692762</v>
      </c>
      <c r="G4937" s="90">
        <v>4921</v>
      </c>
      <c r="H4937" s="100">
        <v>-7.27346416210011E-2</v>
      </c>
      <c r="I4937" s="100">
        <v>-1.0725969271768419E-2</v>
      </c>
    </row>
    <row r="4938" spans="1:9">
      <c r="A4938" s="90">
        <v>4922</v>
      </c>
      <c r="B4938" s="110">
        <v>1.096311637525349</v>
      </c>
      <c r="C4938" s="110">
        <v>1.0438411508333705</v>
      </c>
      <c r="G4938" s="90">
        <v>4922</v>
      </c>
      <c r="H4938" s="100">
        <v>-4.9044165406808088E-2</v>
      </c>
      <c r="I4938" s="100">
        <v>-1.0669121307648258E-2</v>
      </c>
    </row>
    <row r="4939" spans="1:9">
      <c r="A4939" s="90">
        <v>4923</v>
      </c>
      <c r="B4939" s="110">
        <v>1.0879822985422882</v>
      </c>
      <c r="C4939" s="110">
        <v>1.0691246849248357</v>
      </c>
      <c r="G4939" s="90">
        <v>4923</v>
      </c>
      <c r="H4939" s="100">
        <v>-1.748461636423718E-2</v>
      </c>
      <c r="I4939" s="100">
        <v>-1.0441910822822325E-2</v>
      </c>
    </row>
    <row r="4940" spans="1:9">
      <c r="A4940" s="90">
        <v>4924</v>
      </c>
      <c r="B4940" s="110">
        <v>1.1316662041376908</v>
      </c>
      <c r="C4940" s="110">
        <v>1.0787844678411538</v>
      </c>
      <c r="G4940" s="90">
        <v>4924</v>
      </c>
      <c r="H4940" s="100">
        <v>-4.7856149073745122E-2</v>
      </c>
      <c r="I4940" s="100">
        <v>-1.0345122443616581E-2</v>
      </c>
    </row>
    <row r="4941" spans="1:9">
      <c r="A4941" s="90">
        <v>4925</v>
      </c>
      <c r="B4941" s="110">
        <v>1.1301648773720541</v>
      </c>
      <c r="C4941" s="110">
        <v>1.0723947740419888</v>
      </c>
      <c r="G4941" s="90">
        <v>4925</v>
      </c>
      <c r="H4941" s="100">
        <v>-5.2469277034050396E-2</v>
      </c>
      <c r="I4941" s="100">
        <v>-1.0303703090639993E-2</v>
      </c>
    </row>
    <row r="4942" spans="1:9">
      <c r="A4942" s="90">
        <v>4926</v>
      </c>
      <c r="B4942" s="110">
        <v>1.0944087040022688</v>
      </c>
      <c r="C4942" s="110">
        <v>1.0616004872294151</v>
      </c>
      <c r="G4942" s="90">
        <v>4926</v>
      </c>
      <c r="H4942" s="100">
        <v>-3.0436558079588845E-2</v>
      </c>
      <c r="I4942" s="100">
        <v>-1.0251855774585667E-2</v>
      </c>
    </row>
    <row r="4943" spans="1:9">
      <c r="A4943" s="90">
        <v>4927</v>
      </c>
      <c r="B4943" s="110">
        <v>1.0972978342429214</v>
      </c>
      <c r="C4943" s="110">
        <v>1.0454806214864059</v>
      </c>
      <c r="G4943" s="90">
        <v>4927</v>
      </c>
      <c r="H4943" s="100">
        <v>-4.8373938746900005E-2</v>
      </c>
      <c r="I4943" s="100">
        <v>-1.0066829715658374E-2</v>
      </c>
    </row>
    <row r="4944" spans="1:9">
      <c r="A4944" s="90">
        <v>4928</v>
      </c>
      <c r="B4944" s="110">
        <v>1.0933919824543326</v>
      </c>
      <c r="C4944" s="110">
        <v>1.0624312107773224</v>
      </c>
      <c r="G4944" s="90">
        <v>4928</v>
      </c>
      <c r="H4944" s="100">
        <v>-2.8724897855239358E-2</v>
      </c>
      <c r="I4944" s="100">
        <v>-1.0046373581783398E-2</v>
      </c>
    </row>
    <row r="4945" spans="1:9">
      <c r="A4945" s="90">
        <v>4929</v>
      </c>
      <c r="B4945" s="110">
        <v>1.1277451214493519</v>
      </c>
      <c r="C4945" s="110">
        <v>1.0607361238218616</v>
      </c>
      <c r="G4945" s="90">
        <v>4929</v>
      </c>
      <c r="H4945" s="100">
        <v>-6.1257047845601452E-2</v>
      </c>
      <c r="I4945" s="100">
        <v>-9.8398982729524312E-3</v>
      </c>
    </row>
    <row r="4946" spans="1:9">
      <c r="A4946" s="90">
        <v>4930</v>
      </c>
      <c r="B4946" s="110">
        <v>1.1386363675294595</v>
      </c>
      <c r="C4946" s="110">
        <v>1.0643135881048502</v>
      </c>
      <c r="G4946" s="90">
        <v>4930</v>
      </c>
      <c r="H4946" s="100">
        <v>-6.7501304432814616E-2</v>
      </c>
      <c r="I4946" s="100">
        <v>-9.8204683152625476E-3</v>
      </c>
    </row>
    <row r="4947" spans="1:9">
      <c r="A4947" s="90">
        <v>4931</v>
      </c>
      <c r="B4947" s="110">
        <v>1.1524976881782527</v>
      </c>
      <c r="C4947" s="110">
        <v>1.0647061960122852</v>
      </c>
      <c r="G4947" s="90">
        <v>4931</v>
      </c>
      <c r="H4947" s="100">
        <v>-7.9232601154873572E-2</v>
      </c>
      <c r="I4947" s="100">
        <v>-9.8045845921705971E-3</v>
      </c>
    </row>
    <row r="4948" spans="1:9">
      <c r="A4948" s="90">
        <v>4932</v>
      </c>
      <c r="B4948" s="110">
        <v>1.0864754467556226</v>
      </c>
      <c r="C4948" s="110">
        <v>1.0587697693328111</v>
      </c>
      <c r="G4948" s="90">
        <v>4932</v>
      </c>
      <c r="H4948" s="100">
        <v>-2.5831282839775774E-2</v>
      </c>
      <c r="I4948" s="100">
        <v>-9.6813345151238583E-3</v>
      </c>
    </row>
    <row r="4949" spans="1:9">
      <c r="A4949" s="90">
        <v>4933</v>
      </c>
      <c r="B4949" s="110">
        <v>1.1111342598215208</v>
      </c>
      <c r="C4949" s="110">
        <v>1.0507923389321892</v>
      </c>
      <c r="G4949" s="90">
        <v>4933</v>
      </c>
      <c r="H4949" s="100">
        <v>-5.5836861177741913E-2</v>
      </c>
      <c r="I4949" s="100">
        <v>-9.6213199308276404E-3</v>
      </c>
    </row>
    <row r="4950" spans="1:9">
      <c r="A4950" s="90">
        <v>4934</v>
      </c>
      <c r="B4950" s="110">
        <v>1.1115694110516257</v>
      </c>
      <c r="C4950" s="110">
        <v>1.0678036880582416</v>
      </c>
      <c r="G4950" s="90">
        <v>4934</v>
      </c>
      <c r="H4950" s="100">
        <v>-4.0168989599112186E-2</v>
      </c>
      <c r="I4950" s="100">
        <v>-9.5077283738769294E-3</v>
      </c>
    </row>
    <row r="4951" spans="1:9">
      <c r="A4951" s="90">
        <v>4935</v>
      </c>
      <c r="B4951" s="110">
        <v>1.1154000842622505</v>
      </c>
      <c r="C4951" s="110">
        <v>1.0556547842366995</v>
      </c>
      <c r="G4951" s="90">
        <v>4935</v>
      </c>
      <c r="H4951" s="100">
        <v>-5.505193754678149E-2</v>
      </c>
      <c r="I4951" s="100">
        <v>-9.4814339298153732E-3</v>
      </c>
    </row>
    <row r="4952" spans="1:9">
      <c r="A4952" s="90">
        <v>4936</v>
      </c>
      <c r="B4952" s="110">
        <v>1.1210268931850365</v>
      </c>
      <c r="C4952" s="110">
        <v>1.0805128129201085</v>
      </c>
      <c r="G4952" s="90">
        <v>4936</v>
      </c>
      <c r="H4952" s="100">
        <v>-3.6809378935211141E-2</v>
      </c>
      <c r="I4952" s="100">
        <v>-9.4567279044799127E-3</v>
      </c>
    </row>
    <row r="4953" spans="1:9">
      <c r="A4953" s="90">
        <v>4937</v>
      </c>
      <c r="B4953" s="110">
        <v>1.1064221098633347</v>
      </c>
      <c r="C4953" s="110">
        <v>1.0357501040935164</v>
      </c>
      <c r="G4953" s="90">
        <v>4937</v>
      </c>
      <c r="H4953" s="100">
        <v>-6.6005582300250443E-2</v>
      </c>
      <c r="I4953" s="100">
        <v>-9.1678921436288887E-3</v>
      </c>
    </row>
    <row r="4954" spans="1:9">
      <c r="A4954" s="90">
        <v>4938</v>
      </c>
      <c r="B4954" s="110">
        <v>1.1035713731972081</v>
      </c>
      <c r="C4954" s="110">
        <v>1.0799850670660502</v>
      </c>
      <c r="G4954" s="90">
        <v>4938</v>
      </c>
      <c r="H4954" s="100">
        <v>-2.1604409301364254E-2</v>
      </c>
      <c r="I4954" s="100">
        <v>-9.1579101031542837E-3</v>
      </c>
    </row>
    <row r="4955" spans="1:9">
      <c r="A4955" s="90">
        <v>4939</v>
      </c>
      <c r="B4955" s="110">
        <v>1.0919906620093423</v>
      </c>
      <c r="C4955" s="110">
        <v>1.0651577491717248</v>
      </c>
      <c r="G4955" s="90">
        <v>4939</v>
      </c>
      <c r="H4955" s="100">
        <v>-2.4879416532136739E-2</v>
      </c>
      <c r="I4955" s="100">
        <v>-8.9828993439847668E-3</v>
      </c>
    </row>
    <row r="4956" spans="1:9">
      <c r="A4956" s="90">
        <v>4940</v>
      </c>
      <c r="B4956" s="110">
        <v>1.11979545966269</v>
      </c>
      <c r="C4956" s="110">
        <v>1.0567153027425202</v>
      </c>
      <c r="G4956" s="90">
        <v>4940</v>
      </c>
      <c r="H4956" s="100">
        <v>-5.7980717333933139E-2</v>
      </c>
      <c r="I4956" s="100">
        <v>-8.9660630607705585E-3</v>
      </c>
    </row>
    <row r="4957" spans="1:9">
      <c r="A4957" s="90">
        <v>4941</v>
      </c>
      <c r="B4957" s="110">
        <v>1.0840493855114284</v>
      </c>
      <c r="C4957" s="110">
        <v>1.0813320714668186</v>
      </c>
      <c r="G4957" s="90">
        <v>4941</v>
      </c>
      <c r="H4957" s="100">
        <v>-2.5097799394329118E-3</v>
      </c>
      <c r="I4957" s="100">
        <v>-8.9540141929890359E-3</v>
      </c>
    </row>
    <row r="4958" spans="1:9">
      <c r="A4958" s="90">
        <v>4942</v>
      </c>
      <c r="B4958" s="110">
        <v>1.1005514578107096</v>
      </c>
      <c r="C4958" s="110">
        <v>1.0493484137317783</v>
      </c>
      <c r="G4958" s="90">
        <v>4942</v>
      </c>
      <c r="H4958" s="100">
        <v>-4.7641966272535009E-2</v>
      </c>
      <c r="I4958" s="100">
        <v>-8.9020427930394178E-3</v>
      </c>
    </row>
    <row r="4959" spans="1:9">
      <c r="A4959" s="90">
        <v>4943</v>
      </c>
      <c r="B4959" s="110">
        <v>1.1422312519432396</v>
      </c>
      <c r="C4959" s="110">
        <v>1.0569445459109088</v>
      </c>
      <c r="G4959" s="90">
        <v>4943</v>
      </c>
      <c r="H4959" s="100">
        <v>-7.7601346205941238E-2</v>
      </c>
      <c r="I4959" s="100">
        <v>-8.0152025128852247E-3</v>
      </c>
    </row>
    <row r="4960" spans="1:9">
      <c r="A4960" s="90">
        <v>4944</v>
      </c>
      <c r="B4960" s="110">
        <v>1.1365394939894975</v>
      </c>
      <c r="C4960" s="110">
        <v>1.0588473908523663</v>
      </c>
      <c r="G4960" s="90">
        <v>4944</v>
      </c>
      <c r="H4960" s="100">
        <v>-7.0807164856333843E-2</v>
      </c>
      <c r="I4960" s="100">
        <v>-7.99428509792207E-3</v>
      </c>
    </row>
    <row r="4961" spans="1:9">
      <c r="A4961" s="90">
        <v>4945</v>
      </c>
      <c r="B4961" s="110">
        <v>1.1016609550118823</v>
      </c>
      <c r="C4961" s="110">
        <v>1.0397570177450215</v>
      </c>
      <c r="G4961" s="90">
        <v>4945</v>
      </c>
      <c r="H4961" s="100">
        <v>-5.7831950991727797E-2</v>
      </c>
      <c r="I4961" s="100">
        <v>-7.9858818701544782E-3</v>
      </c>
    </row>
    <row r="4962" spans="1:9">
      <c r="A4962" s="90">
        <v>4946</v>
      </c>
      <c r="B4962" s="110">
        <v>1.1185321104418369</v>
      </c>
      <c r="C4962" s="110">
        <v>1.0546198042159223</v>
      </c>
      <c r="G4962" s="90">
        <v>4946</v>
      </c>
      <c r="H4962" s="100">
        <v>-5.8836883195670646E-2</v>
      </c>
      <c r="I4962" s="100">
        <v>-7.9019332040752011E-3</v>
      </c>
    </row>
    <row r="4963" spans="1:9">
      <c r="A4963" s="90">
        <v>4947</v>
      </c>
      <c r="B4963" s="110">
        <v>1.086939578506471</v>
      </c>
      <c r="C4963" s="110">
        <v>1.0466450904128521</v>
      </c>
      <c r="G4963" s="90">
        <v>4947</v>
      </c>
      <c r="H4963" s="100">
        <v>-3.7776124259175002E-2</v>
      </c>
      <c r="I4963" s="100">
        <v>-7.8914339392392226E-3</v>
      </c>
    </row>
    <row r="4964" spans="1:9">
      <c r="A4964" s="90">
        <v>4948</v>
      </c>
      <c r="B4964" s="110">
        <v>1.0853245100772169</v>
      </c>
      <c r="C4964" s="110">
        <v>1.0725219849945977</v>
      </c>
      <c r="G4964" s="90">
        <v>4948</v>
      </c>
      <c r="H4964" s="100">
        <v>-1.1866159464006912E-2</v>
      </c>
      <c r="I4964" s="100">
        <v>-7.7294232056710835E-3</v>
      </c>
    </row>
    <row r="4965" spans="1:9">
      <c r="A4965" s="90">
        <v>4949</v>
      </c>
      <c r="B4965" s="110">
        <v>1.1175371211029592</v>
      </c>
      <c r="C4965" s="110">
        <v>1.0612385383075826</v>
      </c>
      <c r="G4965" s="90">
        <v>4949</v>
      </c>
      <c r="H4965" s="100">
        <v>-5.1690606539321303E-2</v>
      </c>
      <c r="I4965" s="100">
        <v>-7.5199874333979596E-3</v>
      </c>
    </row>
    <row r="4966" spans="1:9">
      <c r="A4966" s="90">
        <v>4950</v>
      </c>
      <c r="B4966" s="110">
        <v>1.1068708961778815</v>
      </c>
      <c r="C4966" s="110">
        <v>1.0755490838999513</v>
      </c>
      <c r="G4966" s="90">
        <v>4950</v>
      </c>
      <c r="H4966" s="100">
        <v>-2.8705715074056757E-2</v>
      </c>
      <c r="I4966" s="100">
        <v>-7.4980062768580259E-3</v>
      </c>
    </row>
    <row r="4967" spans="1:9">
      <c r="A4967" s="90">
        <v>4951</v>
      </c>
      <c r="B4967" s="110">
        <v>1.1055006848912345</v>
      </c>
      <c r="C4967" s="110">
        <v>1.0849979505411602</v>
      </c>
      <c r="G4967" s="90">
        <v>4951</v>
      </c>
      <c r="H4967" s="100">
        <v>-1.8720242757430956E-2</v>
      </c>
      <c r="I4967" s="100">
        <v>-7.4044577354077015E-3</v>
      </c>
    </row>
    <row r="4968" spans="1:9">
      <c r="A4968" s="90">
        <v>4952</v>
      </c>
      <c r="B4968" s="110">
        <v>1.1023268430714872</v>
      </c>
      <c r="C4968" s="110">
        <v>1.0530480151284165</v>
      </c>
      <c r="G4968" s="90">
        <v>4952</v>
      </c>
      <c r="H4968" s="100">
        <v>-4.5734427040521802E-2</v>
      </c>
      <c r="I4968" s="100">
        <v>-7.1414100088973984E-3</v>
      </c>
    </row>
    <row r="4969" spans="1:9">
      <c r="A4969" s="90">
        <v>4953</v>
      </c>
      <c r="B4969" s="110">
        <v>1.125888589421858</v>
      </c>
      <c r="C4969" s="110">
        <v>1.0655785986713064</v>
      </c>
      <c r="G4969" s="90">
        <v>4953</v>
      </c>
      <c r="H4969" s="100">
        <v>-5.5054644374343431E-2</v>
      </c>
      <c r="I4969" s="100">
        <v>-7.102324763160632E-3</v>
      </c>
    </row>
    <row r="4970" spans="1:9">
      <c r="A4970" s="90">
        <v>4954</v>
      </c>
      <c r="B4970" s="110">
        <v>1.094430576935759</v>
      </c>
      <c r="C4970" s="110">
        <v>1.0772277134287189</v>
      </c>
      <c r="G4970" s="90">
        <v>4954</v>
      </c>
      <c r="H4970" s="100">
        <v>-1.5843398040508778E-2</v>
      </c>
      <c r="I4970" s="100">
        <v>-7.0369613907458745E-3</v>
      </c>
    </row>
    <row r="4971" spans="1:9">
      <c r="A4971" s="90">
        <v>4955</v>
      </c>
      <c r="B4971" s="110">
        <v>1.1032560669481275</v>
      </c>
      <c r="C4971" s="110">
        <v>1.0516523072545692</v>
      </c>
      <c r="G4971" s="90">
        <v>4955</v>
      </c>
      <c r="H4971" s="100">
        <v>-4.7903315038039899E-2</v>
      </c>
      <c r="I4971" s="100">
        <v>-6.9623684431127028E-3</v>
      </c>
    </row>
    <row r="4972" spans="1:9">
      <c r="A4972" s="90">
        <v>4956</v>
      </c>
      <c r="B4972" s="110">
        <v>1.0933593147933933</v>
      </c>
      <c r="C4972" s="110">
        <v>1.0444646923497274</v>
      </c>
      <c r="G4972" s="90">
        <v>4956</v>
      </c>
      <c r="H4972" s="100">
        <v>-4.5750398932017863E-2</v>
      </c>
      <c r="I4972" s="100">
        <v>-6.9374992236571629E-3</v>
      </c>
    </row>
    <row r="4973" spans="1:9">
      <c r="A4973" s="90">
        <v>4957</v>
      </c>
      <c r="B4973" s="110">
        <v>1.1247684835241043</v>
      </c>
      <c r="C4973" s="110">
        <v>1.0623907470861569</v>
      </c>
      <c r="G4973" s="90">
        <v>4957</v>
      </c>
      <c r="H4973" s="100">
        <v>-5.7055431797599782E-2</v>
      </c>
      <c r="I4973" s="100">
        <v>-6.6529187074808585E-3</v>
      </c>
    </row>
    <row r="4974" spans="1:9">
      <c r="A4974" s="90">
        <v>4958</v>
      </c>
      <c r="B4974" s="110">
        <v>1.1205800185992567</v>
      </c>
      <c r="C4974" s="110">
        <v>1.0280364648601112</v>
      </c>
      <c r="G4974" s="90">
        <v>4958</v>
      </c>
      <c r="H4974" s="100">
        <v>-8.6195786948334338E-2</v>
      </c>
      <c r="I4974" s="100">
        <v>-6.5536300165793624E-3</v>
      </c>
    </row>
    <row r="4975" spans="1:9">
      <c r="A4975" s="90">
        <v>4959</v>
      </c>
      <c r="B4975" s="110">
        <v>1.0826690947295621</v>
      </c>
      <c r="C4975" s="110">
        <v>1.0471243948914926</v>
      </c>
      <c r="G4975" s="90">
        <v>4959</v>
      </c>
      <c r="H4975" s="100">
        <v>-3.3381640682164357E-2</v>
      </c>
      <c r="I4975" s="100">
        <v>-6.470898270939834E-3</v>
      </c>
    </row>
    <row r="4976" spans="1:9">
      <c r="A4976" s="90">
        <v>4960</v>
      </c>
      <c r="B4976" s="110">
        <v>1.1140025904389859</v>
      </c>
      <c r="C4976" s="110">
        <v>1.0159665826071147</v>
      </c>
      <c r="G4976" s="90">
        <v>4960</v>
      </c>
      <c r="H4976" s="100">
        <v>-9.2119009370932814E-2</v>
      </c>
      <c r="I4976" s="100">
        <v>-6.419548247165164E-3</v>
      </c>
    </row>
    <row r="4977" spans="1:9">
      <c r="A4977" s="90">
        <v>4961</v>
      </c>
      <c r="B4977" s="110">
        <v>1.1199625446690384</v>
      </c>
      <c r="C4977" s="110">
        <v>1.0491375489073027</v>
      </c>
      <c r="G4977" s="90">
        <v>4961</v>
      </c>
      <c r="H4977" s="100">
        <v>-6.5326797830647598E-2</v>
      </c>
      <c r="I4977" s="100">
        <v>-6.1743549688844171E-3</v>
      </c>
    </row>
    <row r="4978" spans="1:9">
      <c r="A4978" s="90">
        <v>4962</v>
      </c>
      <c r="B4978" s="110">
        <v>1.1456391450852756</v>
      </c>
      <c r="C4978" s="110">
        <v>1.052727725629403</v>
      </c>
      <c r="G4978" s="90">
        <v>4962</v>
      </c>
      <c r="H4978" s="100">
        <v>-8.4578057017921843E-2</v>
      </c>
      <c r="I4978" s="100">
        <v>-6.0358736881414975E-3</v>
      </c>
    </row>
    <row r="4979" spans="1:9">
      <c r="A4979" s="90">
        <v>4963</v>
      </c>
      <c r="B4979" s="110">
        <v>1.1214805577258709</v>
      </c>
      <c r="C4979" s="110">
        <v>1.0607859699904372</v>
      </c>
      <c r="G4979" s="90">
        <v>4963</v>
      </c>
      <c r="H4979" s="100">
        <v>-5.5639624386610888E-2</v>
      </c>
      <c r="I4979" s="100">
        <v>-5.8305898860826679E-3</v>
      </c>
    </row>
    <row r="4980" spans="1:9">
      <c r="A4980" s="90">
        <v>4964</v>
      </c>
      <c r="B4980" s="110">
        <v>1.1023865059476243</v>
      </c>
      <c r="C4980" s="110">
        <v>1.0358592271377396</v>
      </c>
      <c r="G4980" s="90">
        <v>4964</v>
      </c>
      <c r="H4980" s="100">
        <v>-6.2246127125357154E-2</v>
      </c>
      <c r="I4980" s="100">
        <v>-5.758980231747644E-3</v>
      </c>
    </row>
    <row r="4981" spans="1:9">
      <c r="A4981" s="90">
        <v>4965</v>
      </c>
      <c r="B4981" s="110">
        <v>1.0817628748808781</v>
      </c>
      <c r="C4981" s="110">
        <v>1.0583829966651312</v>
      </c>
      <c r="G4981" s="90">
        <v>4965</v>
      </c>
      <c r="H4981" s="100">
        <v>-2.1849733394184317E-2</v>
      </c>
      <c r="I4981" s="100">
        <v>-5.5328379967562059E-3</v>
      </c>
    </row>
    <row r="4982" spans="1:9">
      <c r="A4982" s="90">
        <v>4966</v>
      </c>
      <c r="B4982" s="110">
        <v>1.088932511562227</v>
      </c>
      <c r="C4982" s="110">
        <v>1.086733149403166</v>
      </c>
      <c r="G4982" s="90">
        <v>4966</v>
      </c>
      <c r="H4982" s="100">
        <v>-2.0217839052191402E-3</v>
      </c>
      <c r="I4982" s="100">
        <v>-5.3775521993046664E-3</v>
      </c>
    </row>
    <row r="4983" spans="1:9">
      <c r="A4983" s="90">
        <v>4967</v>
      </c>
      <c r="B4983" s="110">
        <v>1.1235463776039065</v>
      </c>
      <c r="C4983" s="110">
        <v>1.0508787409847129</v>
      </c>
      <c r="G4983" s="90">
        <v>4967</v>
      </c>
      <c r="H4983" s="100">
        <v>-6.6863381024501387E-2</v>
      </c>
      <c r="I4983" s="100">
        <v>-5.3434929086161884E-3</v>
      </c>
    </row>
    <row r="4984" spans="1:9">
      <c r="A4984" s="90">
        <v>4968</v>
      </c>
      <c r="B4984" s="110">
        <v>1.1055486570328323</v>
      </c>
      <c r="C4984" s="110">
        <v>1.055788598615877</v>
      </c>
      <c r="G4984" s="90">
        <v>4968</v>
      </c>
      <c r="H4984" s="100">
        <v>-4.6053759406440076E-2</v>
      </c>
      <c r="I4984" s="100">
        <v>-5.0486806731918693E-3</v>
      </c>
    </row>
    <row r="4985" spans="1:9">
      <c r="A4985" s="90">
        <v>4969</v>
      </c>
      <c r="B4985" s="110">
        <v>1.0868015861717202</v>
      </c>
      <c r="C4985" s="110">
        <v>1.0509096370394437</v>
      </c>
      <c r="G4985" s="90">
        <v>4969</v>
      </c>
      <c r="H4985" s="100">
        <v>-3.3582947937202463E-2</v>
      </c>
      <c r="I4985" s="100">
        <v>-4.9572094376475985E-3</v>
      </c>
    </row>
    <row r="4986" spans="1:9">
      <c r="A4986" s="90">
        <v>4970</v>
      </c>
      <c r="B4986" s="110">
        <v>1.1258856058037114</v>
      </c>
      <c r="C4986" s="110">
        <v>1.0432805907778284</v>
      </c>
      <c r="G4986" s="90">
        <v>4970</v>
      </c>
      <c r="H4986" s="100">
        <v>-7.6199768495743503E-2</v>
      </c>
      <c r="I4986" s="100">
        <v>-4.8656609500300537E-3</v>
      </c>
    </row>
    <row r="4987" spans="1:9">
      <c r="A4987" s="90">
        <v>4971</v>
      </c>
      <c r="B4987" s="110">
        <v>1.1203944419597875</v>
      </c>
      <c r="C4987" s="110">
        <v>1.0531975628825632</v>
      </c>
      <c r="G4987" s="90">
        <v>4971</v>
      </c>
      <c r="H4987" s="100">
        <v>-6.1849969001967861E-2</v>
      </c>
      <c r="I4987" s="100">
        <v>-4.7725118838399345E-3</v>
      </c>
    </row>
    <row r="4988" spans="1:9">
      <c r="A4988" s="90">
        <v>4972</v>
      </c>
      <c r="B4988" s="110">
        <v>1.1303844558363096</v>
      </c>
      <c r="C4988" s="110">
        <v>1.0648176513122063</v>
      </c>
      <c r="G4988" s="90">
        <v>4972</v>
      </c>
      <c r="H4988" s="100">
        <v>-5.9754236187673414E-2</v>
      </c>
      <c r="I4988" s="100">
        <v>-3.4002829854040293E-3</v>
      </c>
    </row>
    <row r="4989" spans="1:9">
      <c r="A4989" s="90">
        <v>4973</v>
      </c>
      <c r="B4989" s="110">
        <v>1.1202688566331356</v>
      </c>
      <c r="C4989" s="110">
        <v>1.0598625668805008</v>
      </c>
      <c r="G4989" s="90">
        <v>4973</v>
      </c>
      <c r="H4989" s="100">
        <v>-5.5429461232911863E-2</v>
      </c>
      <c r="I4989" s="100">
        <v>-3.2577002694530676E-3</v>
      </c>
    </row>
    <row r="4990" spans="1:9">
      <c r="A4990" s="90">
        <v>4974</v>
      </c>
      <c r="B4990" s="110">
        <v>1.1170547609929149</v>
      </c>
      <c r="C4990" s="110">
        <v>1.0464719273555598</v>
      </c>
      <c r="G4990" s="90">
        <v>4974</v>
      </c>
      <c r="H4990" s="100">
        <v>-6.5271106671474913E-2</v>
      </c>
      <c r="I4990" s="100">
        <v>-3.1102999118343966E-3</v>
      </c>
    </row>
    <row r="4991" spans="1:9">
      <c r="A4991" s="90">
        <v>4975</v>
      </c>
      <c r="B4991" s="110">
        <v>1.1170730158540381</v>
      </c>
      <c r="C4991" s="110">
        <v>1.045753505947471</v>
      </c>
      <c r="G4991" s="90">
        <v>4975</v>
      </c>
      <c r="H4991" s="100">
        <v>-6.5974201867815024E-2</v>
      </c>
      <c r="I4991" s="100">
        <v>-3.000159930998982E-3</v>
      </c>
    </row>
    <row r="4992" spans="1:9">
      <c r="A4992" s="90">
        <v>4976</v>
      </c>
      <c r="B4992" s="110">
        <v>1.1093533371414883</v>
      </c>
      <c r="C4992" s="110">
        <v>1.0521431406216482</v>
      </c>
      <c r="G4992" s="90">
        <v>4976</v>
      </c>
      <c r="H4992" s="100">
        <v>-5.2948096118070824E-2</v>
      </c>
      <c r="I4992" s="100">
        <v>-2.9373699510401156E-3</v>
      </c>
    </row>
    <row r="4993" spans="1:9">
      <c r="A4993" s="90">
        <v>4977</v>
      </c>
      <c r="B4993" s="110">
        <v>1.0651431709886316</v>
      </c>
      <c r="C4993" s="110">
        <v>1.0505720087384476</v>
      </c>
      <c r="G4993" s="90">
        <v>4977</v>
      </c>
      <c r="H4993" s="100">
        <v>-1.3774436916183339E-2</v>
      </c>
      <c r="I4993" s="100">
        <v>-2.8815541332467948E-3</v>
      </c>
    </row>
    <row r="4994" spans="1:9">
      <c r="A4994" s="90">
        <v>4978</v>
      </c>
      <c r="B4994" s="110">
        <v>1.1017497137740422</v>
      </c>
      <c r="C4994" s="110">
        <v>1.0780232700511447</v>
      </c>
      <c r="G4994" s="90">
        <v>4978</v>
      </c>
      <c r="H4994" s="100">
        <v>-2.1770506375674747E-2</v>
      </c>
      <c r="I4994" s="100">
        <v>-2.8070546303265807E-3</v>
      </c>
    </row>
    <row r="4995" spans="1:9">
      <c r="A4995" s="90">
        <v>4979</v>
      </c>
      <c r="B4995" s="110">
        <v>1.0960446065491647</v>
      </c>
      <c r="C4995" s="110">
        <v>1.0856730950308691</v>
      </c>
      <c r="G4995" s="90">
        <v>4979</v>
      </c>
      <c r="H4995" s="100">
        <v>-9.5077283738769294E-3</v>
      </c>
      <c r="I4995" s="100">
        <v>-2.7554552159884866E-3</v>
      </c>
    </row>
    <row r="4996" spans="1:9">
      <c r="A4996" s="90">
        <v>4980</v>
      </c>
      <c r="B4996" s="110">
        <v>1.1052169489059476</v>
      </c>
      <c r="C4996" s="110">
        <v>1.0622459342024622</v>
      </c>
      <c r="G4996" s="90">
        <v>4980</v>
      </c>
      <c r="H4996" s="100">
        <v>-3.9656177078398094E-2</v>
      </c>
      <c r="I4996" s="100">
        <v>-2.7024622193079092E-3</v>
      </c>
    </row>
    <row r="4997" spans="1:9">
      <c r="A4997" s="90">
        <v>4981</v>
      </c>
      <c r="B4997" s="110">
        <v>1.1143384824142959</v>
      </c>
      <c r="C4997" s="110">
        <v>1.0479786707999399</v>
      </c>
      <c r="G4997" s="90">
        <v>4981</v>
      </c>
      <c r="H4997" s="100">
        <v>-6.1397706130195719E-2</v>
      </c>
      <c r="I4997" s="100">
        <v>-2.5097799394329118E-3</v>
      </c>
    </row>
    <row r="4998" spans="1:9">
      <c r="A4998" s="90">
        <v>4982</v>
      </c>
      <c r="B4998" s="110">
        <v>1.1285764344738725</v>
      </c>
      <c r="C4998" s="110">
        <v>1.0352668971845294</v>
      </c>
      <c r="G4998" s="90">
        <v>4982</v>
      </c>
      <c r="H4998" s="100">
        <v>-8.6297780867565177E-2</v>
      </c>
      <c r="I4998" s="100">
        <v>-2.4108301323366704E-3</v>
      </c>
    </row>
    <row r="4999" spans="1:9">
      <c r="A4999" s="90">
        <v>4983</v>
      </c>
      <c r="B4999" s="110">
        <v>1.1139483283714111</v>
      </c>
      <c r="C4999" s="110">
        <v>1.0754291440959918</v>
      </c>
      <c r="G4999" s="90">
        <v>4983</v>
      </c>
      <c r="H4999" s="100">
        <v>-3.5190970832443567E-2</v>
      </c>
      <c r="I4999" s="100">
        <v>-2.0506570865542919E-3</v>
      </c>
    </row>
    <row r="5000" spans="1:9">
      <c r="A5000" s="90">
        <v>4984</v>
      </c>
      <c r="B5000" s="110">
        <v>1.1145258255875825</v>
      </c>
      <c r="C5000" s="110">
        <v>1.0520095990210192</v>
      </c>
      <c r="G5000" s="90">
        <v>4984</v>
      </c>
      <c r="H5000" s="100">
        <v>-5.7726807109874025E-2</v>
      </c>
      <c r="I5000" s="100">
        <v>-2.0217839052191402E-3</v>
      </c>
    </row>
    <row r="5001" spans="1:9">
      <c r="A5001" s="90">
        <v>4985</v>
      </c>
      <c r="B5001" s="110">
        <v>1.1364727910429238</v>
      </c>
      <c r="C5001" s="110">
        <v>1.0678878235927165</v>
      </c>
      <c r="G5001" s="90">
        <v>4985</v>
      </c>
      <c r="H5001" s="100">
        <v>-6.2246722082244181E-2</v>
      </c>
      <c r="I5001" s="100">
        <v>-1.8405322501658166E-3</v>
      </c>
    </row>
    <row r="5002" spans="1:9">
      <c r="A5002" s="90">
        <v>4986</v>
      </c>
      <c r="B5002" s="110">
        <v>1.0889481769673492</v>
      </c>
      <c r="C5002" s="110">
        <v>1.0650217221621796</v>
      </c>
      <c r="G5002" s="90">
        <v>4986</v>
      </c>
      <c r="H5002" s="100">
        <v>-2.2217059743578668E-2</v>
      </c>
      <c r="I5002" s="100">
        <v>-1.6742055890321718E-3</v>
      </c>
    </row>
    <row r="5003" spans="1:9">
      <c r="A5003" s="90">
        <v>4987</v>
      </c>
      <c r="B5003" s="110">
        <v>1.1019268292470095</v>
      </c>
      <c r="C5003" s="110">
        <v>1.075930143427039</v>
      </c>
      <c r="G5003" s="90">
        <v>4987</v>
      </c>
      <c r="H5003" s="100">
        <v>-2.3874773217347826E-2</v>
      </c>
      <c r="I5003" s="100">
        <v>-1.1265311867417267E-3</v>
      </c>
    </row>
    <row r="5004" spans="1:9">
      <c r="A5004" s="90">
        <v>4988</v>
      </c>
      <c r="B5004" s="110">
        <v>1.1225466201720256</v>
      </c>
      <c r="C5004" s="110">
        <v>1.0451499685091248</v>
      </c>
      <c r="G5004" s="90">
        <v>4988</v>
      </c>
      <c r="H5004" s="100">
        <v>-7.1439486563892637E-2</v>
      </c>
      <c r="I5004" s="100">
        <v>-8.6626566929375612E-4</v>
      </c>
    </row>
    <row r="5005" spans="1:9">
      <c r="A5005" s="90">
        <v>4989</v>
      </c>
      <c r="B5005" s="110">
        <v>1.1509681122821889</v>
      </c>
      <c r="C5005" s="110">
        <v>1.0404850470600466</v>
      </c>
      <c r="G5005" s="90">
        <v>4989</v>
      </c>
      <c r="H5005" s="100">
        <v>-0.10091642916594333</v>
      </c>
      <c r="I5005" s="100">
        <v>-8.1297964433040644E-4</v>
      </c>
    </row>
    <row r="5006" spans="1:9">
      <c r="A5006" s="90">
        <v>4990</v>
      </c>
      <c r="B5006" s="110">
        <v>1.1042116854744821</v>
      </c>
      <c r="C5006" s="110">
        <v>1.0279630554613233</v>
      </c>
      <c r="G5006" s="90">
        <v>4990</v>
      </c>
      <c r="H5006" s="100">
        <v>-7.155244544357689E-2</v>
      </c>
      <c r="I5006" s="100">
        <v>-1.1526611576597592E-4</v>
      </c>
    </row>
    <row r="5007" spans="1:9">
      <c r="A5007" s="90">
        <v>4991</v>
      </c>
      <c r="B5007" s="110">
        <v>1.1210257749041186</v>
      </c>
      <c r="C5007" s="110">
        <v>1.0474354531538133</v>
      </c>
      <c r="G5007" s="90">
        <v>4991</v>
      </c>
      <c r="H5007" s="100">
        <v>-6.7899385588998246E-2</v>
      </c>
      <c r="I5007" s="100">
        <v>1.3091370923061774E-3</v>
      </c>
    </row>
    <row r="5008" spans="1:9">
      <c r="A5008" s="90">
        <v>4992</v>
      </c>
      <c r="B5008" s="110">
        <v>1.1248061945185173</v>
      </c>
      <c r="C5008" s="110">
        <v>1.047272146821022</v>
      </c>
      <c r="G5008" s="90">
        <v>4992</v>
      </c>
      <c r="H5008" s="100">
        <v>-7.1421921058380897E-2</v>
      </c>
      <c r="I5008" s="100">
        <v>1.4597083980243978E-3</v>
      </c>
    </row>
    <row r="5009" spans="1:9">
      <c r="A5009" s="90">
        <v>4993</v>
      </c>
      <c r="B5009" s="110">
        <v>1.1111897470832239</v>
      </c>
      <c r="C5009" s="110">
        <v>1.0682112027897388</v>
      </c>
      <c r="G5009" s="90">
        <v>4993</v>
      </c>
      <c r="H5009" s="100">
        <v>-3.9445809120400452E-2</v>
      </c>
      <c r="I5009" s="100">
        <v>1.8465528732649061E-3</v>
      </c>
    </row>
    <row r="5010" spans="1:9">
      <c r="A5010" s="90">
        <v>4994</v>
      </c>
      <c r="B5010" s="110">
        <v>1.1115107650225418</v>
      </c>
      <c r="C5010" s="110">
        <v>1.0631542709132689</v>
      </c>
      <c r="G5010" s="90">
        <v>4994</v>
      </c>
      <c r="H5010" s="100">
        <v>-4.4479922817721389E-2</v>
      </c>
      <c r="I5010" s="100">
        <v>2.3724224409301946E-3</v>
      </c>
    </row>
    <row r="5011" spans="1:9">
      <c r="A5011" s="90">
        <v>4995</v>
      </c>
      <c r="B5011" s="110">
        <v>1.0901623223538799</v>
      </c>
      <c r="C5011" s="110">
        <v>1.0423552997729804</v>
      </c>
      <c r="G5011" s="90">
        <v>4995</v>
      </c>
      <c r="H5011" s="100">
        <v>-4.4843740864298959E-2</v>
      </c>
      <c r="I5011" s="100">
        <v>3.9838423526290514E-3</v>
      </c>
    </row>
    <row r="5012" spans="1:9">
      <c r="A5012" s="90">
        <v>4996</v>
      </c>
      <c r="B5012" s="110">
        <v>1.1052251896102196</v>
      </c>
      <c r="C5012" s="110">
        <v>1.0683703518007028</v>
      </c>
      <c r="G5012" s="90">
        <v>4996</v>
      </c>
      <c r="H5012" s="100">
        <v>-3.3914653933822189E-2</v>
      </c>
      <c r="I5012" s="100">
        <v>4.9444086687314408E-3</v>
      </c>
    </row>
    <row r="5013" spans="1:9">
      <c r="A5013" s="90">
        <v>4997</v>
      </c>
      <c r="B5013" s="110">
        <v>1.1079239493906465</v>
      </c>
      <c r="C5013" s="110">
        <v>1.058588675133231</v>
      </c>
      <c r="G5013" s="90">
        <v>4997</v>
      </c>
      <c r="H5013" s="100">
        <v>-4.5551365816778613E-2</v>
      </c>
      <c r="I5013" s="100">
        <v>6.902483794006751E-3</v>
      </c>
    </row>
    <row r="5014" spans="1:9">
      <c r="A5014" s="90">
        <v>4998</v>
      </c>
      <c r="B5014" s="110">
        <v>1.0952419961932638</v>
      </c>
      <c r="C5014" s="110">
        <v>1.0505142601097894</v>
      </c>
      <c r="G5014" s="90">
        <v>4998</v>
      </c>
      <c r="H5014" s="100">
        <v>-4.1695524137424805E-2</v>
      </c>
      <c r="I5014" s="100">
        <v>9.0996670001341137E-3</v>
      </c>
    </row>
    <row r="5015" spans="1:9">
      <c r="A5015" s="90">
        <v>4999</v>
      </c>
      <c r="B5015" s="110">
        <v>1.0778157101234547</v>
      </c>
      <c r="C5015" s="110">
        <v>1.048619371211402</v>
      </c>
      <c r="G5015" s="90">
        <v>4999</v>
      </c>
      <c r="H5015" s="100">
        <v>-2.7462088124062842E-2</v>
      </c>
      <c r="I5015" s="100">
        <v>1.6338893299091519E-2</v>
      </c>
    </row>
    <row r="5016" spans="1:9">
      <c r="A5016" s="90">
        <v>5000</v>
      </c>
      <c r="B5016" s="110">
        <v>1.1009759613599202</v>
      </c>
      <c r="C5016" s="110">
        <v>1.0739337115908942</v>
      </c>
      <c r="G5016" s="90">
        <v>5000</v>
      </c>
      <c r="H5016" s="100">
        <v>-2.4868750911084852E-2</v>
      </c>
      <c r="I5016" s="100">
        <v>1.7517693075562182E-2</v>
      </c>
    </row>
  </sheetData>
  <sortState xmlns:xlrd2="http://schemas.microsoft.com/office/spreadsheetml/2017/richdata2" ref="I17:I5017">
    <sortCondition ref="I17"/>
  </sortState>
  <mergeCells count="5">
    <mergeCell ref="A1:I2"/>
    <mergeCell ref="A12:C12"/>
    <mergeCell ref="A15:C15"/>
    <mergeCell ref="A13:C13"/>
    <mergeCell ref="J12:O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runMC">
                <anchor moveWithCells="1" sizeWithCells="1">
                  <from>
                    <xdr:col>3</xdr:col>
                    <xdr:colOff>127000</xdr:colOff>
                    <xdr:row>15</xdr:row>
                    <xdr:rowOff>6350</xdr:rowOff>
                  </from>
                  <to>
                    <xdr:col>6</xdr:col>
                    <xdr:colOff>127000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B5E3-5097-4C6A-8A0C-2999CC3035B4}">
  <dimension ref="A1:J9"/>
  <sheetViews>
    <sheetView tabSelected="1" zoomScale="81" workbookViewId="0">
      <selection activeCell="I21" sqref="I21"/>
    </sheetView>
  </sheetViews>
  <sheetFormatPr defaultRowHeight="14.5"/>
  <cols>
    <col min="2" max="2" width="11.81640625" bestFit="1" customWidth="1"/>
    <col min="3" max="3" width="15.36328125" bestFit="1" customWidth="1"/>
    <col min="4" max="4" width="14.7265625" bestFit="1" customWidth="1"/>
    <col min="5" max="5" width="14.7265625" customWidth="1"/>
    <col min="6" max="6" width="10.1796875" bestFit="1" customWidth="1"/>
    <col min="7" max="7" width="10.08984375" bestFit="1" customWidth="1"/>
    <col min="8" max="8" width="10.1796875" bestFit="1" customWidth="1"/>
    <col min="9" max="9" width="12.1796875" bestFit="1" customWidth="1"/>
  </cols>
  <sheetData>
    <row r="1" spans="1:10" ht="15" thickBot="1"/>
    <row r="2" spans="1:10" ht="15" thickBot="1">
      <c r="B2" s="207"/>
      <c r="C2" s="302"/>
      <c r="D2" s="302"/>
      <c r="E2" s="301"/>
      <c r="F2" s="208"/>
      <c r="G2" s="209"/>
      <c r="H2" s="209"/>
    </row>
    <row r="3" spans="1:10" ht="15" thickBot="1">
      <c r="B3" s="212" t="s">
        <v>567</v>
      </c>
      <c r="C3" s="211" t="s">
        <v>568</v>
      </c>
      <c r="D3" s="211" t="s">
        <v>569</v>
      </c>
      <c r="E3" s="99" t="s">
        <v>25</v>
      </c>
      <c r="F3" s="210" t="s">
        <v>565</v>
      </c>
      <c r="G3" s="99" t="s">
        <v>440</v>
      </c>
      <c r="H3" s="99" t="s">
        <v>566</v>
      </c>
      <c r="I3" s="257" t="s">
        <v>570</v>
      </c>
      <c r="J3" s="257" t="s">
        <v>571</v>
      </c>
    </row>
    <row r="4" spans="1:10">
      <c r="A4" t="s">
        <v>572</v>
      </c>
      <c r="B4" s="215">
        <f>SUMPRODUCT('NOTE 1 (Q1 to Q5)'!M72:M77,'NOTE 1 (Q1 to Q5)'!AC72:AC77)</f>
        <v>3.0622076231806326E-2</v>
      </c>
      <c r="C4" s="215">
        <f>SUMPRODUCT('NOTE 1 (Q1 to Q5)'!T72:T77,'NOTE 1 (Q1 to Q5)'!AC72:AC77)</f>
        <v>8.3412030944229072E-3</v>
      </c>
      <c r="D4" s="215">
        <f>SUMPRODUCT('NOTE 1 (Q1 to Q5)'!AA72:AA77,'NOTE 1 (Q1 to Q5)'!AC72:AC77)</f>
        <v>7.8467121213380105E-5</v>
      </c>
      <c r="E4" s="213">
        <f>'NOTE 1 (Q1 to Q5)'!F6</f>
        <v>1.0100232322367353</v>
      </c>
      <c r="F4" s="263">
        <f>B4+C4-D4+E4</f>
        <v>1.0489080444417511</v>
      </c>
      <c r="G4" s="222">
        <f>'NOTE 1 (Q1 to Q5)'!F11</f>
        <v>1.0476983499973067</v>
      </c>
      <c r="H4" s="222">
        <f>'NOTE 1 (Q1 to Q5)'!F18</f>
        <v>0.9897995722442452</v>
      </c>
      <c r="I4" s="339">
        <f>'NOTE 1 (Q1 to Q5)'!V7</f>
        <v>0.13234179438541105</v>
      </c>
      <c r="J4" s="339">
        <f>'NOTE 1 (Q1 to Q5)'!Z7</f>
        <v>0.82484191837738763</v>
      </c>
    </row>
    <row r="5" spans="1:10">
      <c r="A5" t="s">
        <v>573</v>
      </c>
      <c r="B5" s="215">
        <f>SUMPRODUCT('NOTE 2 (Q1, Q3 to Q5)'!J116:J130,'NOTE 2 (Q1, Q3 to Q5)'!L116:L130)</f>
        <v>0.22716216875775774</v>
      </c>
      <c r="C5" s="218" t="s">
        <v>305</v>
      </c>
      <c r="D5" s="218" t="s">
        <v>305</v>
      </c>
      <c r="E5" s="219">
        <f>'NOTE 2 (Q1, Q3 to Q5)'!F6</f>
        <v>1.0116366382062674</v>
      </c>
      <c r="F5" s="263">
        <f>B5+E5</f>
        <v>1.238798806964025</v>
      </c>
      <c r="G5" s="222">
        <f>'NOTE 2 (Q1, Q3 to Q5)'!F11</f>
        <v>1.2312988069640249</v>
      </c>
      <c r="H5" s="222">
        <f>'NOTE 2 (Q1, Q3 to Q5)'!F18</f>
        <v>1.0845404882165859</v>
      </c>
      <c r="I5" s="339">
        <f>'NOTE 2 (Q1, Q3 to Q5)'!S7</f>
        <v>0.81850998907361827</v>
      </c>
      <c r="J5" s="339">
        <f>'NOTE 2 (Q1, Q3 to Q5)'!W7</f>
        <v>-15.387978681014602</v>
      </c>
    </row>
    <row r="7" spans="1:10">
      <c r="B7" t="s">
        <v>489</v>
      </c>
      <c r="C7" t="s">
        <v>576</v>
      </c>
      <c r="D7" t="s">
        <v>577</v>
      </c>
      <c r="E7" t="s">
        <v>25</v>
      </c>
    </row>
    <row r="8" spans="1:10">
      <c r="A8" t="s">
        <v>574</v>
      </c>
      <c r="B8" s="21">
        <f>'IRS Hedge (6)'!B14</f>
        <v>-1.971939502230435E-3</v>
      </c>
      <c r="C8" s="21">
        <f>'IRS Hedge (6)'!J6</f>
        <v>-3.0649255951811782E-4</v>
      </c>
      <c r="D8" s="21">
        <f>'IRS Hedge (6)'!J7</f>
        <v>-1.2201338724985369E-3</v>
      </c>
      <c r="E8" s="338">
        <f>'Combined Hedge (Q6)'!D8</f>
        <v>538.23612447414143</v>
      </c>
    </row>
    <row r="9" spans="1:10">
      <c r="A9" t="s">
        <v>575</v>
      </c>
      <c r="B9" s="21">
        <f>'IRS Hedge (6)'!B69</f>
        <v>-4.1717394165915382E-4</v>
      </c>
      <c r="C9" s="21">
        <f>'IRS Hedge (6)'!J61</f>
        <v>-7.1245545682115628E-4</v>
      </c>
      <c r="D9" s="21">
        <f>'IRS Hedge (6)'!J62</f>
        <v>1.3797757375111486E-2</v>
      </c>
      <c r="E9" s="338">
        <f>'Combined Hedge (Q6)'!D9</f>
        <v>1103.0674388407613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Auxiliar</vt:lpstr>
      <vt:lpstr>Holidays</vt:lpstr>
      <vt:lpstr>EURIBOR</vt:lpstr>
      <vt:lpstr>Bootstraping-Linear_Interpol</vt:lpstr>
      <vt:lpstr>Nelson Siegel_linearBoot</vt:lpstr>
      <vt:lpstr>Bootstraping_CFR</vt:lpstr>
      <vt:lpstr>Nelson Siegel_cfrBoot</vt:lpstr>
      <vt:lpstr>Merton</vt:lpstr>
      <vt:lpstr>IVOL (Q2)</vt:lpstr>
      <vt:lpstr>Survival Probability (Q3)</vt:lpstr>
      <vt:lpstr>NOTE 1 (Q1 to Q5)</vt:lpstr>
      <vt:lpstr>NOTE 2 (Q1, Q3 to Q5)</vt:lpstr>
      <vt:lpstr>IRS Hedge (6)</vt:lpstr>
      <vt:lpstr>Combined Hedge (Q6)</vt:lpstr>
      <vt:lpstr>Vasicek (Q9)</vt:lpstr>
      <vt:lpstr>Run MCS (Q9)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Rui Lima</dc:creator>
  <cp:lastModifiedBy>Rui Lima</cp:lastModifiedBy>
  <cp:lastPrinted>2020-03-29T20:53:56Z</cp:lastPrinted>
  <dcterms:created xsi:type="dcterms:W3CDTF">2020-03-21T11:14:20Z</dcterms:created>
  <dcterms:modified xsi:type="dcterms:W3CDTF">2020-04-07T11:46:16Z</dcterms:modified>
</cp:coreProperties>
</file>