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970" windowHeight="10335"/>
  </bookViews>
  <sheets>
    <sheet name="v2.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<sst xmlns="http://schemas.openxmlformats.org/spreadsheetml/2006/main" count="199" uniqueCount="128">
  <si>
    <t>A</t>
  </si>
  <si>
    <t>B</t>
  </si>
  <si>
    <t>C</t>
  </si>
  <si>
    <t>D</t>
  </si>
  <si>
    <t>E</t>
  </si>
  <si>
    <t>F</t>
  </si>
  <si>
    <t>G</t>
  </si>
  <si>
    <t>H</t>
  </si>
  <si>
    <t>RN8213系列电表校准工具 (单页版)</t>
  </si>
  <si>
    <t>工程师设置区 (生产时请锁定或隐藏这些列)</t>
  </si>
  <si>
    <t>产品型号/批次:</t>
  </si>
  <si>
    <t>[工人手动输入]</t>
  </si>
  <si>
    <t>参数项目</t>
  </si>
  <si>
    <t>设定值</t>
  </si>
  <si>
    <t>单位</t>
  </si>
  <si>
    <t>备注</t>
  </si>
  <si>
    <t>操作员:</t>
  </si>
  <si>
    <t>基准电压 (Un)</t>
  </si>
  <si>
    <t>V</t>
  </si>
  <si>
    <t>---</t>
  </si>
  <si>
    <t>电压分压总电阻 (Ra)</t>
  </si>
  <si>
    <t>Ω</t>
  </si>
  <si>
    <t>工人操作区</t>
  </si>
  <si>
    <t>电压采样电阻 (Rt)</t>
  </si>
  <si>
    <t>第一步：输入校准台标准值</t>
  </si>
  <si>
    <t>请在这里输入台体读数</t>
  </si>
  <si>
    <t>电压通道PGA增益 (Upga)</t>
  </si>
  <si>
    <t>标准电压 (V):</t>
  </si>
  <si>
    <t>基准电流 (Ib)</t>
  </si>
  <si>
    <t>标准电流 (A):</t>
  </si>
  <si>
    <t>锰铜分流器阻值 (Ri)</t>
  </si>
  <si>
    <t>(即250μΩ)</t>
  </si>
  <si>
    <t>功率误差 (%):</t>
  </si>
  <si>
    <t>(仅在“误差校准模式”下输入)</t>
  </si>
  <si>
    <t>电流通道PGA增益 (Ipga)</t>
  </si>
  <si>
    <t>电表常数 (imp/kWh)</t>
  </si>
  <si>
    <t>高频时钟 (fd2f)</t>
  </si>
  <si>
    <t>Hz</t>
  </si>
  <si>
    <t>(手册为0.9216MHz)</t>
  </si>
  <si>
    <t>校表流程：</t>
  </si>
  <si>
    <t>1，电流有效值offset 校正空载下可能的电流值</t>
  </si>
  <si>
    <t>A. 电流有效值OFFSET校正 (空载)</t>
  </si>
  <si>
    <t>2，1.0L下标准电压电流校正 电压电流增益寄存器</t>
  </si>
  <si>
    <t>3，1.0L下根据台体功率误差校正  功率增益寄存器（要求不高可忽略）</t>
  </si>
  <si>
    <t>条件：空载 (I=0, U=Un)。</t>
  </si>
  <si>
    <t>4，0.5L下根据台体标准功率校正  相位补偿值</t>
  </si>
  <si>
    <t>目标：校准 IARMSOS 和 URMSOS (手册未提，但理论上应一起校准)。</t>
  </si>
  <si>
    <t>5，台体小电流下校正 有功偏置offset校正(改有功功率寄存器偏移)</t>
  </si>
  <si>
    <t>理由：消除系统的静态零点漂移，为后续所有测量提供一个准确的基准。</t>
  </si>
  <si>
    <t>B. 电压、电流有效值校正 (增益)</t>
  </si>
  <si>
    <t>条件：PF=1.0, Un, Ib。</t>
  </si>
  <si>
    <t>目标：校准 UGain, IAGain。</t>
  </si>
  <si>
    <t>通用区</t>
  </si>
  <si>
    <t>理由：在0点准确后，校准满量程附近的线性增益。</t>
  </si>
  <si>
    <t>帧头</t>
  </si>
  <si>
    <t>68 11 11 11 11 11 11 68 14</t>
  </si>
  <si>
    <t>C. 1.0功率增益的误差校正 (增益)</t>
  </si>
  <si>
    <t>密码</t>
  </si>
  <si>
    <t>33333333</t>
  </si>
  <si>
    <t>用户码</t>
  </si>
  <si>
    <t>目标：校准 GPQA。</t>
  </si>
  <si>
    <t>理由：在有效值和0点都准确后，校准功率计算的增益。</t>
  </si>
  <si>
    <t>D. 0.5L相位校正</t>
  </si>
  <si>
    <t>电流有效值offset校正通信帧生成区 (自动计算)。
（该步骤根据客户需求可选，建议放在增益相位校正之前）
条件：PF=1.0, Un, Ib
目标：校准 IARMSOS</t>
  </si>
  <si>
    <t>最终通信帧 (复制此单元格即可):</t>
  </si>
  <si>
    <t>条件：PF=0.5L, Un, Ib。</t>
  </si>
  <si>
    <t>目标：校准 PhsA。</t>
  </si>
  <si>
    <t>数据域(组帧用):</t>
  </si>
  <si>
    <t>理由：在增益全部校准后，解决相位问题。</t>
  </si>
  <si>
    <t>数据域倒叙(供通讯软件用)：</t>
  </si>
  <si>
    <t>E. 有功偏置OFFSET校正 (小电流)</t>
  </si>
  <si>
    <t>校验和计算：</t>
  </si>
  <si>
    <t>条件：PF=1.0, Un, 5%Ib。</t>
  </si>
  <si>
    <t>帧内容分段 (小端格式)</t>
  </si>
  <si>
    <t>十进制值</t>
  </si>
  <si>
    <t>十六进制值</t>
  </si>
  <si>
    <t>倒叙</t>
  </si>
  <si>
    <t>加33  (用于拼接)</t>
  </si>
  <si>
    <t>目标：校准 APOSA。</t>
  </si>
  <si>
    <t>DI (命令)</t>
  </si>
  <si>
    <t>00F81500</t>
  </si>
  <si>
    <t>理由：在系统线性部分（增益和相位）都校准完毕后，对小信号区域的非线性误差进行最后补偿和精修。</t>
  </si>
  <si>
    <t>A/B通道切换控制(0A/1B)</t>
  </si>
  <si>
    <t>电压电流有效值通信帧生成区 (自动计算)
条件：PF=1.0, Un, Ib
目标：校准 UGain, IAGain</t>
  </si>
  <si>
    <t>00F81000</t>
  </si>
  <si>
    <t>tempconst (电表常数)</t>
  </si>
  <si>
    <t>temphfconst (高频常数)</t>
  </si>
  <si>
    <t>tempub (基准电压)</t>
  </si>
  <si>
    <t>tempus (标准电压理论数字值)</t>
  </si>
  <si>
    <t>tempib (基准电流)</t>
  </si>
  <si>
    <t>tempis (标准电流理论数字值)</t>
  </si>
  <si>
    <t>二次侧电压有效值 (V):</t>
  </si>
  <si>
    <t>二次侧电流有效值 (A):</t>
  </si>
  <si>
    <t>二次侧电压峰值 (V):</t>
  </si>
  <si>
    <t>不能超过芯片最大范围</t>
  </si>
  <si>
    <t>二次侧电流峰值 (A):</t>
  </si>
  <si>
    <t>电压转换系数： (V):</t>
  </si>
  <si>
    <t>倒数：</t>
  </si>
  <si>
    <t>电流转换系数： (A):</t>
  </si>
  <si>
    <t>功率转换系数： (A):</t>
  </si>
  <si>
    <t>电压转换系数2： (0.0000V):</t>
  </si>
  <si>
    <t>代表-1的电压</t>
  </si>
  <si>
    <t>电流转换系数2： (0.000A):</t>
  </si>
  <si>
    <t>代表-3的电流</t>
  </si>
  <si>
    <t>功率系数转换系数2：</t>
  </si>
  <si>
    <t>代表-4的功率</t>
  </si>
  <si>
    <t>1.0功率增益的误差校正通信帧生成区 (自动计算)
条件：PF=1.0, Un, Ib
目标：校准 GPQA</t>
  </si>
  <si>
    <t>00F81001</t>
  </si>
  <si>
    <t>模式选择标志 (1:标准功率模式, 0:误差模式)</t>
  </si>
  <si>
    <t>标准有功功率值(4个小数)/误差值(4个小数)</t>
  </si>
  <si>
    <t>0.5L相位校正通信帧生成区 (自动计算)
条件：PF=0.5, Un, Ib
目标：校准 PhsA</t>
  </si>
  <si>
    <t>00F81100</t>
  </si>
  <si>
    <t>有功偏置OFFSET校正 (小电流)通信帧生成区 (自动计算)
条件：PF=1.0, Un, 5%Ib
目标：校准 APOSA</t>
  </si>
  <si>
    <t>00F81200</t>
  </si>
  <si>
    <t>模式标志(0:直接补偿) / 标准功率值 (当前台体-4功率)</t>
  </si>
  <si>
    <t>直接补偿模式下: 功率补偿值 (16位)</t>
  </si>
  <si>
    <t>配置硬件参数通信帧生成区 (自动计算)
条件：无
目标：PulseConst HFConst IAGainChannel IBGainChannel USAG IAPEAK UPEAK</t>
  </si>
  <si>
    <t>00F91200</t>
  </si>
  <si>
    <t>欠压值(电压值:如176V)：</t>
  </si>
  <si>
    <t>过压值(电压值:如264V)：</t>
  </si>
  <si>
    <t>过流值(电流值:如83.2A)：</t>
  </si>
  <si>
    <t>PulseConst:</t>
  </si>
  <si>
    <t>HFConst：</t>
  </si>
  <si>
    <t>IAGainChannel：</t>
  </si>
  <si>
    <t>IBGainChannel：</t>
  </si>
  <si>
    <t>USAG:</t>
  </si>
  <si>
    <t>UPEAK:</t>
  </si>
  <si>
    <t>IAPEAK: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</si>
</sst>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0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wrapText="1"/>
    </xf>
    <xf numFmtId="0" fontId="1" fillId="0" borderId="0" xfId="0" applyNumberFormat="1" applyFont="1"/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right"/>
    </xf>
    <xf numFmtId="3" fontId="0" fillId="0" borderId="0" xfId="0" applyNumberFormat="1" applyAlignment="1">
      <alignment vertical="center"/>
    </xf>
    <xf numFmtId="0" fontId="1" fillId="0" borderId="0" xfId="0" applyNumberFormat="1" applyFont="1" applyFill="1" applyAlignment="1"/>
    <xf numFmtId="0" fontId="0" fillId="0" borderId="0" xfId="0" applyNumberFormat="1" applyAlignment="1" quotePrefix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9"/>
  <sheetViews>
    <sheetView tabSelected="1" topLeftCell="A138" workbookViewId="0">
      <selection activeCell="B147" sqref="B147"/>
    </sheetView>
  </sheetViews>
  <sheetFormatPr defaultColWidth="9" defaultRowHeight="14.25"/>
  <cols>
    <col min="1" max="1" width="34.375" customWidth="1"/>
    <col min="2" max="2" width="49.25" customWidth="1"/>
    <col min="3" max="3" width="24.25" customWidth="1"/>
    <col min="4" max="4" width="21" customWidth="1"/>
    <col min="5" max="5" width="40.25" customWidth="1"/>
    <col min="6" max="6" width="8.375" customWidth="1"/>
    <col min="7" max="7" width="5.375" customWidth="1"/>
    <col min="8" max="8" width="19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>
      <c r="A2" t="s">
        <v>8</v>
      </c>
      <c r="E2" t="s">
        <v>9</v>
      </c>
    </row>
    <row r="3" spans="1:8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7">
      <c r="A4" t="s">
        <v>16</v>
      </c>
      <c r="B4" t="s">
        <v>11</v>
      </c>
      <c r="E4" t="s">
        <v>17</v>
      </c>
      <c r="F4">
        <v>220</v>
      </c>
      <c r="G4" t="s">
        <v>18</v>
      </c>
    </row>
    <row r="5" spans="1:7">
      <c r="A5" t="s">
        <v>19</v>
      </c>
      <c r="B5" t="s">
        <v>19</v>
      </c>
      <c r="C5" t="s">
        <v>19</v>
      </c>
      <c r="D5" t="s">
        <v>19</v>
      </c>
      <c r="E5" t="s">
        <v>20</v>
      </c>
      <c r="F5">
        <f>180*6*1000</f>
        <v>1080000</v>
      </c>
      <c r="G5" t="s">
        <v>21</v>
      </c>
    </row>
    <row r="6" spans="1:7">
      <c r="A6" s="1" t="s">
        <v>22</v>
      </c>
      <c r="E6" t="s">
        <v>23</v>
      </c>
      <c r="F6">
        <v>1000</v>
      </c>
      <c r="G6" t="s">
        <v>21</v>
      </c>
    </row>
    <row r="7" spans="1:6">
      <c r="A7" t="s">
        <v>24</v>
      </c>
      <c r="C7" t="s">
        <v>25</v>
      </c>
      <c r="E7" t="s">
        <v>26</v>
      </c>
      <c r="F7">
        <v>1</v>
      </c>
    </row>
    <row r="8" spans="1:7">
      <c r="A8" t="s">
        <v>27</v>
      </c>
      <c r="B8" s="2">
        <v>220</v>
      </c>
      <c r="C8" s="2">
        <v>220.01</v>
      </c>
      <c r="E8" t="s">
        <v>28</v>
      </c>
      <c r="F8">
        <v>64</v>
      </c>
      <c r="G8" t="s">
        <v>0</v>
      </c>
    </row>
    <row r="9" spans="1:8">
      <c r="A9" t="s">
        <v>29</v>
      </c>
      <c r="B9" s="2">
        <v>64</v>
      </c>
      <c r="C9" s="2">
        <v>424</v>
      </c>
      <c r="E9" t="s">
        <v>30</v>
      </c>
      <c r="F9">
        <v>0.00025</v>
      </c>
      <c r="G9" t="s">
        <v>21</v>
      </c>
      <c r="H9" t="s">
        <v>31</v>
      </c>
    </row>
    <row r="10" spans="1:6">
      <c r="A10" t="s">
        <v>32</v>
      </c>
      <c r="C10" t="s">
        <v>33</v>
      </c>
      <c r="E10" t="s">
        <v>34</v>
      </c>
      <c r="F10">
        <v>1</v>
      </c>
    </row>
    <row r="11" spans="5:6">
      <c r="E11" t="s">
        <v>35</v>
      </c>
      <c r="F11">
        <v>3200</v>
      </c>
    </row>
    <row r="12" spans="5:8">
      <c r="E12" t="s">
        <v>36</v>
      </c>
      <c r="F12">
        <v>921600</v>
      </c>
      <c r="G12" t="s">
        <v>37</v>
      </c>
      <c r="H12" t="s">
        <v>38</v>
      </c>
    </row>
    <row r="13" spans="1:8">
      <c r="A13" t="s">
        <v>19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</row>
    <row r="14" spans="1:2">
      <c r="A14" s="3" t="s">
        <v>39</v>
      </c>
      <c r="B14" s="4"/>
    </row>
    <row r="15" spans="1:16">
      <c r="A15" s="5" t="s">
        <v>40</v>
      </c>
      <c r="B15" s="4"/>
      <c r="F15" s="3" t="s">
        <v>41</v>
      </c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5" t="s">
        <v>42</v>
      </c>
      <c r="B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5" t="s">
        <v>43</v>
      </c>
      <c r="B17" s="4"/>
      <c r="F17" s="5" t="s">
        <v>44</v>
      </c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5" t="s">
        <v>45</v>
      </c>
      <c r="B18" s="4"/>
      <c r="F18" s="5" t="s">
        <v>46</v>
      </c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5" t="s">
        <v>47</v>
      </c>
      <c r="B19" s="4"/>
      <c r="F19" s="5" t="s">
        <v>48</v>
      </c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>
      <c r="A20" s="4"/>
      <c r="B20" s="4"/>
      <c r="F20" s="3" t="s">
        <v>49</v>
      </c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>
      <c r="A21" s="4"/>
      <c r="B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>
      <c r="A22" s="4"/>
      <c r="B22" s="4"/>
      <c r="F22" s="5" t="s">
        <v>50</v>
      </c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>
      <c r="A23" s="4"/>
      <c r="B23" s="4"/>
      <c r="F23" s="5" t="s">
        <v>51</v>
      </c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4" t="s">
        <v>52</v>
      </c>
      <c r="B24" s="4"/>
      <c r="F24" s="5" t="s">
        <v>53</v>
      </c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>
      <c r="A25" s="6" t="s">
        <v>54</v>
      </c>
      <c r="B25" s="7" t="s">
        <v>55</v>
      </c>
      <c r="F25" s="3" t="s">
        <v>56</v>
      </c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>
      <c r="A26" t="s">
        <v>57</v>
      </c>
      <c r="B26" s="20" t="s">
        <v>58</v>
      </c>
      <c r="C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>
      <c r="A27" t="s">
        <v>59</v>
      </c>
      <c r="B27" s="9">
        <v>34333333</v>
      </c>
      <c r="F27" s="5" t="s">
        <v>50</v>
      </c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>
      <c r="A28" s="4"/>
      <c r="B28" s="4"/>
      <c r="F28" s="5" t="s">
        <v>60</v>
      </c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>
      <c r="A29" s="4"/>
      <c r="B29" s="4"/>
      <c r="F29" s="5" t="s">
        <v>61</v>
      </c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>
      <c r="A30" s="4"/>
      <c r="B30" s="4"/>
      <c r="F30" s="3" t="s">
        <v>62</v>
      </c>
      <c r="G30" s="5"/>
      <c r="H30" s="5"/>
      <c r="I30" s="5"/>
      <c r="J30" s="5"/>
      <c r="K30" s="5"/>
      <c r="L30" s="5"/>
      <c r="M30" s="5"/>
      <c r="N30" s="5"/>
      <c r="O30" s="5"/>
      <c r="P30" s="5"/>
    </row>
    <row r="31" ht="75" customHeight="1" spans="1:16">
      <c r="A31" s="10" t="s">
        <v>63</v>
      </c>
      <c r="B31" s="11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ht="28.5" spans="1:16">
      <c r="A32" s="12" t="s">
        <v>64</v>
      </c>
      <c r="B32" s="13" t="str">
        <f ca="1">SUBSTITUTE(B25&amp;C34&amp;E39&amp;B26&amp;B27&amp;B34&amp;C36&amp;16," ","")</f>
        <v>6811111111111168140D33482B33333333333433333333FC16</v>
      </c>
      <c r="F32" s="5" t="s">
        <v>65</v>
      </c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>
      <c r="A33" s="4"/>
      <c r="F33" s="5" t="s">
        <v>66</v>
      </c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>
      <c r="A34" s="6" t="s">
        <v>67</v>
      </c>
      <c r="B34" s="7" t="str">
        <f ca="1">SUBSTITUTE(E42&amp;E43&amp;E44&amp;E45&amp;E46&amp;E47," ","")</f>
        <v>33</v>
      </c>
      <c r="C34" s="5" t="str">
        <f ca="1">IF(LEN(DEC2HEX(LEN(B34)/2+12))=1,"0"&amp;DEC2HEX(LEN(B34)/2+12),DEC2HEX(LEN(B34)/2+12))</f>
        <v>0D</v>
      </c>
      <c r="F34" s="5" t="s">
        <v>68</v>
      </c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>
      <c r="A35" s="6" t="s">
        <v>69</v>
      </c>
      <c r="B35" s="6" t="str">
        <f>SUBSTITUTE(D47&amp;D46&amp;D45&amp;D44&amp;D43&amp;D42," ","")</f>
        <v>00</v>
      </c>
      <c r="F35" s="3" t="s">
        <v>70</v>
      </c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>
      <c r="A36" s="6" t="s">
        <v>71</v>
      </c>
      <c r="B36" s="7" t="str">
        <f ca="1">SUBSTITUTE(B25&amp;C34&amp;E39&amp;B26&amp;B27&amp;B34," ","")</f>
        <v>6811111111111168140D33482B33333333333433333333</v>
      </c>
      <c r="C36" s="6" t="str" cm="1">
        <f ca="1" t="array" ref="C36">DEC2HEX(MOD(SUM(HEX2DEC(MID(B36,(ROW(INDIRECT("1:"&amp;LEN(B36)/2))-1)*2+1,2))),256),2)</f>
        <v>FC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>
      <c r="A37" s="4"/>
      <c r="F37" s="5" t="s">
        <v>72</v>
      </c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>
      <c r="A38" t="s">
        <v>73</v>
      </c>
      <c r="B38" t="s">
        <v>74</v>
      </c>
      <c r="C38" t="s">
        <v>75</v>
      </c>
      <c r="D38" t="s">
        <v>76</v>
      </c>
      <c r="E38" t="s">
        <v>77</v>
      </c>
      <c r="F38" s="5" t="s">
        <v>78</v>
      </c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>
      <c r="A39" t="s">
        <v>79</v>
      </c>
      <c r="C39" t="s">
        <v>80</v>
      </c>
      <c r="D39" t="str">
        <f>CONCATENATE(RIGHT(C39,2)," ",MID(C39,5,2)," ",MID(C39,3,2)," ",LEFT(C39,2))</f>
        <v>00 15 F8 00</v>
      </c>
      <c r="E39" s="8" t="str" cm="1">
        <f ca="1" t="array" ref="E39">_xlfn.LET(_xlpm.无空格源数据,SUBSTITUTE(D39,"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33482B33</v>
      </c>
      <c r="F39" s="5" t="s">
        <v>81</v>
      </c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">
      <c r="A40" s="4"/>
    </row>
    <row r="41" spans="1:1">
      <c r="A41" s="4"/>
    </row>
    <row r="42" spans="1:5">
      <c r="A42" s="14" t="s">
        <v>82</v>
      </c>
      <c r="B42">
        <v>0</v>
      </c>
      <c r="C42" t="str">
        <f>DEC2HEX(B42,2)</f>
        <v>00</v>
      </c>
      <c r="D42" t="str">
        <f>CONCATENATE(RIGHT(DEC2HEX(B42,8),2))</f>
        <v>00</v>
      </c>
      <c r="E42" s="8" t="str" cm="1">
        <f ca="1" t="array" ref="E42">_xlfn.LET(_xlpm.无空格源数据,SUBSTITUTE(D42,"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33</v>
      </c>
    </row>
    <row r="43" spans="1:5">
      <c r="A43" s="13"/>
      <c r="B43" s="15"/>
      <c r="C43" s="15"/>
      <c r="D43" s="15"/>
      <c r="E43" s="16"/>
    </row>
    <row r="44" spans="1:1">
      <c r="A44" s="13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ht="54" customHeight="1" spans="1:2">
      <c r="A50" s="10" t="s">
        <v>83</v>
      </c>
      <c r="B50" s="11"/>
    </row>
    <row r="51" ht="28.5" spans="1:2">
      <c r="A51" s="12" t="s">
        <v>64</v>
      </c>
      <c r="B51" s="13" t="str">
        <f ca="1">SUBSTITUTE(B25&amp;C54&amp;E58&amp;B26&amp;B27&amp;B53&amp;C55&amp;16," ","")</f>
        <v>6811111111111168141433432B33333333333433333357C55433B3E57333AC16</v>
      </c>
    </row>
    <row r="53" spans="1:2">
      <c r="A53" s="6" t="s">
        <v>67</v>
      </c>
      <c r="B53" s="7" t="str">
        <f ca="1">SUBSTITUTE(E63&amp;E65," ","")</f>
        <v>57C55433B3E57333</v>
      </c>
    </row>
    <row r="54" spans="1:3">
      <c r="A54" s="6" t="s">
        <v>69</v>
      </c>
      <c r="B54" s="6" t="str">
        <f>SUBSTITUTE(D65&amp;D63," ","")</f>
        <v>80B2400024922100</v>
      </c>
      <c r="C54" s="5" t="str">
        <f>IF(LEN(DEC2HEX(LEN(B54)/2+12))=1,"0"&amp;DEC2HEX(LEN(B54)/2+12),DEC2HEX(LEN(B54)/2+12))</f>
        <v>14</v>
      </c>
    </row>
    <row r="55" ht="28.5" spans="1:3">
      <c r="A55" s="6" t="s">
        <v>71</v>
      </c>
      <c r="B55" s="7" t="str">
        <f ca="1">SUBSTITUTE(B25&amp;C54&amp;E58&amp;B26&amp;B27&amp;B53," ","")</f>
        <v>6811111111111168141433432B33333333333433333357C55433B3E57333</v>
      </c>
      <c r="C55" s="6" t="str" cm="1">
        <f ca="1" t="array" ref="C55">DEC2HEX(MOD(SUM(HEX2DEC(MID(B55,(ROW(INDIRECT("1:"&amp;LEN(B55)/2))-1)*2+1,2))),256),2)</f>
        <v>AC</v>
      </c>
    </row>
    <row r="56" spans="2:2">
      <c r="B56" s="8"/>
    </row>
    <row r="57" spans="1:5">
      <c r="A57" t="s">
        <v>73</v>
      </c>
      <c r="B57" t="s">
        <v>74</v>
      </c>
      <c r="C57" t="s">
        <v>75</v>
      </c>
      <c r="D57" t="s">
        <v>76</v>
      </c>
      <c r="E57" t="s">
        <v>77</v>
      </c>
    </row>
    <row r="58" spans="1:5">
      <c r="A58" t="s">
        <v>79</v>
      </c>
      <c r="C58" t="s">
        <v>84</v>
      </c>
      <c r="D58" t="str">
        <f>CONCATENATE(RIGHT(C58,2)," ",MID(C58,5,2)," ",MID(C58,3,2)," ",LEFT(C58,2))</f>
        <v>00 10 F8 00</v>
      </c>
      <c r="E58" s="8" t="str" cm="1">
        <f ca="1" t="array" ref="E58">_xlfn.LET(_xlpm.无空格源数据,SUBSTITUTE(D58,"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33432B33</v>
      </c>
    </row>
    <row r="61" spans="1:5">
      <c r="A61" s="14" t="s">
        <v>85</v>
      </c>
      <c r="B61">
        <f>F11</f>
        <v>3200</v>
      </c>
      <c r="C61" t="str">
        <f>DEC2HEX(B61,4)</f>
        <v>0C80</v>
      </c>
      <c r="D61" t="str">
        <f>CONCATENATE(RIGHT(C61,2)," ",LEFT(C61,2))</f>
        <v>80 0C</v>
      </c>
      <c r="E61" s="8" t="str" cm="1">
        <f ca="1" t="array" ref="E61">_xlfn.LET(_xlpm.无空格源数据,SUBSTITUTE(D61,"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B33F</v>
      </c>
    </row>
    <row r="62" spans="1:5">
      <c r="A62" s="14" t="s">
        <v>86</v>
      </c>
      <c r="B62">
        <f>ROUND((F9*F10)*((F6/F5)*F7)*3.6*POWER(10,6)*F12/(2*F11),0)</f>
        <v>120</v>
      </c>
      <c r="C62" t="str">
        <f>DEC2HEX(B62,4)</f>
        <v>0078</v>
      </c>
      <c r="D62" t="str">
        <f>CONCATENATE(RIGHT(C62,2)," ",LEFT(C62,2))</f>
        <v>78 00</v>
      </c>
      <c r="E62" s="8" t="str" cm="1">
        <f ca="1" t="array" ref="E62">_xlfn.LET(_xlpm.无空格源数据,SUBSTITUTE(D62,"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AB33</v>
      </c>
    </row>
    <row r="63" spans="1:5">
      <c r="A63" s="14" t="s">
        <v>87</v>
      </c>
      <c r="B63">
        <f>C8*10000</f>
        <v>2200100</v>
      </c>
      <c r="C63" t="str">
        <f t="shared" ref="C63:C66" si="0">DEC2HEX(B63,8)</f>
        <v>00219224</v>
      </c>
      <c r="D63" t="str">
        <f t="shared" ref="D63:D66" si="1">CONCATENATE(RIGHT(DEC2HEX(B63,8),2)," ",MID(DEC2HEX(B63,8),5,2)," ",MID(DEC2HEX(B63,8),3,2)," ",LEFT(DEC2HEX(B63,8),2))</f>
        <v>24 92 21 00</v>
      </c>
      <c r="E63" s="8" t="str" cm="1">
        <f ca="1" t="array" ref="E63">_xlfn.LET(_xlpm.无空格源数据,SUBSTITUTE(D63,"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57C55433</v>
      </c>
    </row>
    <row r="64" spans="1:5">
      <c r="A64" s="14" t="s">
        <v>88</v>
      </c>
      <c r="B64">
        <f>ROUND(C8*(F6/(F5+F6))*F7*POWER(2,23),0)</f>
        <v>1707287</v>
      </c>
      <c r="C64" t="str">
        <f t="shared" si="0"/>
        <v>001A0D17</v>
      </c>
      <c r="D64" t="str">
        <f t="shared" si="1"/>
        <v>17 0D 1A 00</v>
      </c>
      <c r="E64" s="8" t="str" cm="1">
        <f ca="1" t="array" ref="E64">_xlfn.LET(_xlpm.无空格源数据,SUBSTITUTE(D64,"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4A404D33</v>
      </c>
    </row>
    <row r="65" spans="1:5">
      <c r="A65" s="14" t="s">
        <v>89</v>
      </c>
      <c r="B65">
        <f>C9*10000</f>
        <v>4240000</v>
      </c>
      <c r="C65" t="str">
        <f t="shared" si="0"/>
        <v>0040B280</v>
      </c>
      <c r="D65" t="str">
        <f t="shared" si="1"/>
        <v>80 B2 40 00</v>
      </c>
      <c r="E65" s="8" t="str" cm="1">
        <f ca="1" t="array" ref="E65">_xlfn.LET(_xlpm.无空格源数据,SUBSTITUTE(D65,"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B3E57333</v>
      </c>
    </row>
    <row r="66" spans="1:5">
      <c r="A66" s="14" t="s">
        <v>90</v>
      </c>
      <c r="B66">
        <f>ROUND(C9*F9*F10*POWER(2,23),0)</f>
        <v>889192</v>
      </c>
      <c r="C66" t="str">
        <f t="shared" si="0"/>
        <v>000D9168</v>
      </c>
      <c r="D66" t="str">
        <f t="shared" si="1"/>
        <v>68 91 0D 00</v>
      </c>
      <c r="E66" s="8" t="str" cm="1">
        <f ca="1" t="array" ref="E66">_xlfn.LET(_xlpm.无空格源数据,SUBSTITUTE(D66,"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9BC44033</v>
      </c>
    </row>
    <row r="67" spans="1:1">
      <c r="A67" s="14"/>
    </row>
    <row r="68" spans="1:2">
      <c r="A68" s="14" t="s">
        <v>91</v>
      </c>
      <c r="B68">
        <f>C8*(F6/(F5+F6))*F7</f>
        <v>0.203524514338575</v>
      </c>
    </row>
    <row r="69" spans="1:2">
      <c r="A69" s="14" t="s">
        <v>92</v>
      </c>
      <c r="B69">
        <f>C9*F9*F10</f>
        <v>0.106</v>
      </c>
    </row>
    <row r="70" spans="1:3">
      <c r="A70" s="14" t="s">
        <v>93</v>
      </c>
      <c r="B70">
        <f>B68*1.414213562373</f>
        <v>0.287827128452991</v>
      </c>
      <c r="C70" t="s">
        <v>94</v>
      </c>
    </row>
    <row r="71" spans="1:3">
      <c r="A71" s="14" t="s">
        <v>95</v>
      </c>
      <c r="B71">
        <f>B69*1.414213562373</f>
        <v>0.149906637611538</v>
      </c>
      <c r="C71" t="s">
        <v>94</v>
      </c>
    </row>
    <row r="72" spans="1:1">
      <c r="A72" s="14"/>
    </row>
    <row r="73" spans="1:4">
      <c r="A73" s="14" t="s">
        <v>96</v>
      </c>
      <c r="B73">
        <f>(F5+F6)/(F6*F7*POWER(2,23))</f>
        <v>0.000128865242004395</v>
      </c>
      <c r="C73" s="17" t="s">
        <v>97</v>
      </c>
      <c r="D73">
        <f t="shared" ref="D73:D75" si="2">1/B73</f>
        <v>7760.04440333025</v>
      </c>
    </row>
    <row r="74" spans="1:4">
      <c r="A74" s="14" t="s">
        <v>98</v>
      </c>
      <c r="B74">
        <f>1/(F9*F10*POWER(2,23))</f>
        <v>0.000476837158203125</v>
      </c>
      <c r="C74" s="17" t="s">
        <v>97</v>
      </c>
      <c r="D74">
        <f t="shared" si="2"/>
        <v>2097.152</v>
      </c>
    </row>
    <row r="75" spans="1:4">
      <c r="A75" s="14" t="s">
        <v>99</v>
      </c>
      <c r="B75">
        <f>(F5+F6)/((F9*F10)*(F6*F7)*POWER(2,31))</f>
        <v>0.00201351940631866</v>
      </c>
      <c r="C75" s="17" t="s">
        <v>97</v>
      </c>
      <c r="D75">
        <f t="shared" si="2"/>
        <v>496.642841813136</v>
      </c>
    </row>
    <row r="76" spans="1:3">
      <c r="A76" s="14" t="s">
        <v>100</v>
      </c>
      <c r="B76">
        <f>B64/(B63/1000)</f>
        <v>776.004272533067</v>
      </c>
      <c r="C76" t="s">
        <v>101</v>
      </c>
    </row>
    <row r="77" spans="1:3">
      <c r="A77" s="14" t="s">
        <v>102</v>
      </c>
      <c r="B77">
        <f>B66/(B65/10)</f>
        <v>2.09715094339623</v>
      </c>
      <c r="C77" t="s">
        <v>103</v>
      </c>
    </row>
    <row r="78" spans="1:3">
      <c r="A78" s="14" t="s">
        <v>104</v>
      </c>
      <c r="B78">
        <f>(B64*B66/32768)/(B63*B65*0.0001)</f>
        <v>0.0496642484198676</v>
      </c>
      <c r="C78" t="s">
        <v>105</v>
      </c>
    </row>
    <row r="80" ht="13" customHeight="1"/>
    <row r="81" ht="13" customHeight="1"/>
    <row r="82" ht="52" customHeight="1" spans="1:2">
      <c r="A82" s="10" t="s">
        <v>106</v>
      </c>
      <c r="B82" s="11"/>
    </row>
    <row r="83" ht="28.5" spans="1:2">
      <c r="A83" s="12" t="s">
        <v>64</v>
      </c>
      <c r="B83" s="13" t="str">
        <f ca="1">SUBSTITUTE(B25&amp;C86&amp;E90&amp;B26&amp;B27&amp;B85&amp;C87&amp;16," ","")</f>
        <v>6811111111111168141134432B3333333333343333333433A3973BA516</v>
      </c>
    </row>
    <row r="85" spans="1:2">
      <c r="A85" s="6" t="s">
        <v>67</v>
      </c>
      <c r="B85" s="7" t="str">
        <f ca="1">SUBSTITUTE(E93&amp;E94," ","")</f>
        <v>3433A3973B</v>
      </c>
    </row>
    <row r="86" spans="1:3">
      <c r="A86" s="6" t="s">
        <v>69</v>
      </c>
      <c r="B86" s="6" t="str">
        <f>SUBSTITUTE(D94&amp;D93," ","")</f>
        <v>0070640801</v>
      </c>
      <c r="C86" s="5" t="str">
        <f>IF(LEN(DEC2HEX(LEN(B86)/2+12))=1,"0"&amp;DEC2HEX(LEN(B86)/2+12),DEC2HEX(LEN(B86)/2+12))</f>
        <v>11</v>
      </c>
    </row>
    <row r="87" ht="28.5" spans="1:3">
      <c r="A87" s="6" t="s">
        <v>71</v>
      </c>
      <c r="B87" s="7" t="str">
        <f ca="1">SUBSTITUTE(B25&amp;C86&amp;E90&amp;B26&amp;B27&amp;B85," ","")</f>
        <v>6811111111111168141134432B3333333333343333333433A3973B</v>
      </c>
      <c r="C87" s="6" t="str" cm="1">
        <f ca="1" t="array" ref="C87">DEC2HEX(MOD(SUM(HEX2DEC(MID(B87,(ROW(INDIRECT("1:"&amp;LEN(B87)/2))-1)*2+1,2))),256),2)</f>
        <v>A5</v>
      </c>
    </row>
    <row r="88" ht="13" customHeight="1" spans="2:2">
      <c r="B88" s="8"/>
    </row>
    <row r="89" spans="1:5">
      <c r="A89" t="s">
        <v>73</v>
      </c>
      <c r="B89" t="s">
        <v>74</v>
      </c>
      <c r="C89" t="s">
        <v>75</v>
      </c>
      <c r="D89" t="s">
        <v>76</v>
      </c>
      <c r="E89" t="s">
        <v>77</v>
      </c>
    </row>
    <row r="90" spans="1:5">
      <c r="A90" t="s">
        <v>79</v>
      </c>
      <c r="C90" t="s">
        <v>107</v>
      </c>
      <c r="D90" t="str">
        <f>CONCATENATE(RIGHT(C90,2)," ",MID(C90,5,2)," ",MID(C90,3,2)," ",LEFT(C90,2))</f>
        <v>01 10 F8 00</v>
      </c>
      <c r="E90" s="8" t="str" cm="1">
        <f ca="1" t="array" ref="E90">_xlfn.LET(_xlpm.无空格源数据,SUBSTITUTE(D90,"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34432B33</v>
      </c>
    </row>
    <row r="91" ht="13" customHeight="1"/>
    <row r="92" ht="13" customHeight="1"/>
    <row r="93" ht="28.5" spans="1:5">
      <c r="A93" s="13" t="s">
        <v>108</v>
      </c>
      <c r="B93" s="15">
        <v>1</v>
      </c>
      <c r="C93" s="15" t="str">
        <f>DEC2HEX(B93,2)</f>
        <v>01</v>
      </c>
      <c r="D93" s="15" t="str">
        <f>CONCATENATE(RIGHT(DEC2HEX(B93,8),2))</f>
        <v>01</v>
      </c>
      <c r="E93" s="16" t="str" cm="1">
        <f ca="1" t="array" ref="E93">_xlfn.LET(_xlpm.无空格源数据,SUBSTITUTE(D93,"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34</v>
      </c>
    </row>
    <row r="94" ht="28.5" spans="1:5">
      <c r="A94" s="13" t="s">
        <v>109</v>
      </c>
      <c r="B94" s="18">
        <v>140800000</v>
      </c>
      <c r="C94" s="15" t="str">
        <f>DEC2HEX(B94,8)</f>
        <v>08647000</v>
      </c>
      <c r="D94" s="15" t="str">
        <f>CONCATENATE(RIGHT(DEC2HEX(B94,8),2)," ",MID(DEC2HEX(B94,8),5,2)," ",MID(DEC2HEX(B94,8),3,2)," ",LEFT(DEC2HEX(B94,8),2))</f>
        <v>00 70 64 08</v>
      </c>
      <c r="E94" s="16" t="str" cm="1">
        <f ca="1" t="array" ref="E94">_xlfn.LET(_xlpm.无空格源数据,SUBSTITUTE(D94,"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33A3973B</v>
      </c>
    </row>
    <row r="95" ht="13" customHeight="1"/>
    <row r="96" ht="13" customHeight="1"/>
    <row r="97" ht="13" customHeight="1"/>
    <row r="98" ht="13" customHeight="1"/>
    <row r="99" ht="13" customHeight="1"/>
    <row r="100" ht="13" customHeight="1"/>
    <row r="102" customFormat="1" ht="60" customHeight="1" spans="1:2">
      <c r="A102" s="10" t="s">
        <v>110</v>
      </c>
      <c r="B102" s="11"/>
    </row>
    <row r="103" customFormat="1" ht="28.5" spans="1:2">
      <c r="A103" s="12" t="s">
        <v>64</v>
      </c>
      <c r="B103" s="13" t="str">
        <f ca="1">SUBSTITUTE(B25&amp;C106&amp;E110&amp;B26&amp;B27&amp;B105&amp;C107&amp;16," ","")</f>
        <v>6811111111111168141033442B3333333333343333333433A3973BA416</v>
      </c>
    </row>
    <row r="105" customFormat="1" spans="1:2">
      <c r="A105" s="6" t="s">
        <v>67</v>
      </c>
      <c r="B105" s="7" t="str">
        <f ca="1">SUBSTITUTE(E113&amp;E114," ","")</f>
        <v>3433A3973B</v>
      </c>
    </row>
    <row r="106" customFormat="1" spans="1:3">
      <c r="A106" s="6" t="s">
        <v>69</v>
      </c>
      <c r="B106" s="6" t="str">
        <f>SUBSTITUTE(D115&amp;D114," ","")</f>
        <v>00706408</v>
      </c>
      <c r="C106" s="5" t="str">
        <f>IF(LEN(DEC2HEX(LEN(B106)/2+12))=1,"0"&amp;DEC2HEX(LEN(B106)/2+12),DEC2HEX(LEN(B106)/2+12))</f>
        <v>10</v>
      </c>
    </row>
    <row r="107" customFormat="1" ht="28.5" spans="1:3">
      <c r="A107" s="6" t="s">
        <v>71</v>
      </c>
      <c r="B107" s="7" t="str">
        <f ca="1">SUBSTITUTE(B25&amp;C106&amp;E110&amp;B26&amp;B27&amp;B105," ","")</f>
        <v>6811111111111168141033442B3333333333343333333433A3973B</v>
      </c>
      <c r="C107" s="6" t="str" cm="1">
        <f ca="1" t="array" ref="C107">DEC2HEX(MOD(SUM(HEX2DEC(MID(B107,(ROW(INDIRECT("1:"&amp;LEN(B107)/2))-1)*2+1,2))),256),2)</f>
        <v>A4</v>
      </c>
    </row>
    <row r="108" customFormat="1" spans="2:2">
      <c r="B108" s="8"/>
    </row>
    <row r="109" customFormat="1" spans="1:5">
      <c r="A109" t="s">
        <v>73</v>
      </c>
      <c r="B109" t="s">
        <v>74</v>
      </c>
      <c r="C109" t="s">
        <v>75</v>
      </c>
      <c r="D109" t="s">
        <v>76</v>
      </c>
      <c r="E109" t="s">
        <v>77</v>
      </c>
    </row>
    <row r="110" customFormat="1" spans="1:5">
      <c r="A110" t="s">
        <v>79</v>
      </c>
      <c r="C110" t="s">
        <v>111</v>
      </c>
      <c r="D110" t="str">
        <f>CONCATENATE(RIGHT(C110,2)," ",MID(C110,5,2)," ",MID(C110,3,2)," ",LEFT(C110,2))</f>
        <v>00 11 F8 00</v>
      </c>
      <c r="E110" s="8" t="str" cm="1">
        <f ca="1" t="array" ref="E110">_xlfn.LET(_xlpm.无空格源数据,SUBSTITUTE(D110,"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33442B33</v>
      </c>
    </row>
    <row r="113" customFormat="1" ht="28.5" spans="1:5">
      <c r="A113" s="13" t="s">
        <v>108</v>
      </c>
      <c r="B113" s="15">
        <v>1</v>
      </c>
      <c r="C113" s="15" t="str">
        <f>DEC2HEX(B113,2)</f>
        <v>01</v>
      </c>
      <c r="D113" s="15" t="str">
        <f>CONCATENATE(RIGHT(DEC2HEX(B113,8),2))</f>
        <v>01</v>
      </c>
      <c r="E113" s="16" t="str" cm="1">
        <f ca="1" t="array" ref="E113">_xlfn.LET(_xlpm.无空格源数据,SUBSTITUTE(D113,"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34</v>
      </c>
    </row>
    <row r="114" customFormat="1" ht="28.5" spans="1:5">
      <c r="A114" s="13" t="s">
        <v>109</v>
      </c>
      <c r="B114" s="18">
        <v>140800000</v>
      </c>
      <c r="C114" s="15" t="str">
        <f t="shared" ref="C113:C115" si="3">DEC2HEX(B114,8)</f>
        <v>08647000</v>
      </c>
      <c r="D114" s="15" t="str">
        <f t="shared" ref="D113:D115" si="4">CONCATENATE(RIGHT(DEC2HEX(B114,8),2)," ",MID(DEC2HEX(B114,8),5,2)," ",MID(DEC2HEX(B114,8),3,2)," ",LEFT(DEC2HEX(B114,8),2))</f>
        <v>00 70 64 08</v>
      </c>
      <c r="E114" s="16" t="str" cm="1">
        <f ca="1" t="array" ref="E114">_xlfn.LET(_xlpm.无空格源数据,SUBSTITUTE(D114,"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33A3973B</v>
      </c>
    </row>
    <row r="115" customFormat="1" spans="1:5">
      <c r="A115" s="13"/>
      <c r="B115"/>
      <c r="C115"/>
      <c r="D115"/>
      <c r="E115" s="8"/>
    </row>
    <row r="120" ht="57" customHeight="1" spans="1:2">
      <c r="A120" s="10" t="s">
        <v>112</v>
      </c>
      <c r="B120" s="11"/>
    </row>
    <row r="121" ht="28.5" spans="1:2">
      <c r="A121" s="12" t="s">
        <v>64</v>
      </c>
      <c r="B121" s="13" t="str">
        <f ca="1">SUBSTITUTE(B25&amp;C124&amp;E128&amp;B26&amp;B27&amp;B123&amp;C125&amp;16," ","")</f>
        <v>6811111111111168141233452B333333333334333333339F9E333333D416</v>
      </c>
    </row>
    <row r="123" spans="1:2">
      <c r="A123" s="6" t="s">
        <v>67</v>
      </c>
      <c r="B123" s="7" t="str">
        <f ca="1">SUBSTITUTE(E131&amp;E132," ","")</f>
        <v>339F9E333333</v>
      </c>
    </row>
    <row r="124" spans="1:3">
      <c r="A124" s="6" t="s">
        <v>69</v>
      </c>
      <c r="B124" s="6" t="str">
        <f>SUBSTITUTE(D132&amp;D131," ","")</f>
        <v>0000006C6B00</v>
      </c>
      <c r="C124" s="5" t="str">
        <f>IF(LEN(DEC2HEX(LEN(B124)/2+12))=1,"0"&amp;DEC2HEX(LEN(B124)/2+12),DEC2HEX(LEN(B124)/2+12))</f>
        <v>12</v>
      </c>
    </row>
    <row r="125" ht="28.5" spans="1:3">
      <c r="A125" s="6" t="s">
        <v>71</v>
      </c>
      <c r="B125" s="7" t="str">
        <f ca="1">SUBSTITUTE(B25&amp;C124&amp;E128&amp;B26&amp;B27&amp;B123," ","")</f>
        <v>6811111111111168141233452B333333333334333333339F9E333333</v>
      </c>
      <c r="C125" s="6" t="str" cm="1">
        <f ca="1" t="array" ref="C125">DEC2HEX(MOD(SUM(HEX2DEC(MID(B125,(ROW(INDIRECT("1:"&amp;LEN(B125)/2))-1)*2+1,2))),256),2)</f>
        <v>D4</v>
      </c>
    </row>
    <row r="126" spans="2:2">
      <c r="B126" s="8"/>
    </row>
    <row r="127" spans="1:5">
      <c r="A127" t="s">
        <v>73</v>
      </c>
      <c r="B127" t="s">
        <v>74</v>
      </c>
      <c r="C127" t="s">
        <v>75</v>
      </c>
      <c r="D127" t="s">
        <v>76</v>
      </c>
      <c r="E127" t="s">
        <v>77</v>
      </c>
    </row>
    <row r="128" spans="1:5">
      <c r="A128" t="s">
        <v>79</v>
      </c>
      <c r="C128" t="s">
        <v>113</v>
      </c>
      <c r="D128" t="str">
        <f>CONCATENATE(RIGHT(C128,2)," ",MID(C128,5,2)," ",MID(C128,3,2)," ",LEFT(C128,2))</f>
        <v>00 12 F8 00</v>
      </c>
      <c r="E128" s="8" t="str" cm="1">
        <f ca="1" t="array" ref="E128">_xlfn.LET(_xlpm.无空格源数据,SUBSTITUTE(D128,"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33452B33</v>
      </c>
    </row>
    <row r="131" ht="28.5" spans="1:5">
      <c r="A131" s="13" t="s">
        <v>114</v>
      </c>
      <c r="B131" s="18">
        <v>7040000</v>
      </c>
      <c r="C131" s="15" t="str">
        <f>DEC2HEX(B131,8)</f>
        <v>006B6C00</v>
      </c>
      <c r="D131" s="15" t="str">
        <f>CONCATENATE(RIGHT(DEC2HEX(B131,8),2)," ",MID(DEC2HEX(B131,8),5,2)," ",MID(DEC2HEX(B131,8),3,2)," ",LEFT(DEC2HEX(B131,8),2))</f>
        <v>00 6C 6B 00</v>
      </c>
      <c r="E131" s="16" t="str" cm="1">
        <f ca="1" t="array" ref="E131">_xlfn.LET(_xlpm.无空格源数据,SUBSTITUTE(D131,"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339F9E33</v>
      </c>
    </row>
    <row r="132" spans="1:5">
      <c r="A132" s="14" t="s">
        <v>115</v>
      </c>
      <c r="B132">
        <v>0</v>
      </c>
      <c r="C132" s="15" t="str">
        <f>DEC2HEX(B132,4)</f>
        <v>0000</v>
      </c>
      <c r="D132" s="15" t="str">
        <f>CONCATENATE(RIGHT(DEC2HEX(B132,8),2)," ",MID(DEC2HEX(B132,8),5,2))</f>
        <v>00 00</v>
      </c>
      <c r="E132" s="8" t="str" cm="1">
        <f ca="1" t="array" ref="E132">_xlfn.LET(_xlpm.无空格源数据,SUBSTITUTE(D132,"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3333</v>
      </c>
    </row>
    <row r="133" spans="1:5">
      <c r="A133" s="14"/>
      <c r="C133" s="15"/>
      <c r="D133" s="15"/>
      <c r="E133" s="8"/>
    </row>
    <row r="134" spans="1:1">
      <c r="A134" s="14"/>
    </row>
    <row r="135" spans="1:1">
      <c r="A135" s="14"/>
    </row>
    <row r="138" ht="56" customHeight="1" spans="1:2">
      <c r="A138" s="10" t="s">
        <v>116</v>
      </c>
      <c r="B138" s="11"/>
    </row>
    <row r="139" ht="28.5" spans="1:2">
      <c r="A139" s="12" t="s">
        <v>64</v>
      </c>
      <c r="B139" s="13" t="str">
        <f ca="1">SUBSTITUTE(B25&amp;C142&amp;E146&amp;B26&amp;B27&amp;B141&amp;C143&amp;16," ","")</f>
        <v>6811111111111168141833452C333333333334333333B33FAB3333333333333333333A16</v>
      </c>
    </row>
    <row r="141" spans="1:2">
      <c r="A141" s="6" t="s">
        <v>67</v>
      </c>
      <c r="B141" s="7" t="str">
        <f ca="1">SUBSTITUTE(E153&amp;E154&amp;E155&amp;E156&amp;E157&amp;E158&amp;E159," ","")</f>
        <v>B33FAB333333333333333333</v>
      </c>
    </row>
    <row r="142" spans="1:3">
      <c r="A142" s="6" t="s">
        <v>69</v>
      </c>
      <c r="B142" s="6" t="str">
        <f>SUBSTITUTE(D159&amp;D158&amp;D157&amp;D156&amp;D155&amp;D154&amp;D153," ","")</f>
        <v>00000000000000007800800C</v>
      </c>
      <c r="C142" s="5" t="str">
        <f>IF(LEN(DEC2HEX(LEN(B142)/2+12))=1,"0"&amp;DEC2HEX(LEN(B142)/2+12),DEC2HEX(LEN(B142)/2+12))</f>
        <v>18</v>
      </c>
    </row>
    <row r="143" ht="28.5" spans="1:3">
      <c r="A143" s="6" t="s">
        <v>71</v>
      </c>
      <c r="B143" s="7" t="str">
        <f ca="1">SUBSTITUTE(B25&amp;C142&amp;E146&amp;B26&amp;B27&amp;B141," ","")</f>
        <v>6811111111111168141833452C333333333334333333B33FAB333333333333333333</v>
      </c>
      <c r="C143" s="6" t="str" cm="1">
        <f ca="1" t="array" ref="C143">DEC2HEX(MOD(SUM(HEX2DEC(MID(B143,(ROW(INDIRECT("1:"&amp;LEN(B143)/2))-1)*2+1,2))),256),2)</f>
        <v>3A</v>
      </c>
    </row>
    <row r="144" spans="2:2">
      <c r="B144" s="8"/>
    </row>
    <row r="145" spans="1:5">
      <c r="A145" t="s">
        <v>73</v>
      </c>
      <c r="B145" t="s">
        <v>74</v>
      </c>
      <c r="C145" t="s">
        <v>75</v>
      </c>
      <c r="D145" t="s">
        <v>76</v>
      </c>
      <c r="E145" t="s">
        <v>77</v>
      </c>
    </row>
    <row r="146" spans="1:5">
      <c r="A146" t="s">
        <v>79</v>
      </c>
      <c r="C146" t="s">
        <v>117</v>
      </c>
      <c r="D146" t="str">
        <f>CONCATENATE(RIGHT(C146,2)," ",MID(C146,5,2)," ",MID(C146,3,2)," ",LEFT(C146,2))</f>
        <v>00 12 F9 00</v>
      </c>
      <c r="E146" s="8" t="str" cm="1">
        <f ca="1" t="array" ref="E146">_xlfn.LET(_xlpm.无空格源数据,SUBSTITUTE(D146,"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33452C33</v>
      </c>
    </row>
    <row r="149" spans="1:5">
      <c r="A149" s="13" t="s">
        <v>118</v>
      </c>
      <c r="B149" s="18">
        <v>0</v>
      </c>
      <c r="C149" s="15"/>
      <c r="D149" s="15"/>
      <c r="E149" s="16"/>
    </row>
    <row r="150" spans="1:5">
      <c r="A150" s="13" t="s">
        <v>119</v>
      </c>
      <c r="B150" s="18">
        <v>0</v>
      </c>
      <c r="C150" s="15"/>
      <c r="D150" s="15"/>
      <c r="E150" s="16"/>
    </row>
    <row r="151" spans="1:5">
      <c r="A151" s="13" t="s">
        <v>120</v>
      </c>
      <c r="B151" s="18">
        <v>0</v>
      </c>
      <c r="C151" s="15"/>
      <c r="D151" s="15"/>
      <c r="E151" s="16"/>
    </row>
    <row r="152" spans="1:5">
      <c r="A152" s="13"/>
      <c r="B152" s="18"/>
      <c r="C152" s="15"/>
      <c r="D152" s="15"/>
      <c r="E152" s="16"/>
    </row>
    <row r="153" spans="1:5">
      <c r="A153" s="13" t="s">
        <v>121</v>
      </c>
      <c r="B153" s="18">
        <f>F11</f>
        <v>3200</v>
      </c>
      <c r="C153" s="15" t="str">
        <f t="shared" ref="C153:C155" si="5">DEC2HEX(B153,4)</f>
        <v>0C80</v>
      </c>
      <c r="D153" s="15" t="str">
        <f t="shared" ref="D153:D155" si="6">CONCATENATE(RIGHT(DEC2HEX(B153,8),2)," ",MID(DEC2HEX(B153,8),5,2))</f>
        <v>80 0C</v>
      </c>
      <c r="E153" s="16" t="str" cm="1">
        <f ca="1" t="array" ref="E153">_xlfn.LET(_xlpm.无空格源数据,SUBSTITUTE(D153,"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B33F</v>
      </c>
    </row>
    <row r="154" spans="1:5">
      <c r="A154" s="14" t="s">
        <v>122</v>
      </c>
      <c r="B154">
        <f>ROUND((F9*F10)*((F6/F5)*F7)*3.6*POWER(10,6)*F12/(2*F11),0)</f>
        <v>120</v>
      </c>
      <c r="C154" s="15" t="str">
        <f t="shared" si="5"/>
        <v>0078</v>
      </c>
      <c r="D154" s="15" t="str">
        <f t="shared" si="6"/>
        <v>78 00</v>
      </c>
      <c r="E154" s="8" t="str" cm="1">
        <f ca="1" t="array" ref="E154">_xlfn.LET(_xlpm.无空格源数据,SUBSTITUTE(D154,"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AB33</v>
      </c>
    </row>
    <row r="155" spans="1:5">
      <c r="A155" s="14" t="s">
        <v>123</v>
      </c>
      <c r="B155">
        <f>IF(F10=1,0,IF(F10=2,1,IF(F10=8,2,IF(F10=16,3,"无效倍数"))))</f>
        <v>0</v>
      </c>
      <c r="C155" s="15" t="str">
        <f>DEC2HEX(B155,2)</f>
        <v>00</v>
      </c>
      <c r="D155" s="15" t="str">
        <f>CONCATENATE(RIGHT(DEC2HEX(B155,8),2))</f>
        <v>00</v>
      </c>
      <c r="E155" s="8" t="str" cm="1">
        <f ca="1" t="array" ref="E155">_xlfn.LET(_xlpm.无空格源数据,SUBSTITUTE(D155,"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33</v>
      </c>
    </row>
    <row r="156" spans="1:5">
      <c r="A156" s="14" t="s">
        <v>124</v>
      </c>
      <c r="B156">
        <v>0</v>
      </c>
      <c r="C156" s="15" t="str">
        <f>DEC2HEX(B156,2)</f>
        <v>00</v>
      </c>
      <c r="D156" s="15" t="str">
        <f>CONCATENATE(RIGHT(DEC2HEX(B156,8),2))</f>
        <v>00</v>
      </c>
      <c r="E156" s="8" t="str" cm="1">
        <f ca="1" t="array" ref="E156">_xlfn.LET(_xlpm.无空格源数据,SUBSTITUTE(D156,"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33</v>
      </c>
    </row>
    <row r="157" spans="1:5">
      <c r="A157" s="19" t="s">
        <v>125</v>
      </c>
      <c r="B157" s="18">
        <f>(B149*SQRT(2)*(F6/(F5+F6))*F7/1.25)*32768</f>
        <v>0</v>
      </c>
      <c r="C157" s="15" t="str">
        <f t="shared" ref="C157:C159" si="7">DEC2HEX(B157,4)</f>
        <v>0000</v>
      </c>
      <c r="D157" s="15" t="str">
        <f t="shared" ref="D157:D159" si="8">CONCATENATE(RIGHT(DEC2HEX(B157,8),2)," ",MID(DEC2HEX(B157,8),5,2))</f>
        <v>00 00</v>
      </c>
      <c r="E157" s="16" t="str" cm="1">
        <f ca="1" t="array" ref="E157">_xlfn.LET(_xlpm.无空格源数据,SUBSTITUTE(D157,"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3333</v>
      </c>
    </row>
    <row r="158" spans="1:5">
      <c r="A158" s="19" t="s">
        <v>126</v>
      </c>
      <c r="B158" s="18">
        <f>(B150*SQRT(2)*(F6/(F5+F6))*F7/1.25)*32768</f>
        <v>0</v>
      </c>
      <c r="C158" s="15" t="str">
        <f t="shared" si="7"/>
        <v>0000</v>
      </c>
      <c r="D158" s="15" t="str">
        <f t="shared" si="8"/>
        <v>00 00</v>
      </c>
      <c r="E158" s="16" t="str" cm="1">
        <f ca="1" t="array" ref="E158">_xlfn.LET(_xlpm.无空格源数据,SUBSTITUTE(D158,"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3333</v>
      </c>
    </row>
    <row r="159" spans="1:5">
      <c r="A159" s="19" t="s">
        <v>127</v>
      </c>
      <c r="B159" s="18">
        <f>(B151/10*SQRT(2)*F9*F10/1.25)*32768</f>
        <v>0</v>
      </c>
      <c r="C159" s="15" t="str">
        <f t="shared" si="7"/>
        <v>0000</v>
      </c>
      <c r="D159" s="15" t="str">
        <f t="shared" si="8"/>
        <v>00 00</v>
      </c>
      <c r="E159" s="16" t="str" cm="1">
        <f ca="1" t="array" ref="E159">_xlfn.LET(_xlpm.无空格源数据,SUBSTITUTE(D159," ",""),_xlpm.字节数,LEN(_xlpm.无空格源数据)/2,_xlpm.序列,ROW(INDIRECT("1:"&amp;_xlpm.字节数)),_xlpm.原始字节,MID(_xlpm.无空格源数据,(_xlpm.序列-1)*2+1,2),_xlpm.计算结果,DEC2HEX(MOD(HEX2DEC(_xlpm.原始字节)+51,256),2),_xlfn.TEXTJOIN("",TRUE,_xlpm.计算结果))</f>
        <v>3333</v>
      </c>
    </row>
  </sheetData>
  <mergeCells count="6">
    <mergeCell ref="A31:B31"/>
    <mergeCell ref="A50:B50"/>
    <mergeCell ref="A82:B82"/>
    <mergeCell ref="A102:B102"/>
    <mergeCell ref="A120:B120"/>
    <mergeCell ref="A138:B1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个人使用</cp:lastModifiedBy>
  <dcterms:created xsi:type="dcterms:W3CDTF">2025-06-16T07:45:00Z</dcterms:created>
  <dcterms:modified xsi:type="dcterms:W3CDTF">2025-09-17T03:05:14Z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2ACE5EFAA64A4225837A623578E74A07_13</vt:lpwstr>
  </property>
  <property fmtid="{D5CDD505-2E9C-101B-9397-08002B2CF9AE}" pid="3" name="KSOProductBuildVer">
    <vt:lpwstr>2052-12.1.0.22529</vt:lpwstr>
  </property>
</Properties>
</file>