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2"/>
  <workbookPr codeName="ThisWorkbook"/>
  <mc:AlternateContent xmlns:mc="http://schemas.openxmlformats.org/markup-compatibility/2006">
    <mc:Choice Requires="x15">
      <x15ac:absPath xmlns:x15ac="http://schemas.microsoft.com/office/spreadsheetml/2010/11/ac" url="https://uchicagoedu-my.sharepoint.com/personal/andyxwang_uchicago_edu/Documents/"/>
    </mc:Choice>
  </mc:AlternateContent>
  <xr:revisionPtr revIDLastSave="965" documentId="8_{27D5BBC8-27F7-7F45-A326-3310D3E12231}" xr6:coauthVersionLast="47" xr6:coauthVersionMax="47" xr10:uidLastSave="{01CD9173-CFB4-EE4A-9AA0-42ACE9BF17CD}"/>
  <bookViews>
    <workbookView xWindow="0" yWindow="520" windowWidth="28800" windowHeight="15800" tabRatio="906" firstSheet="4" activeTab="4" xr2:uid="{00000000-000D-0000-FFFF-FFFF00000000}"/>
  </bookViews>
  <sheets>
    <sheet name="Final Exam Instructions" sheetId="42" r:id="rId1"/>
    <sheet name="Bankruptcy Filing JE" sheetId="45" r:id="rId2"/>
    <sheet name="Recap-Fresh Start JE" sheetId="43" r:id="rId3"/>
    <sheet name="Financials" sheetId="26" r:id="rId4"/>
    <sheet name="Recap-Fresh Start Schedule" sheetId="40" r:id="rId5"/>
    <sheet name="Tax Worksheet" sheetId="44" r:id="rId6"/>
  </sheets>
  <externalReferences>
    <externalReference r:id="rId7"/>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_bdm.0060B72F2964442B8A0686F279728737.edm" localSheetId="3" hidden="1">Financials!$S$267</definedName>
    <definedName name="_bdm.0B4272435BD744CA8334F0D77CC16793.edm" localSheetId="3" hidden="1">Financials!$S$263</definedName>
    <definedName name="_bdm.0EE85B9CF95F4ABCA6F78835C64BD5CB.edm" localSheetId="3" hidden="1">Financials!$S$266</definedName>
    <definedName name="_bdm.169E8CD2286840739A8CCE1214B4E61B.edm" localSheetId="3" hidden="1">Financials!$R$259</definedName>
    <definedName name="_bdm.2FB556D5B81D4439B32F7C0AA5D303F3.edm" localSheetId="3" hidden="1">Financials!$R$261</definedName>
    <definedName name="_bdm.3B671D2482E44CD3AE06960425CBA0F5.edm" localSheetId="3" hidden="1">Financials!$R$268</definedName>
    <definedName name="_bdm.3D505BF99F4E462AAEB1899E9A404995.edm" localSheetId="3" hidden="1">Financials!$R$254</definedName>
    <definedName name="_bdm.4C6C11F4F8DB4B949C7BBE7052B1A340.edm" localSheetId="3" hidden="1">Financials!$R$256</definedName>
    <definedName name="_bdm.54E0C4283C7B458CADF4376115A6BDDA.edm" localSheetId="3" hidden="1">Financials!$S$257</definedName>
    <definedName name="_bdm.59D135E3C44A451A876B73DBB2366ABE.edm" localSheetId="1" hidden="1">#REF!</definedName>
    <definedName name="_bdm.59D135E3C44A451A876B73DBB2366ABE.edm" localSheetId="0" hidden="1">#REF!</definedName>
    <definedName name="_bdm.59D135E3C44A451A876B73DBB2366ABE.edm" localSheetId="2" hidden="1">#REF!</definedName>
    <definedName name="_bdm.59D135E3C44A451A876B73DBB2366ABE.edm" localSheetId="4" hidden="1">#REF!</definedName>
    <definedName name="_bdm.59D135E3C44A451A876B73DBB2366ABE.edm" hidden="1">#REF!</definedName>
    <definedName name="_bdm.625C464704D8457FA63DE5DEABCCEACA.edm" localSheetId="1" hidden="1">#REF!</definedName>
    <definedName name="_bdm.625C464704D8457FA63DE5DEABCCEACA.edm" hidden="1">#REF!</definedName>
    <definedName name="_bdm.6E599B3AB3694897B4E89FE83F35A03C.edm" localSheetId="3" hidden="1">Financials!$S$269</definedName>
    <definedName name="_bdm.79E811069B7D49D0A98A5F96D58468FD.edm" localSheetId="3" hidden="1">Financials!$S$262</definedName>
    <definedName name="_bdm.7E7EDAA856E94128A0FA650BFBEADFA4.edm" localSheetId="1" hidden="1">#REF!</definedName>
    <definedName name="_bdm.7E7EDAA856E94128A0FA650BFBEADFA4.edm" localSheetId="0" hidden="1">#REF!</definedName>
    <definedName name="_bdm.7E7EDAA856E94128A0FA650BFBEADFA4.edm" localSheetId="2" hidden="1">#REF!</definedName>
    <definedName name="_bdm.7E7EDAA856E94128A0FA650BFBEADFA4.edm" hidden="1">#REF!</definedName>
    <definedName name="_bdm.89CDB01C2DE34867AE6DDE9DB218331B.edm" localSheetId="3" hidden="1">Financials!$S$258</definedName>
    <definedName name="_bdm.8A131E26AC284E42A33580844170DC28.edm" localSheetId="3" hidden="1">Financials!$R$265</definedName>
    <definedName name="_bdm.8BAC79D60E6240DEB7859B750C6CDC39.edm" localSheetId="3" hidden="1">Financials!$S$255</definedName>
    <definedName name="_bdm.8EE95328DE3B4137BA1F1E232C571B28.edm" localSheetId="3" hidden="1">Financials!$S$259</definedName>
    <definedName name="_bdm.964E7B083A5341AEB9EBA646D9A26710.edm" localSheetId="3" hidden="1">Financials!$R$262</definedName>
    <definedName name="_bdm.96C5C5D0D5EC44B9A14E52FDC4FDDE59.edm" localSheetId="3" hidden="1">Financials!$R$264</definedName>
    <definedName name="_bdm.998197F31FF44CB88CE9602AC5AD2330.edm" localSheetId="3" hidden="1">Financials!$R$269</definedName>
    <definedName name="_bdm.99E53CD6C07243D7B1CC641AB4C1A1DB.edm" localSheetId="3" hidden="1">Financials!$S$261</definedName>
    <definedName name="_bdm.B07347166A174A94B87E662A89C1AF67.edm" localSheetId="3" hidden="1">Financials!$S$256</definedName>
    <definedName name="_bdm.B4DF894A3444410D926FE0BA2D5C417E.edm" localSheetId="3" hidden="1">Financials!$S$265</definedName>
    <definedName name="_bdm.B63E39A23C344F8696B56695E047E13D.edm" localSheetId="3" hidden="1">Financials!$R$258</definedName>
    <definedName name="_bdm.B658B86CBB33445491E449737771E658.edm" localSheetId="3" hidden="1">Financials!$R$267</definedName>
    <definedName name="_bdm.B9064FA28C844BADAE1E8BD56E512F2A.edm" localSheetId="3" hidden="1">Financials!$R$257</definedName>
    <definedName name="_bdm.CFBDF8989E7E475996CA014F465E8BF0.edm" localSheetId="3" hidden="1">Financials!$S$254</definedName>
    <definedName name="_bdm.D5FCCB0597154C19B2BEC81B1BE8A7DA.edm" localSheetId="3" hidden="1">Financials!$R$255</definedName>
    <definedName name="_bdm.D7DCAACD4FEC490090D8F269932F1B0E.edm" localSheetId="3" hidden="1">Financials!$R$263</definedName>
    <definedName name="_bdm.D8163B9CC6F34E2FB8FFA22CE9411AEB.edm" localSheetId="3" hidden="1">Financials!$S$264</definedName>
    <definedName name="_bdm.DA963E9C03304EBABE488D6C488CAE75.edm" localSheetId="3" hidden="1">Financials!$S$268</definedName>
    <definedName name="_bdm.EF24F707C3594A00BF71C409B77908A2.edm" hidden="1">Financials!$1:$1048576</definedName>
    <definedName name="_bdm.F43BE265369D40409813FE3E282A9C7E.edm" localSheetId="3" hidden="1">Financials!$R$260</definedName>
    <definedName name="_bdm.F78CD09E0191492DA3F3F522B321EA13.edm" localSheetId="3" hidden="1">Financials!$R$266</definedName>
    <definedName name="_bdm.F8EBF7D4092448349338B287BBBE8766.edm" localSheetId="3" hidden="1">Financials!$S$260</definedName>
    <definedName name="Circ" localSheetId="4">[1]Consolidated!$AP$35</definedName>
    <definedName name="Circ">Financials!$R$22</definedName>
    <definedName name="IQ_ADDIN" hidden="1">"AUTO"</definedName>
    <definedName name="IQ_CH" hidden="1">110000</definedName>
    <definedName name="IQ_CQ" hidden="1">5000</definedName>
    <definedName name="IQ_CY" hidden="1">10000</definedName>
    <definedName name="IQ_DAILY" hidden="1">500000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NAMES_REVISION_DATE_" hidden="1">40651.623287037</definedName>
    <definedName name="IQ_NTM" hidden="1">6000</definedName>
    <definedName name="IQ_TODAY" hidden="1">0</definedName>
    <definedName name="IQ_WEEK" hidden="1">50000</definedName>
    <definedName name="IQ_YTD" hidden="1">3000</definedName>
    <definedName name="IQ_YTDMONTH" hidden="1">130000</definedName>
    <definedName name="_xlnm.Print_Area" localSheetId="0">'Final Exam Instructions'!$A$1:$R$48</definedName>
    <definedName name="_xlnm.Print_Area" localSheetId="3">Financials!$A$1:$P$378</definedName>
    <definedName name="_xlnm.Print_Area" localSheetId="4">'Recap-Fresh Start Schedule'!$A$1:$Y$48</definedName>
    <definedName name="_xlnm.Print_Titles" localSheetId="3">Financials!$1:$4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6</definedName>
    <definedName name="RiskMinimizeOnStart" hidden="1">FALSE</definedName>
    <definedName name="RiskMonitorConvergence" hidden="1">FALSE</definedName>
    <definedName name="RiskMultipleCPUSupportEnabled" hidden="1">TRUE</definedName>
    <definedName name="RiskNumIterations" hidden="1">100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TRUE</definedName>
    <definedName name="Scenario" localSheetId="1">#REF!</definedName>
    <definedName name="Scenario" localSheetId="0">#REF!</definedName>
    <definedName name="Scenario" localSheetId="2">#REF!</definedName>
    <definedName name="Scenario" localSheetId="4">#REF!</definedName>
    <definedName name="Scenario">#REF!</definedName>
  </definedNames>
  <calcPr calcId="191028" iterate="1"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73" i="26" l="1"/>
  <c r="I17" i="43"/>
  <c r="N89" i="26" s="1"/>
  <c r="B9" i="44"/>
  <c r="B3" i="44"/>
  <c r="K335" i="26"/>
  <c r="M87" i="26"/>
  <c r="N74" i="26"/>
  <c r="N130" i="26"/>
  <c r="L126" i="26"/>
  <c r="P112" i="26"/>
  <c r="O104" i="26"/>
  <c r="O112" i="26"/>
  <c r="O113" i="26"/>
  <c r="O114" i="26" s="1"/>
  <c r="N113" i="26"/>
  <c r="N121" i="26"/>
  <c r="K57" i="26"/>
  <c r="Y10" i="40"/>
  <c r="P42" i="26"/>
  <c r="O42" i="26"/>
  <c r="J25" i="26"/>
  <c r="I25" i="26"/>
  <c r="N208" i="26"/>
  <c r="J40" i="40"/>
  <c r="B4" i="44"/>
  <c r="J19" i="43" l="1"/>
  <c r="B5" i="44"/>
  <c r="N196" i="26"/>
  <c r="J178" i="26"/>
  <c r="K178" i="26"/>
  <c r="M191" i="26"/>
  <c r="S41" i="40"/>
  <c r="S40" i="40"/>
  <c r="Y31" i="40"/>
  <c r="U40" i="40" s="1"/>
  <c r="N190" i="26"/>
  <c r="I26" i="43"/>
  <c r="Y30" i="40" s="1"/>
  <c r="Y17" i="40"/>
  <c r="Y16" i="40"/>
  <c r="I35" i="43"/>
  <c r="I9" i="43"/>
  <c r="Y9" i="40"/>
  <c r="Y12" i="40" s="1"/>
  <c r="S36" i="40" s="1"/>
  <c r="R202" i="26"/>
  <c r="N184" i="26"/>
  <c r="J208" i="26"/>
  <c r="C261" i="26"/>
  <c r="J18" i="43" l="1"/>
  <c r="S12" i="40" s="1"/>
  <c r="I21" i="43"/>
  <c r="D5" i="44"/>
  <c r="J10" i="43"/>
  <c r="I26" i="40"/>
  <c r="N52" i="26" s="1"/>
  <c r="N53" i="26" s="1"/>
  <c r="U37" i="40"/>
  <c r="S37" i="40"/>
  <c r="Y32" i="40"/>
  <c r="U36" i="40" s="1"/>
  <c r="I12" i="43"/>
  <c r="J36" i="43"/>
  <c r="X44" i="40"/>
  <c r="J22" i="43" l="1"/>
  <c r="N88" i="26"/>
  <c r="S10" i="40"/>
  <c r="N57" i="26"/>
  <c r="I31" i="40"/>
  <c r="J13" i="43"/>
  <c r="A1" i="40" l="1"/>
  <c r="A1" i="26"/>
  <c r="H7" i="45" l="1"/>
  <c r="G6" i="45" s="1"/>
  <c r="E36" i="26" l="1"/>
  <c r="G125" i="26"/>
  <c r="F125" i="26"/>
  <c r="J363" i="26" l="1"/>
  <c r="L367" i="26" s="1"/>
  <c r="M367" i="26"/>
  <c r="K358" i="26"/>
  <c r="P89" i="26"/>
  <c r="R255" i="26"/>
  <c r="R256" i="26" s="1"/>
  <c r="F291" i="26"/>
  <c r="C254" i="26" s="1"/>
  <c r="G291" i="26"/>
  <c r="C255" i="26" s="1"/>
  <c r="G158" i="26"/>
  <c r="F104" i="26"/>
  <c r="F105" i="26" s="1"/>
  <c r="G108" i="26"/>
  <c r="F112" i="26"/>
  <c r="F113" i="26" s="1"/>
  <c r="G116" i="26"/>
  <c r="G99" i="26"/>
  <c r="F99" i="26"/>
  <c r="F120" i="26"/>
  <c r="E99" i="26"/>
  <c r="G162" i="26"/>
  <c r="F173" i="26"/>
  <c r="G173" i="26"/>
  <c r="R180" i="26"/>
  <c r="E177" i="26"/>
  <c r="E179" i="26" s="1"/>
  <c r="F176" i="26" s="1"/>
  <c r="E173" i="26"/>
  <c r="R186" i="26"/>
  <c r="E183" i="26"/>
  <c r="E185" i="26" s="1"/>
  <c r="F182" i="26" s="1"/>
  <c r="R192" i="26"/>
  <c r="E189" i="26"/>
  <c r="E191" i="26" s="1"/>
  <c r="F188" i="26" s="1"/>
  <c r="H291" i="26"/>
  <c r="C256" i="26" s="1"/>
  <c r="H158" i="26"/>
  <c r="H108" i="26"/>
  <c r="H99" i="26"/>
  <c r="H116" i="26"/>
  <c r="H125" i="26"/>
  <c r="H162" i="26"/>
  <c r="H173" i="26"/>
  <c r="I291" i="26"/>
  <c r="C257" i="26" s="1"/>
  <c r="F129" i="26"/>
  <c r="F131" i="26" s="1"/>
  <c r="G129" i="26" s="1"/>
  <c r="G131" i="26" s="1"/>
  <c r="H129" i="26" s="1"/>
  <c r="I133" i="26"/>
  <c r="I99" i="26"/>
  <c r="I108" i="26"/>
  <c r="I116" i="26"/>
  <c r="I125" i="26"/>
  <c r="K125" i="26" s="1"/>
  <c r="I162" i="26"/>
  <c r="K162" i="26" s="1"/>
  <c r="K167" i="26" s="1"/>
  <c r="I173" i="26"/>
  <c r="J17" i="26"/>
  <c r="J19" i="26" s="1"/>
  <c r="K10" i="26"/>
  <c r="K12" i="26"/>
  <c r="K13" i="26"/>
  <c r="K14" i="26"/>
  <c r="K21" i="26"/>
  <c r="L291" i="26"/>
  <c r="L81" i="26" s="1"/>
  <c r="L83" i="26" s="1"/>
  <c r="K130" i="26"/>
  <c r="L133" i="26"/>
  <c r="L99" i="26"/>
  <c r="L108" i="26"/>
  <c r="L116" i="26"/>
  <c r="K121" i="26"/>
  <c r="L162" i="26"/>
  <c r="K8" i="26"/>
  <c r="K327" i="26" s="1"/>
  <c r="L173" i="26"/>
  <c r="K177" i="26"/>
  <c r="K183" i="26"/>
  <c r="K189" i="26"/>
  <c r="J195" i="26"/>
  <c r="K194" i="26"/>
  <c r="K196" i="26"/>
  <c r="M12" i="26"/>
  <c r="O12" i="26" s="1"/>
  <c r="M291" i="26"/>
  <c r="C259" i="26" s="1"/>
  <c r="M259" i="26" s="1"/>
  <c r="M133" i="26"/>
  <c r="M99" i="26"/>
  <c r="M108" i="26"/>
  <c r="M116" i="26"/>
  <c r="M162" i="26"/>
  <c r="O162" i="26" s="1"/>
  <c r="O167" i="26" s="1"/>
  <c r="M173" i="26"/>
  <c r="N17" i="26"/>
  <c r="N19" i="26" s="1"/>
  <c r="O10" i="26"/>
  <c r="O13" i="26"/>
  <c r="O14" i="26"/>
  <c r="O15" i="26"/>
  <c r="O21" i="26"/>
  <c r="P10" i="26"/>
  <c r="P13" i="26"/>
  <c r="P14" i="26"/>
  <c r="P15" i="26"/>
  <c r="P21" i="26"/>
  <c r="F158" i="26"/>
  <c r="F108" i="26"/>
  <c r="F116" i="26"/>
  <c r="F162" i="26"/>
  <c r="E373" i="26"/>
  <c r="F370" i="26" s="1"/>
  <c r="E345" i="26"/>
  <c r="F332" i="26"/>
  <c r="F355" i="26"/>
  <c r="G332" i="26"/>
  <c r="H332" i="26"/>
  <c r="I332" i="26"/>
  <c r="J296" i="26"/>
  <c r="J342" i="26" s="1"/>
  <c r="J344" i="26" s="1"/>
  <c r="J330" i="26"/>
  <c r="J331" i="26"/>
  <c r="K343" i="26"/>
  <c r="L332" i="26"/>
  <c r="F362" i="26"/>
  <c r="F365" i="26" s="1"/>
  <c r="G362" i="26" s="1"/>
  <c r="G365" i="26" s="1"/>
  <c r="H362" i="26" s="1"/>
  <c r="H365" i="26" s="1"/>
  <c r="I362" i="26" s="1"/>
  <c r="K364" i="26"/>
  <c r="M332" i="26"/>
  <c r="S16" i="40"/>
  <c r="M218" i="26"/>
  <c r="O218" i="26" s="1"/>
  <c r="E233" i="26"/>
  <c r="E217" i="26"/>
  <c r="M216" i="26"/>
  <c r="E378" i="26"/>
  <c r="F375" i="26" s="1"/>
  <c r="K377" i="26"/>
  <c r="M149" i="26"/>
  <c r="J147" i="26"/>
  <c r="J148" i="26"/>
  <c r="I149" i="26"/>
  <c r="J149" i="26"/>
  <c r="F304" i="26"/>
  <c r="H307" i="26"/>
  <c r="I307" i="26"/>
  <c r="I311" i="26"/>
  <c r="J52" i="26"/>
  <c r="I150" i="26"/>
  <c r="X40" i="40"/>
  <c r="Y40" i="40" s="1"/>
  <c r="X37" i="40"/>
  <c r="Y37" i="40" s="1"/>
  <c r="N138" i="26"/>
  <c r="L216" i="26"/>
  <c r="L227" i="26" s="1"/>
  <c r="L39" i="26" s="1"/>
  <c r="L218" i="26"/>
  <c r="I216" i="26"/>
  <c r="I227" i="26" s="1"/>
  <c r="I39" i="26" s="1"/>
  <c r="K39" i="26" s="1"/>
  <c r="I218" i="26"/>
  <c r="K218" i="26" s="1"/>
  <c r="I217" i="26"/>
  <c r="K217" i="26" s="1"/>
  <c r="L217" i="26"/>
  <c r="L207" i="26"/>
  <c r="L87" i="26" s="1"/>
  <c r="E94" i="26"/>
  <c r="F92" i="26" s="1"/>
  <c r="F207" i="26"/>
  <c r="F87" i="26" s="1"/>
  <c r="F81" i="26"/>
  <c r="F83" i="26"/>
  <c r="E221" i="26"/>
  <c r="E224" i="26"/>
  <c r="E227" i="26"/>
  <c r="F216" i="26"/>
  <c r="F227" i="26" s="1"/>
  <c r="F39" i="26" s="1"/>
  <c r="F218" i="26"/>
  <c r="F217" i="26"/>
  <c r="E236" i="26"/>
  <c r="G207" i="26"/>
  <c r="G87" i="26" s="1"/>
  <c r="G81" i="26"/>
  <c r="G83" i="26" s="1"/>
  <c r="G216" i="26"/>
  <c r="G227" i="26" s="1"/>
  <c r="G39" i="26" s="1"/>
  <c r="G218" i="26"/>
  <c r="G217" i="26"/>
  <c r="H207" i="26"/>
  <c r="H87" i="26" s="1"/>
  <c r="H216" i="26"/>
  <c r="H218" i="26"/>
  <c r="H217" i="26"/>
  <c r="I207" i="26"/>
  <c r="I87" i="26" s="1"/>
  <c r="C260" i="26"/>
  <c r="C262" i="26"/>
  <c r="C263" i="26"/>
  <c r="C264" i="26"/>
  <c r="P99" i="26"/>
  <c r="P137" i="26"/>
  <c r="P173" i="26"/>
  <c r="P177" i="26"/>
  <c r="P183" i="26"/>
  <c r="P189" i="26"/>
  <c r="P194" i="26"/>
  <c r="R204" i="26"/>
  <c r="P200" i="26"/>
  <c r="P202" i="26"/>
  <c r="K86" i="26"/>
  <c r="N83" i="26"/>
  <c r="F268" i="26"/>
  <c r="F269" i="26"/>
  <c r="E145" i="26"/>
  <c r="E146" i="26"/>
  <c r="E147" i="26"/>
  <c r="E148" i="26"/>
  <c r="E149" i="26"/>
  <c r="E150" i="26"/>
  <c r="E322" i="26"/>
  <c r="E55" i="26" s="1"/>
  <c r="E311" i="26"/>
  <c r="E312" i="26" s="1"/>
  <c r="E51" i="26" s="1"/>
  <c r="E53" i="26" s="1"/>
  <c r="E40" i="26"/>
  <c r="E42" i="26"/>
  <c r="E294" i="26" s="1"/>
  <c r="F290" i="26" s="1"/>
  <c r="E206" i="26"/>
  <c r="E208" i="26"/>
  <c r="M207" i="26"/>
  <c r="K293" i="26"/>
  <c r="L307" i="26"/>
  <c r="M307" i="26"/>
  <c r="P58" i="26"/>
  <c r="M63" i="26"/>
  <c r="G250" i="26"/>
  <c r="O141" i="26"/>
  <c r="O137" i="26"/>
  <c r="O8" i="26"/>
  <c r="O34" i="26" s="1"/>
  <c r="O377" i="26"/>
  <c r="O363" i="26"/>
  <c r="O332" i="26"/>
  <c r="O195" i="26"/>
  <c r="O189" i="26"/>
  <c r="O183" i="26"/>
  <c r="O177" i="26"/>
  <c r="O173" i="26"/>
  <c r="O125" i="26"/>
  <c r="P101" i="26"/>
  <c r="P141" i="26" s="1"/>
  <c r="E16" i="26"/>
  <c r="E17" i="26" s="1"/>
  <c r="E19" i="26" s="1"/>
  <c r="E28" i="26" s="1"/>
  <c r="E29" i="26" s="1"/>
  <c r="N331" i="26"/>
  <c r="N330" i="26"/>
  <c r="N296" i="26"/>
  <c r="C276" i="26"/>
  <c r="C275" i="26"/>
  <c r="P246" i="26"/>
  <c r="N246" i="26"/>
  <c r="M246" i="26"/>
  <c r="L246" i="26"/>
  <c r="J246" i="26"/>
  <c r="I246" i="26"/>
  <c r="H246" i="26"/>
  <c r="G246" i="26"/>
  <c r="F246" i="26"/>
  <c r="E246" i="26"/>
  <c r="K332" i="26"/>
  <c r="J168" i="26"/>
  <c r="M8" i="40"/>
  <c r="G8" i="40"/>
  <c r="V42" i="40"/>
  <c r="C285" i="26"/>
  <c r="C280" i="26"/>
  <c r="C279" i="26"/>
  <c r="C278" i="26"/>
  <c r="C277" i="26"/>
  <c r="A236" i="26"/>
  <c r="K76" i="26"/>
  <c r="I322" i="26"/>
  <c r="I55" i="26" s="1"/>
  <c r="H322" i="26"/>
  <c r="H55" i="26" s="1"/>
  <c r="G322" i="26"/>
  <c r="G55" i="26" s="1"/>
  <c r="F322" i="26"/>
  <c r="F55" i="26" s="1"/>
  <c r="A199" i="26"/>
  <c r="A193" i="26"/>
  <c r="A187" i="26"/>
  <c r="A181" i="26"/>
  <c r="A175" i="26"/>
  <c r="N173" i="26"/>
  <c r="J173" i="26"/>
  <c r="K89" i="26"/>
  <c r="K82" i="26"/>
  <c r="K75" i="26"/>
  <c r="P301" i="26"/>
  <c r="N301" i="26"/>
  <c r="M301" i="26"/>
  <c r="L301" i="26"/>
  <c r="J301" i="26"/>
  <c r="I301" i="26"/>
  <c r="H301" i="26"/>
  <c r="G301" i="26"/>
  <c r="F301" i="26"/>
  <c r="E301" i="26"/>
  <c r="P327" i="26"/>
  <c r="N327" i="26"/>
  <c r="M327" i="26"/>
  <c r="L327" i="26"/>
  <c r="J327" i="26"/>
  <c r="I327" i="26"/>
  <c r="H327" i="26"/>
  <c r="G327" i="26"/>
  <c r="F327" i="26"/>
  <c r="E327" i="26"/>
  <c r="P214" i="26"/>
  <c r="N214" i="26"/>
  <c r="M214" i="26"/>
  <c r="L214" i="26"/>
  <c r="J214" i="26"/>
  <c r="I214" i="26"/>
  <c r="H214" i="26"/>
  <c r="G214" i="26"/>
  <c r="F214" i="26"/>
  <c r="E214" i="26"/>
  <c r="N99" i="26"/>
  <c r="J99" i="26"/>
  <c r="P70" i="26"/>
  <c r="N70" i="26"/>
  <c r="M70" i="26"/>
  <c r="L70" i="26"/>
  <c r="J70" i="26"/>
  <c r="I70" i="26"/>
  <c r="H70" i="26"/>
  <c r="G70" i="26"/>
  <c r="F70" i="26"/>
  <c r="E70" i="26"/>
  <c r="J34" i="26"/>
  <c r="H311" i="26"/>
  <c r="G311" i="26"/>
  <c r="F311" i="26"/>
  <c r="B37" i="40"/>
  <c r="K149" i="26"/>
  <c r="H150" i="26"/>
  <c r="G150" i="26"/>
  <c r="F150" i="26"/>
  <c r="K58" i="26"/>
  <c r="K60" i="26"/>
  <c r="F316" i="26"/>
  <c r="G316" i="26"/>
  <c r="G34" i="40"/>
  <c r="M34" i="40" s="1"/>
  <c r="G32" i="40"/>
  <c r="M32" i="40" s="1"/>
  <c r="A233" i="26"/>
  <c r="A227" i="26"/>
  <c r="A224" i="26"/>
  <c r="A221" i="26"/>
  <c r="E216" i="26"/>
  <c r="A162" i="26"/>
  <c r="A161" i="26"/>
  <c r="A160" i="26"/>
  <c r="A159" i="26"/>
  <c r="A158" i="26"/>
  <c r="L149" i="26"/>
  <c r="H149" i="26"/>
  <c r="G149" i="26"/>
  <c r="F149" i="26"/>
  <c r="A149" i="26"/>
  <c r="A148" i="26"/>
  <c r="A147" i="26"/>
  <c r="A146" i="26"/>
  <c r="A145" i="26"/>
  <c r="O40" i="40"/>
  <c r="L34" i="26"/>
  <c r="L316" i="26"/>
  <c r="I34" i="26"/>
  <c r="I316" i="26"/>
  <c r="M34" i="26"/>
  <c r="N34" i="26"/>
  <c r="P34" i="26"/>
  <c r="H34" i="26"/>
  <c r="G34" i="26"/>
  <c r="F34" i="26"/>
  <c r="E34" i="26"/>
  <c r="B39" i="40"/>
  <c r="B38" i="40"/>
  <c r="B35" i="40"/>
  <c r="B34" i="40"/>
  <c r="B33" i="40"/>
  <c r="B32" i="40"/>
  <c r="B31" i="40"/>
  <c r="B29" i="40"/>
  <c r="B27" i="40"/>
  <c r="B26" i="40"/>
  <c r="B25" i="40"/>
  <c r="B24" i="40"/>
  <c r="B23" i="40"/>
  <c r="B22" i="40"/>
  <c r="B20" i="40"/>
  <c r="B19" i="40"/>
  <c r="B18" i="40"/>
  <c r="B17" i="40"/>
  <c r="B16" i="40"/>
  <c r="B14" i="40"/>
  <c r="B13" i="40"/>
  <c r="B12" i="40"/>
  <c r="B11" i="40"/>
  <c r="B10" i="40"/>
  <c r="H63" i="26"/>
  <c r="W38" i="40"/>
  <c r="V38" i="40"/>
  <c r="G63" i="26"/>
  <c r="F63" i="26"/>
  <c r="L63" i="26"/>
  <c r="I63" i="26"/>
  <c r="K63" i="26" s="1"/>
  <c r="O89" i="26"/>
  <c r="P142" i="26"/>
  <c r="P162" i="26" s="1"/>
  <c r="P316" i="26"/>
  <c r="H316" i="26"/>
  <c r="N316" i="26" s="1"/>
  <c r="M316" i="26" s="1"/>
  <c r="P248" i="26"/>
  <c r="C281" i="26"/>
  <c r="C282" i="26"/>
  <c r="C283" i="26"/>
  <c r="C284" i="26"/>
  <c r="O367" i="26"/>
  <c r="K367" i="26"/>
  <c r="O358" i="26"/>
  <c r="O343" i="26"/>
  <c r="R287" i="26"/>
  <c r="N293" i="26" s="1"/>
  <c r="V45" i="40" l="1"/>
  <c r="J207" i="26"/>
  <c r="J87" i="26" s="1"/>
  <c r="K87" i="26" s="1"/>
  <c r="G9" i="45"/>
  <c r="H10" i="45" s="1"/>
  <c r="G145" i="26"/>
  <c r="G152" i="26" s="1"/>
  <c r="G52" i="26" s="1"/>
  <c r="F145" i="26"/>
  <c r="H269" i="26"/>
  <c r="H81" i="26"/>
  <c r="H83" i="26" s="1"/>
  <c r="O291" i="26"/>
  <c r="P195" i="26"/>
  <c r="F155" i="26"/>
  <c r="F85" i="26" s="1"/>
  <c r="F90" i="26" s="1"/>
  <c r="K363" i="26"/>
  <c r="E225" i="26"/>
  <c r="J332" i="26"/>
  <c r="K216" i="26"/>
  <c r="I81" i="26"/>
  <c r="K81" i="26" s="1"/>
  <c r="K83" i="26" s="1"/>
  <c r="F109" i="26"/>
  <c r="F159" i="26" s="1"/>
  <c r="M81" i="26"/>
  <c r="O81" i="26" s="1"/>
  <c r="I236" i="26"/>
  <c r="I50" i="26" s="1"/>
  <c r="K50" i="26" s="1"/>
  <c r="M269" i="26"/>
  <c r="O269" i="26" s="1"/>
  <c r="F190" i="26"/>
  <c r="F191" i="26" s="1"/>
  <c r="G188" i="26" s="1"/>
  <c r="G190" i="26" s="1"/>
  <c r="G191" i="26" s="1"/>
  <c r="H188" i="26" s="1"/>
  <c r="H190" i="26" s="1"/>
  <c r="P216" i="26"/>
  <c r="P291" i="26"/>
  <c r="L236" i="26"/>
  <c r="L50" i="26" s="1"/>
  <c r="E45" i="26"/>
  <c r="G236" i="26"/>
  <c r="G50" i="26" s="1"/>
  <c r="C258" i="26"/>
  <c r="M258" i="26" s="1"/>
  <c r="M279" i="26" s="1"/>
  <c r="M254" i="26"/>
  <c r="H254" i="26"/>
  <c r="H275" i="26" s="1"/>
  <c r="G254" i="26"/>
  <c r="G275" i="26" s="1"/>
  <c r="F254" i="26"/>
  <c r="F275" i="26" s="1"/>
  <c r="I254" i="26"/>
  <c r="I275" i="26" s="1"/>
  <c r="K275" i="26" s="1"/>
  <c r="L254" i="26"/>
  <c r="L275" i="26" s="1"/>
  <c r="I256" i="26"/>
  <c r="I277" i="26" s="1"/>
  <c r="K277" i="26" s="1"/>
  <c r="H256" i="26"/>
  <c r="H277" i="26" s="1"/>
  <c r="K291" i="26"/>
  <c r="L269" i="26"/>
  <c r="F221" i="26"/>
  <c r="F37" i="26" s="1"/>
  <c r="E228" i="26"/>
  <c r="I269" i="26"/>
  <c r="K269" i="26" s="1"/>
  <c r="F224" i="26"/>
  <c r="F38" i="26" s="1"/>
  <c r="I221" i="26"/>
  <c r="I37" i="26" s="1"/>
  <c r="K37" i="26" s="1"/>
  <c r="O99" i="26"/>
  <c r="O142" i="26" s="1"/>
  <c r="L221" i="26"/>
  <c r="L37" i="26" s="1"/>
  <c r="M280" i="26"/>
  <c r="P280" i="26" s="1"/>
  <c r="P259" i="26"/>
  <c r="I255" i="26"/>
  <c r="G255" i="26"/>
  <c r="G276" i="26" s="1"/>
  <c r="M255" i="26"/>
  <c r="L255" i="26"/>
  <c r="L276" i="26" s="1"/>
  <c r="H255" i="26"/>
  <c r="O293" i="26"/>
  <c r="P293" i="26"/>
  <c r="E207" i="26"/>
  <c r="E209" i="26" s="1"/>
  <c r="L224" i="26"/>
  <c r="L38" i="26" s="1"/>
  <c r="M217" i="26"/>
  <c r="F117" i="26"/>
  <c r="F160" i="26" s="1"/>
  <c r="F106" i="26"/>
  <c r="K99" i="26"/>
  <c r="K214" i="26"/>
  <c r="L256" i="26"/>
  <c r="L277" i="26" s="1"/>
  <c r="K301" i="26"/>
  <c r="O58" i="26"/>
  <c r="G269" i="26"/>
  <c r="F236" i="26"/>
  <c r="F50" i="26" s="1"/>
  <c r="O70" i="26"/>
  <c r="O301" i="26"/>
  <c r="P218" i="26"/>
  <c r="G224" i="26"/>
  <c r="G38" i="26" s="1"/>
  <c r="F233" i="26"/>
  <c r="F49" i="26" s="1"/>
  <c r="M256" i="26"/>
  <c r="O327" i="26"/>
  <c r="P307" i="26"/>
  <c r="O214" i="26"/>
  <c r="O246" i="26"/>
  <c r="G221" i="26"/>
  <c r="G37" i="26" s="1"/>
  <c r="G233" i="26"/>
  <c r="F126" i="26"/>
  <c r="F307" i="26" s="1"/>
  <c r="F184" i="26"/>
  <c r="F185" i="26" s="1"/>
  <c r="G182" i="26" s="1"/>
  <c r="U42" i="40"/>
  <c r="K195" i="26"/>
  <c r="K197" i="26" s="1"/>
  <c r="L194" i="26" s="1"/>
  <c r="K207" i="26"/>
  <c r="E152" i="26"/>
  <c r="E151" i="26"/>
  <c r="P60" i="26"/>
  <c r="O60" i="26"/>
  <c r="F152" i="26"/>
  <c r="F52" i="26" s="1"/>
  <c r="M227" i="26"/>
  <c r="O216" i="26"/>
  <c r="M236" i="26"/>
  <c r="M221" i="26"/>
  <c r="E237" i="26"/>
  <c r="E222" i="26"/>
  <c r="P250" i="26"/>
  <c r="H250" i="26"/>
  <c r="I250" i="26" s="1"/>
  <c r="K250" i="26" s="1"/>
  <c r="L250" i="26" s="1"/>
  <c r="M250" i="26" s="1"/>
  <c r="O250" i="26" s="1"/>
  <c r="N332" i="26"/>
  <c r="E234" i="26"/>
  <c r="K362" i="26"/>
  <c r="I365" i="26"/>
  <c r="H236" i="26"/>
  <c r="H50" i="26" s="1"/>
  <c r="H221" i="26"/>
  <c r="H227" i="26"/>
  <c r="H39" i="26" s="1"/>
  <c r="I224" i="26"/>
  <c r="I233" i="26"/>
  <c r="R198" i="26"/>
  <c r="K173" i="26"/>
  <c r="K34" i="26"/>
  <c r="K70" i="26"/>
  <c r="K246" i="26"/>
  <c r="G37" i="40"/>
  <c r="O138" i="26"/>
  <c r="O139" i="26" s="1"/>
  <c r="O149" i="26" s="1"/>
  <c r="P138" i="26"/>
  <c r="P139" i="26" s="1"/>
  <c r="P149" i="26" s="1"/>
  <c r="H131" i="26"/>
  <c r="P129" i="26"/>
  <c r="R257" i="26"/>
  <c r="H224" i="26"/>
  <c r="H38" i="26" s="1"/>
  <c r="H233" i="26"/>
  <c r="F178" i="26"/>
  <c r="L257" i="26"/>
  <c r="L278" i="26" s="1"/>
  <c r="I257" i="26"/>
  <c r="M257" i="26"/>
  <c r="F114" i="26"/>
  <c r="P12" i="26"/>
  <c r="I46" i="43" l="1"/>
  <c r="S44" i="40"/>
  <c r="Y44" i="40" s="1"/>
  <c r="P81" i="26"/>
  <c r="K365" i="26"/>
  <c r="L362" i="26" s="1"/>
  <c r="I83" i="26"/>
  <c r="K254" i="26"/>
  <c r="K256" i="26"/>
  <c r="L258" i="26"/>
  <c r="P258" i="26" s="1"/>
  <c r="P254" i="26"/>
  <c r="M275" i="26"/>
  <c r="O275" i="26" s="1"/>
  <c r="O254" i="26"/>
  <c r="P269" i="26"/>
  <c r="F230" i="26"/>
  <c r="M276" i="26"/>
  <c r="O276" i="26" s="1"/>
  <c r="O255" i="26"/>
  <c r="I276" i="26"/>
  <c r="K276" i="26" s="1"/>
  <c r="K255" i="26"/>
  <c r="P217" i="26"/>
  <c r="O217" i="26"/>
  <c r="F239" i="26"/>
  <c r="P256" i="26"/>
  <c r="M277" i="26"/>
  <c r="O277" i="26" s="1"/>
  <c r="O256" i="26"/>
  <c r="M224" i="26"/>
  <c r="P224" i="26" s="1"/>
  <c r="F146" i="26"/>
  <c r="G104" i="26"/>
  <c r="G230" i="26"/>
  <c r="E153" i="26"/>
  <c r="E57" i="26" s="1"/>
  <c r="E61" i="26" s="1"/>
  <c r="E65" i="26" s="1"/>
  <c r="P255" i="26"/>
  <c r="H276" i="26"/>
  <c r="H230" i="26"/>
  <c r="P188" i="26"/>
  <c r="G239" i="26"/>
  <c r="G49" i="26"/>
  <c r="F208" i="26"/>
  <c r="F74" i="26" s="1"/>
  <c r="F123" i="26"/>
  <c r="G120" i="26" s="1"/>
  <c r="F161" i="26"/>
  <c r="S38" i="40"/>
  <c r="P130" i="26"/>
  <c r="P131" i="26" s="1"/>
  <c r="P145" i="26" s="1"/>
  <c r="O130" i="26"/>
  <c r="F179" i="26"/>
  <c r="G176" i="26" s="1"/>
  <c r="G178" i="26" s="1"/>
  <c r="G112" i="26"/>
  <c r="F147" i="26"/>
  <c r="L196" i="26"/>
  <c r="E44" i="26"/>
  <c r="F206" i="26"/>
  <c r="H239" i="26"/>
  <c r="H49" i="26"/>
  <c r="R258" i="26"/>
  <c r="I230" i="26"/>
  <c r="H37" i="26"/>
  <c r="K129" i="26"/>
  <c r="K131" i="26" s="1"/>
  <c r="I129" i="26"/>
  <c r="H145" i="26"/>
  <c r="I239" i="26"/>
  <c r="I49" i="26"/>
  <c r="H191" i="26"/>
  <c r="P227" i="26"/>
  <c r="P228" i="26" s="1"/>
  <c r="M39" i="26"/>
  <c r="I38" i="26"/>
  <c r="K38" i="26" s="1"/>
  <c r="L230" i="26"/>
  <c r="I278" i="26"/>
  <c r="K257" i="26"/>
  <c r="P257" i="26"/>
  <c r="M50" i="26"/>
  <c r="P236" i="26"/>
  <c r="P237" i="26" s="1"/>
  <c r="M278" i="26"/>
  <c r="O278" i="26" s="1"/>
  <c r="O257" i="26"/>
  <c r="G184" i="26"/>
  <c r="G185" i="26" s="1"/>
  <c r="H182" i="26" s="1"/>
  <c r="M234" i="26"/>
  <c r="M233" i="26" s="1"/>
  <c r="L234" i="26"/>
  <c r="L233" i="26" s="1"/>
  <c r="P221" i="26"/>
  <c r="P222" i="26" s="1"/>
  <c r="M37" i="26"/>
  <c r="J47" i="43" l="1"/>
  <c r="Y24" i="40" s="1"/>
  <c r="P225" i="26"/>
  <c r="L279" i="26"/>
  <c r="P279" i="26" s="1"/>
  <c r="F241" i="26"/>
  <c r="F78" i="26" s="1"/>
  <c r="M38" i="26"/>
  <c r="G12" i="40" s="1"/>
  <c r="M12" i="40" s="1"/>
  <c r="M230" i="26"/>
  <c r="P276" i="26"/>
  <c r="E43" i="26"/>
  <c r="F43" i="26" s="1"/>
  <c r="G43" i="26" s="1"/>
  <c r="H43" i="26" s="1"/>
  <c r="I43" i="26" s="1"/>
  <c r="P275" i="26"/>
  <c r="H241" i="26"/>
  <c r="H78" i="26" s="1"/>
  <c r="F166" i="26"/>
  <c r="F306" i="26"/>
  <c r="G241" i="26"/>
  <c r="G78" i="26" s="1"/>
  <c r="G109" i="26"/>
  <c r="G159" i="26" s="1"/>
  <c r="G105" i="26"/>
  <c r="G106" i="26" s="1"/>
  <c r="P277" i="26"/>
  <c r="F209" i="26"/>
  <c r="G206" i="26" s="1"/>
  <c r="F148" i="26"/>
  <c r="F151" i="26" s="1"/>
  <c r="F153" i="26" s="1"/>
  <c r="F57" i="26" s="1"/>
  <c r="F163" i="26"/>
  <c r="F164" i="26" s="1"/>
  <c r="F22" i="26" s="1"/>
  <c r="G208" i="26"/>
  <c r="G163" i="26" s="1"/>
  <c r="G167" i="26" s="1"/>
  <c r="F305" i="26"/>
  <c r="X36" i="40"/>
  <c r="Y36" i="40" s="1"/>
  <c r="U38" i="40"/>
  <c r="U45" i="40" s="1"/>
  <c r="P37" i="26"/>
  <c r="O37" i="26"/>
  <c r="G11" i="40"/>
  <c r="M11" i="40" s="1"/>
  <c r="P182" i="26"/>
  <c r="H184" i="26"/>
  <c r="H185" i="26" s="1"/>
  <c r="K49" i="26"/>
  <c r="G117" i="26"/>
  <c r="G160" i="26" s="1"/>
  <c r="G113" i="26"/>
  <c r="L239" i="26"/>
  <c r="L241" i="26" s="1"/>
  <c r="L78" i="26" s="1"/>
  <c r="L49" i="26"/>
  <c r="I241" i="26"/>
  <c r="I78" i="26" s="1"/>
  <c r="K78" i="26" s="1"/>
  <c r="L129" i="26"/>
  <c r="K145" i="26"/>
  <c r="K278" i="26"/>
  <c r="P278" i="26"/>
  <c r="P39" i="26"/>
  <c r="G13" i="40"/>
  <c r="M13" i="40" s="1"/>
  <c r="O39" i="26"/>
  <c r="R259" i="26"/>
  <c r="H152" i="26"/>
  <c r="H52" i="26" s="1"/>
  <c r="L197" i="26"/>
  <c r="M49" i="26"/>
  <c r="P233" i="26"/>
  <c r="P234" i="26" s="1"/>
  <c r="M239" i="26"/>
  <c r="G126" i="26"/>
  <c r="I134" i="26"/>
  <c r="I131" i="26"/>
  <c r="I145" i="26" s="1"/>
  <c r="G24" i="40"/>
  <c r="M24" i="40" s="1"/>
  <c r="P50" i="26"/>
  <c r="O50" i="26"/>
  <c r="K188" i="26"/>
  <c r="I188" i="26"/>
  <c r="G179" i="26"/>
  <c r="H176" i="26" s="1"/>
  <c r="P38" i="26" l="1"/>
  <c r="O38" i="26"/>
  <c r="E46" i="26"/>
  <c r="E66" i="26" s="1"/>
  <c r="G209" i="26"/>
  <c r="G44" i="26" s="1"/>
  <c r="F309" i="26"/>
  <c r="G304" i="26" s="1"/>
  <c r="F44" i="26"/>
  <c r="F167" i="26"/>
  <c r="F168" i="26" s="1"/>
  <c r="M241" i="26"/>
  <c r="M78" i="26" s="1"/>
  <c r="O78" i="26" s="1"/>
  <c r="G155" i="26"/>
  <c r="G85" i="26" s="1"/>
  <c r="G90" i="26" s="1"/>
  <c r="H104" i="26"/>
  <c r="G146" i="26"/>
  <c r="G114" i="26"/>
  <c r="G147" i="26" s="1"/>
  <c r="G74" i="26"/>
  <c r="X38" i="40"/>
  <c r="Y38" i="40" s="1"/>
  <c r="I182" i="26"/>
  <c r="K182" i="26"/>
  <c r="G161" i="26"/>
  <c r="G306" i="26" s="1"/>
  <c r="R260" i="26"/>
  <c r="L131" i="26"/>
  <c r="L134" i="26"/>
  <c r="L158" i="26" s="1"/>
  <c r="L43" i="26"/>
  <c r="M43" i="26" s="1"/>
  <c r="K43" i="26"/>
  <c r="G23" i="40"/>
  <c r="P49" i="26"/>
  <c r="O49" i="26"/>
  <c r="M194" i="26"/>
  <c r="O194" i="26"/>
  <c r="I190" i="26"/>
  <c r="I152" i="26"/>
  <c r="I52" i="26" s="1"/>
  <c r="K52" i="26" s="1"/>
  <c r="P176" i="26"/>
  <c r="H178" i="26"/>
  <c r="I158" i="26"/>
  <c r="K152" i="26"/>
  <c r="F312" i="26" l="1"/>
  <c r="F51" i="26" s="1"/>
  <c r="F53" i="26" s="1"/>
  <c r="H206" i="26"/>
  <c r="P206" i="26" s="1"/>
  <c r="H112" i="26"/>
  <c r="H113" i="26" s="1"/>
  <c r="H114" i="26" s="1"/>
  <c r="P78" i="26"/>
  <c r="P104" i="26"/>
  <c r="H105" i="26"/>
  <c r="H106" i="26" s="1"/>
  <c r="H109" i="26"/>
  <c r="H159" i="26" s="1"/>
  <c r="G166" i="26"/>
  <c r="G168" i="26" s="1"/>
  <c r="G305" i="26"/>
  <c r="G164" i="26"/>
  <c r="G22" i="26" s="1"/>
  <c r="M23" i="40"/>
  <c r="H208" i="26"/>
  <c r="G307" i="26"/>
  <c r="G123" i="26"/>
  <c r="G17" i="40"/>
  <c r="K190" i="26"/>
  <c r="K191" i="26" s="1"/>
  <c r="L188" i="26" s="1"/>
  <c r="K158" i="26"/>
  <c r="M196" i="26"/>
  <c r="R261" i="26"/>
  <c r="I191" i="26"/>
  <c r="H179" i="26"/>
  <c r="M129" i="26"/>
  <c r="O129" i="26"/>
  <c r="O131" i="26" s="1"/>
  <c r="O145" i="26" s="1"/>
  <c r="L145" i="26"/>
  <c r="I184" i="26"/>
  <c r="H117" i="26" l="1"/>
  <c r="H160" i="26" s="1"/>
  <c r="K104" i="26"/>
  <c r="I104" i="26"/>
  <c r="H146" i="26"/>
  <c r="G309" i="26"/>
  <c r="H304" i="26" s="1"/>
  <c r="K184" i="26"/>
  <c r="K185" i="26" s="1"/>
  <c r="L182" i="26" s="1"/>
  <c r="H163" i="26"/>
  <c r="H167" i="26" s="1"/>
  <c r="H74" i="26"/>
  <c r="R262" i="26"/>
  <c r="I185" i="26"/>
  <c r="O152" i="26"/>
  <c r="M134" i="26"/>
  <c r="M131" i="26"/>
  <c r="M145" i="26" s="1"/>
  <c r="H209" i="26"/>
  <c r="H120" i="26"/>
  <c r="G148" i="26"/>
  <c r="G151" i="26" s="1"/>
  <c r="G153" i="26" s="1"/>
  <c r="G57" i="26" s="1"/>
  <c r="H155" i="26"/>
  <c r="H85" i="26" s="1"/>
  <c r="L152" i="26"/>
  <c r="L52" i="26" s="1"/>
  <c r="L190" i="26"/>
  <c r="L191" i="26" s="1"/>
  <c r="M197" i="26"/>
  <c r="O196" i="26" s="1"/>
  <c r="O197" i="26" s="1"/>
  <c r="I112" i="26"/>
  <c r="K112" i="26"/>
  <c r="H147" i="26"/>
  <c r="K176" i="26"/>
  <c r="I176" i="26"/>
  <c r="I105" i="26" l="1"/>
  <c r="I106" i="26" s="1"/>
  <c r="I109" i="26"/>
  <c r="I159" i="26" s="1"/>
  <c r="K159" i="26" s="1"/>
  <c r="G312" i="26"/>
  <c r="G51" i="26" s="1"/>
  <c r="G53" i="26" s="1"/>
  <c r="P196" i="26"/>
  <c r="P197" i="26" s="1"/>
  <c r="M158" i="26"/>
  <c r="P134" i="26"/>
  <c r="P158" i="26" s="1"/>
  <c r="L184" i="26"/>
  <c r="I117" i="26"/>
  <c r="I113" i="26"/>
  <c r="I206" i="26"/>
  <c r="H44" i="26"/>
  <c r="K206" i="26"/>
  <c r="R263" i="26"/>
  <c r="M188" i="26"/>
  <c r="O188" i="26"/>
  <c r="M152" i="26"/>
  <c r="M52" i="26" s="1"/>
  <c r="H90" i="26"/>
  <c r="H126" i="26"/>
  <c r="H123" i="26"/>
  <c r="P120" i="26"/>
  <c r="I178" i="26"/>
  <c r="P304" i="26"/>
  <c r="I146" i="26" l="1"/>
  <c r="J105" i="26"/>
  <c r="M190" i="26"/>
  <c r="I208" i="26"/>
  <c r="I209" i="26" s="1"/>
  <c r="I44" i="26" s="1"/>
  <c r="I179" i="26"/>
  <c r="K113" i="26"/>
  <c r="K114" i="26" s="1"/>
  <c r="I155" i="26"/>
  <c r="I85" i="26" s="1"/>
  <c r="H161" i="26"/>
  <c r="I160" i="26"/>
  <c r="O158" i="26"/>
  <c r="K120" i="26"/>
  <c r="K123" i="26" s="1"/>
  <c r="I120" i="26"/>
  <c r="H148" i="26"/>
  <c r="H151" i="26" s="1"/>
  <c r="H153" i="26" s="1"/>
  <c r="H57" i="26" s="1"/>
  <c r="R264" i="26"/>
  <c r="I114" i="26"/>
  <c r="P52" i="26"/>
  <c r="O52" i="26"/>
  <c r="G26" i="40"/>
  <c r="M26" i="40" s="1"/>
  <c r="L185" i="26"/>
  <c r="H166" i="26" l="1"/>
  <c r="H306" i="26"/>
  <c r="K105" i="26"/>
  <c r="K106" i="26" s="1"/>
  <c r="J85" i="26"/>
  <c r="J90" i="26" s="1"/>
  <c r="J146" i="26"/>
  <c r="G12" i="45" s="1"/>
  <c r="H13" i="45" s="1"/>
  <c r="K179" i="26"/>
  <c r="L176" i="26" s="1"/>
  <c r="L178" i="26" s="1"/>
  <c r="L179" i="26" s="1"/>
  <c r="R265" i="26"/>
  <c r="K208" i="26"/>
  <c r="K209" i="26" s="1"/>
  <c r="L206" i="26" s="1"/>
  <c r="I74" i="26"/>
  <c r="I163" i="26"/>
  <c r="M182" i="26"/>
  <c r="O182" i="26"/>
  <c r="I123" i="26"/>
  <c r="I126" i="26"/>
  <c r="I90" i="26"/>
  <c r="K160" i="26"/>
  <c r="L112" i="26"/>
  <c r="K147" i="26"/>
  <c r="G19" i="45" s="1"/>
  <c r="I43" i="40" s="1"/>
  <c r="K148" i="26"/>
  <c r="G20" i="45" s="1"/>
  <c r="I44" i="40" s="1"/>
  <c r="L120" i="26"/>
  <c r="I147" i="26"/>
  <c r="G43" i="40"/>
  <c r="H305" i="26"/>
  <c r="H164" i="26"/>
  <c r="H22" i="26" s="1"/>
  <c r="J163" i="26"/>
  <c r="J74" i="26"/>
  <c r="J44" i="26"/>
  <c r="K44" i="26" s="1"/>
  <c r="K85" i="26" l="1"/>
  <c r="K90" i="26" s="1"/>
  <c r="L104" i="26"/>
  <c r="K146" i="26"/>
  <c r="K74" i="26"/>
  <c r="M176" i="26"/>
  <c r="O176" i="26"/>
  <c r="H309" i="26"/>
  <c r="L208" i="26"/>
  <c r="L209" i="26" s="1"/>
  <c r="H168" i="26"/>
  <c r="I148" i="26"/>
  <c r="J57" i="26" s="1"/>
  <c r="G44" i="40"/>
  <c r="J321" i="26"/>
  <c r="I167" i="26"/>
  <c r="K163" i="26"/>
  <c r="I161" i="26"/>
  <c r="K126" i="26"/>
  <c r="K166" i="26"/>
  <c r="M43" i="40"/>
  <c r="L117" i="26"/>
  <c r="L113" i="26"/>
  <c r="M184" i="26"/>
  <c r="M185" i="26" s="1"/>
  <c r="J22" i="26"/>
  <c r="J164" i="26"/>
  <c r="L123" i="26"/>
  <c r="L161" i="26"/>
  <c r="R266" i="26"/>
  <c r="K321" i="26" l="1"/>
  <c r="H21" i="45"/>
  <c r="J23" i="26"/>
  <c r="G15" i="45"/>
  <c r="H16" i="45" s="1"/>
  <c r="L105" i="26"/>
  <c r="L155" i="26" s="1"/>
  <c r="L85" i="26" s="1"/>
  <c r="L109" i="26"/>
  <c r="L159" i="26" s="1"/>
  <c r="I166" i="26"/>
  <c r="I306" i="26"/>
  <c r="K150" i="26"/>
  <c r="K151" i="26" s="1"/>
  <c r="K153" i="26" s="1"/>
  <c r="L321" i="26"/>
  <c r="I151" i="26"/>
  <c r="I153" i="26" s="1"/>
  <c r="I57" i="26" s="1"/>
  <c r="M206" i="26"/>
  <c r="O206" i="26"/>
  <c r="L44" i="26"/>
  <c r="P190" i="26"/>
  <c r="P191" i="26" s="1"/>
  <c r="O190" i="26"/>
  <c r="O191" i="26" s="1"/>
  <c r="K161" i="26"/>
  <c r="I164" i="26"/>
  <c r="I22" i="26" s="1"/>
  <c r="I305" i="26"/>
  <c r="R267" i="26"/>
  <c r="L163" i="26"/>
  <c r="L167" i="26" s="1"/>
  <c r="L74" i="26"/>
  <c r="L148" i="26"/>
  <c r="M120" i="26"/>
  <c r="O120" i="26"/>
  <c r="L160" i="26"/>
  <c r="J334" i="26"/>
  <c r="H312" i="26"/>
  <c r="H51" i="26" s="1"/>
  <c r="H53" i="26" s="1"/>
  <c r="I304" i="26"/>
  <c r="O184" i="26"/>
  <c r="O185" i="26" s="1"/>
  <c r="L114" i="26"/>
  <c r="M44" i="40"/>
  <c r="M178" i="26"/>
  <c r="L306" i="26" l="1"/>
  <c r="L106" i="26"/>
  <c r="I309" i="26"/>
  <c r="I312" i="26" s="1"/>
  <c r="K22" i="26"/>
  <c r="M123" i="26"/>
  <c r="M148" i="26" s="1"/>
  <c r="M126" i="26"/>
  <c r="I168" i="26"/>
  <c r="M208" i="26"/>
  <c r="O178" i="26"/>
  <c r="O179" i="26" s="1"/>
  <c r="P178" i="26"/>
  <c r="P179" i="26" s="1"/>
  <c r="K164" i="26"/>
  <c r="L90" i="26"/>
  <c r="M321" i="26"/>
  <c r="L150" i="26"/>
  <c r="J336" i="26"/>
  <c r="R268" i="26"/>
  <c r="M112" i="26"/>
  <c r="L147" i="26"/>
  <c r="P184" i="26"/>
  <c r="P185" i="26" s="1"/>
  <c r="N321" i="26"/>
  <c r="M179" i="26"/>
  <c r="L305" i="26"/>
  <c r="L166" i="26"/>
  <c r="L164" i="26"/>
  <c r="L22" i="26" s="1"/>
  <c r="N163" i="26" l="1"/>
  <c r="J320" i="26"/>
  <c r="G45" i="40"/>
  <c r="M104" i="26"/>
  <c r="L146" i="26"/>
  <c r="L151" i="26"/>
  <c r="L153" i="26" s="1"/>
  <c r="L57" i="26" s="1"/>
  <c r="L304" i="26"/>
  <c r="L309" i="26" s="1"/>
  <c r="M161" i="26"/>
  <c r="O126" i="26"/>
  <c r="P126" i="26"/>
  <c r="P161" i="26" s="1"/>
  <c r="M150" i="26"/>
  <c r="O321" i="26"/>
  <c r="M113" i="26"/>
  <c r="M117" i="26"/>
  <c r="J347" i="26"/>
  <c r="J338" i="26"/>
  <c r="R269" i="26"/>
  <c r="L168" i="26"/>
  <c r="M163" i="26"/>
  <c r="O208" i="26"/>
  <c r="M74" i="26"/>
  <c r="O74" i="26" s="1"/>
  <c r="P208" i="26"/>
  <c r="M209" i="26"/>
  <c r="M44" i="26" s="1"/>
  <c r="I51" i="26"/>
  <c r="K168" i="26"/>
  <c r="M105" i="26" l="1"/>
  <c r="M109" i="26"/>
  <c r="O161" i="26"/>
  <c r="P74" i="26"/>
  <c r="O147" i="26"/>
  <c r="P113" i="26"/>
  <c r="P114" i="26" s="1"/>
  <c r="P147" i="26" s="1"/>
  <c r="M304" i="26"/>
  <c r="N344" i="26"/>
  <c r="P321" i="26"/>
  <c r="P150" i="26" s="1"/>
  <c r="O150" i="26"/>
  <c r="M167" i="26"/>
  <c r="P167" i="26" s="1"/>
  <c r="O163" i="26"/>
  <c r="J55" i="26"/>
  <c r="J51" i="26"/>
  <c r="J53" i="26" s="1"/>
  <c r="K320" i="26"/>
  <c r="J348" i="26"/>
  <c r="J356" i="26" s="1"/>
  <c r="J371" i="26" s="1"/>
  <c r="N308" i="26"/>
  <c r="P308" i="26" s="1"/>
  <c r="N320" i="26"/>
  <c r="N322" i="26" s="1"/>
  <c r="G46" i="40"/>
  <c r="G29" i="40" s="1"/>
  <c r="M160" i="26"/>
  <c r="P117" i="26"/>
  <c r="P160" i="26" s="1"/>
  <c r="I53" i="26"/>
  <c r="J26" i="26"/>
  <c r="J339" i="26"/>
  <c r="S254" i="26"/>
  <c r="S255" i="26"/>
  <c r="G253" i="26" s="1"/>
  <c r="S256" i="26"/>
  <c r="P253" i="26" s="1"/>
  <c r="S257" i="26"/>
  <c r="S258" i="26"/>
  <c r="S259" i="26"/>
  <c r="S260" i="26"/>
  <c r="S261" i="26"/>
  <c r="S262" i="26"/>
  <c r="S263" i="26"/>
  <c r="S264" i="26"/>
  <c r="S265" i="26"/>
  <c r="S266" i="26"/>
  <c r="S267" i="26"/>
  <c r="G18" i="40"/>
  <c r="Y18" i="40" s="1"/>
  <c r="S268" i="26"/>
  <c r="M114" i="26"/>
  <c r="M147" i="26" s="1"/>
  <c r="J31" i="43" l="1"/>
  <c r="B10" i="44"/>
  <c r="B11" i="44" s="1"/>
  <c r="M159" i="26"/>
  <c r="P109" i="26"/>
  <c r="P159" i="26" s="1"/>
  <c r="M106" i="26"/>
  <c r="M146" i="26" s="1"/>
  <c r="O105" i="26"/>
  <c r="O106" i="26" s="1"/>
  <c r="O146" i="26" s="1"/>
  <c r="P105" i="26"/>
  <c r="P106" i="26" s="1"/>
  <c r="P146" i="26" s="1"/>
  <c r="M151" i="26"/>
  <c r="M153" i="26" s="1"/>
  <c r="M57" i="26" s="1"/>
  <c r="G31" i="40" s="1"/>
  <c r="M155" i="26"/>
  <c r="M85" i="26" s="1"/>
  <c r="P164" i="26"/>
  <c r="M45" i="40"/>
  <c r="M46" i="40" s="1"/>
  <c r="J61" i="26"/>
  <c r="J350" i="26"/>
  <c r="J352" i="26" s="1"/>
  <c r="J64" i="26"/>
  <c r="J72" i="26"/>
  <c r="K51" i="26"/>
  <c r="K53" i="26" s="1"/>
  <c r="J45" i="26"/>
  <c r="G24" i="45" s="1"/>
  <c r="H25" i="45" s="1"/>
  <c r="S269" i="26"/>
  <c r="F253" i="26"/>
  <c r="S42" i="40"/>
  <c r="L253" i="26"/>
  <c r="H253" i="26"/>
  <c r="I253" i="26"/>
  <c r="P265" i="26"/>
  <c r="M253" i="26"/>
  <c r="G274" i="26"/>
  <c r="G287" i="26" s="1"/>
  <c r="G292" i="26" s="1"/>
  <c r="G265" i="26"/>
  <c r="O160" i="26"/>
  <c r="M305" i="26"/>
  <c r="P305" i="26" s="1"/>
  <c r="M166" i="26"/>
  <c r="M164" i="26"/>
  <c r="M22" i="26" s="1"/>
  <c r="K322" i="26"/>
  <c r="K55" i="26" s="1"/>
  <c r="L320" i="26"/>
  <c r="I18" i="40" l="1"/>
  <c r="M18" i="40" s="1"/>
  <c r="I30" i="43"/>
  <c r="O159" i="26"/>
  <c r="O164" i="26" s="1"/>
  <c r="M306" i="26"/>
  <c r="P306" i="26" s="1"/>
  <c r="P309" i="26" s="1"/>
  <c r="J65" i="26"/>
  <c r="O22" i="26"/>
  <c r="P22" i="26"/>
  <c r="M320" i="26"/>
  <c r="L322" i="26"/>
  <c r="L55" i="26" s="1"/>
  <c r="L311" i="26"/>
  <c r="L312" i="26" s="1"/>
  <c r="L51" i="26" s="1"/>
  <c r="L53" i="26" s="1"/>
  <c r="S45" i="40"/>
  <c r="O121" i="26"/>
  <c r="O123" i="26" s="1"/>
  <c r="O148" i="26" s="1"/>
  <c r="O151" i="26" s="1"/>
  <c r="O153" i="26" s="1"/>
  <c r="P121" i="26"/>
  <c r="P123" i="26" s="1"/>
  <c r="P148" i="26" s="1"/>
  <c r="P151" i="26" s="1"/>
  <c r="P153" i="26" s="1"/>
  <c r="F265" i="26"/>
  <c r="F274" i="26"/>
  <c r="F287" i="26" s="1"/>
  <c r="F292" i="26" s="1"/>
  <c r="F294" i="26" s="1"/>
  <c r="G290" i="26" s="1"/>
  <c r="G294" i="26" s="1"/>
  <c r="H290" i="26" s="1"/>
  <c r="M168" i="26"/>
  <c r="P166" i="26"/>
  <c r="P168" i="26" s="1"/>
  <c r="L265" i="26"/>
  <c r="L274" i="26"/>
  <c r="L287" i="26" s="1"/>
  <c r="L292" i="26" s="1"/>
  <c r="G16" i="26"/>
  <c r="G17" i="26" s="1"/>
  <c r="G19" i="26" s="1"/>
  <c r="G296" i="26"/>
  <c r="G342" i="26" s="1"/>
  <c r="G344" i="26" s="1"/>
  <c r="G73" i="26"/>
  <c r="G270" i="26"/>
  <c r="M274" i="26"/>
  <c r="M265" i="26"/>
  <c r="O253" i="26"/>
  <c r="O265" i="26" s="1"/>
  <c r="I274" i="26"/>
  <c r="I265" i="26"/>
  <c r="K253" i="26"/>
  <c r="K265" i="26" s="1"/>
  <c r="H265" i="26"/>
  <c r="H274" i="26"/>
  <c r="O166" i="26"/>
  <c r="O168" i="26" s="1"/>
  <c r="N44" i="26" l="1"/>
  <c r="M309" i="26"/>
  <c r="K274" i="26"/>
  <c r="K287" i="26" s="1"/>
  <c r="K296" i="26" s="1"/>
  <c r="K342" i="26" s="1"/>
  <c r="K344" i="26" s="1"/>
  <c r="I287" i="26"/>
  <c r="I292" i="26" s="1"/>
  <c r="K292" i="26" s="1"/>
  <c r="G23" i="26"/>
  <c r="G28" i="26"/>
  <c r="G29" i="26" s="1"/>
  <c r="I73" i="26"/>
  <c r="K73" i="26" s="1"/>
  <c r="I296" i="26"/>
  <c r="I342" i="26" s="1"/>
  <c r="I344" i="26" s="1"/>
  <c r="I16" i="26"/>
  <c r="I270" i="26"/>
  <c r="K270" i="26" s="1"/>
  <c r="P290" i="26"/>
  <c r="M270" i="26"/>
  <c r="O270" i="26" s="1"/>
  <c r="M73" i="26"/>
  <c r="O73" i="26" s="1"/>
  <c r="M16" i="26"/>
  <c r="M311" i="26"/>
  <c r="O320" i="26"/>
  <c r="M322" i="26"/>
  <c r="M55" i="26" s="1"/>
  <c r="F16" i="26"/>
  <c r="F17" i="26" s="1"/>
  <c r="F19" i="26" s="1"/>
  <c r="F73" i="26"/>
  <c r="F270" i="26"/>
  <c r="F271" i="26" s="1"/>
  <c r="F296" i="26"/>
  <c r="F342" i="26" s="1"/>
  <c r="F344" i="26" s="1"/>
  <c r="H287" i="26"/>
  <c r="H292" i="26" s="1"/>
  <c r="P274" i="26"/>
  <c r="P287" i="26" s="1"/>
  <c r="P296" i="26" s="1"/>
  <c r="H16" i="26"/>
  <c r="H296" i="26"/>
  <c r="H342" i="26" s="1"/>
  <c r="H344" i="26" s="1"/>
  <c r="H73" i="26"/>
  <c r="H270" i="26"/>
  <c r="L270" i="26"/>
  <c r="L296" i="26"/>
  <c r="L342" i="26" s="1"/>
  <c r="L344" i="26" s="1"/>
  <c r="L73" i="26"/>
  <c r="L16" i="26"/>
  <c r="L17" i="26" s="1"/>
  <c r="L19" i="26" s="1"/>
  <c r="M287" i="26"/>
  <c r="M292" i="26" s="1"/>
  <c r="O292" i="26" s="1"/>
  <c r="O274" i="26"/>
  <c r="O287" i="26" s="1"/>
  <c r="O296" i="26" s="1"/>
  <c r="P44" i="26" l="1"/>
  <c r="O44" i="26"/>
  <c r="M312" i="26"/>
  <c r="M51" i="26" s="1"/>
  <c r="P51" i="26" s="1"/>
  <c r="P53" i="26" s="1"/>
  <c r="M296" i="26"/>
  <c r="M342" i="26" s="1"/>
  <c r="M344" i="26" s="1"/>
  <c r="N345" i="26" s="1"/>
  <c r="F345" i="26"/>
  <c r="I345" i="26"/>
  <c r="H345" i="26"/>
  <c r="J345" i="26"/>
  <c r="K345" i="26"/>
  <c r="L345" i="26"/>
  <c r="G345" i="26"/>
  <c r="G268" i="26"/>
  <c r="G271" i="26" s="1"/>
  <c r="F42" i="26"/>
  <c r="I17" i="26"/>
  <c r="I19" i="26" s="1"/>
  <c r="K16" i="26"/>
  <c r="K17" i="26" s="1"/>
  <c r="K19" i="26" s="1"/>
  <c r="K23" i="26" s="1"/>
  <c r="F28" i="26"/>
  <c r="F29" i="26" s="1"/>
  <c r="F23" i="26"/>
  <c r="P16" i="26"/>
  <c r="P17" i="26" s="1"/>
  <c r="P19" i="26" s="1"/>
  <c r="H17" i="26"/>
  <c r="H19" i="26" s="1"/>
  <c r="G334" i="26"/>
  <c r="P270" i="26"/>
  <c r="P73" i="26"/>
  <c r="L28" i="26"/>
  <c r="L29" i="26" s="1"/>
  <c r="L23" i="26"/>
  <c r="O16" i="26"/>
  <c r="O17" i="26" s="1"/>
  <c r="O19" i="26" s="1"/>
  <c r="M17" i="26"/>
  <c r="M19" i="26" s="1"/>
  <c r="O342" i="26"/>
  <c r="O344" i="26" s="1"/>
  <c r="P320" i="26"/>
  <c r="O322" i="26"/>
  <c r="M53" i="26"/>
  <c r="P292" i="26"/>
  <c r="P294" i="26" s="1"/>
  <c r="H294" i="26"/>
  <c r="I290" i="26" s="1"/>
  <c r="O51" i="26" l="1"/>
  <c r="O53" i="26" s="1"/>
  <c r="G25" i="40"/>
  <c r="M25" i="40" s="1"/>
  <c r="M27" i="40" s="1"/>
  <c r="F334" i="26"/>
  <c r="L371" i="26"/>
  <c r="L376" i="26"/>
  <c r="G42" i="26"/>
  <c r="H268" i="26"/>
  <c r="M345" i="26"/>
  <c r="M371" i="26" s="1"/>
  <c r="P311" i="26"/>
  <c r="P312" i="26" s="1"/>
  <c r="P322" i="26"/>
  <c r="H376" i="26"/>
  <c r="H371" i="26"/>
  <c r="M23" i="26"/>
  <c r="M28" i="26"/>
  <c r="I371" i="26"/>
  <c r="I376" i="26"/>
  <c r="L334" i="26"/>
  <c r="O345" i="26"/>
  <c r="J376" i="26"/>
  <c r="J77" i="26" s="1"/>
  <c r="I294" i="26"/>
  <c r="K290" i="26"/>
  <c r="K294" i="26" s="1"/>
  <c r="L290" i="26" s="1"/>
  <c r="L294" i="26" s="1"/>
  <c r="M290" i="26" s="1"/>
  <c r="I23" i="26"/>
  <c r="I28" i="26"/>
  <c r="G336" i="26"/>
  <c r="H23" i="26"/>
  <c r="H28" i="26"/>
  <c r="F371" i="26"/>
  <c r="G371" i="26"/>
  <c r="F376" i="26"/>
  <c r="F378" i="26" s="1"/>
  <c r="G376" i="26"/>
  <c r="G27" i="40" l="1"/>
  <c r="M334" i="26"/>
  <c r="P268" i="26"/>
  <c r="P271" i="26" s="1"/>
  <c r="H271" i="26"/>
  <c r="M376" i="26"/>
  <c r="G347" i="26"/>
  <c r="G338" i="26"/>
  <c r="I29" i="26"/>
  <c r="K28" i="26"/>
  <c r="K29" i="26" s="1"/>
  <c r="L336" i="26"/>
  <c r="K376" i="26"/>
  <c r="M29" i="26"/>
  <c r="O28" i="26"/>
  <c r="O29" i="26" s="1"/>
  <c r="J93" i="26"/>
  <c r="J36" i="26" s="1"/>
  <c r="J40" i="26" s="1"/>
  <c r="J46" i="26" s="1"/>
  <c r="J79" i="26"/>
  <c r="I334" i="26"/>
  <c r="K371" i="26"/>
  <c r="G375" i="26"/>
  <c r="G378" i="26" s="1"/>
  <c r="F59" i="26"/>
  <c r="F61" i="26" s="1"/>
  <c r="P28" i="26"/>
  <c r="P29" i="26" s="1"/>
  <c r="H29" i="26"/>
  <c r="H334" i="26"/>
  <c r="O290" i="26"/>
  <c r="M294" i="26"/>
  <c r="F336" i="26"/>
  <c r="I336" i="26" l="1"/>
  <c r="K334" i="26"/>
  <c r="H336" i="26"/>
  <c r="M336" i="26"/>
  <c r="F347" i="26"/>
  <c r="F338" i="26"/>
  <c r="I268" i="26"/>
  <c r="H42" i="26"/>
  <c r="O294" i="26"/>
  <c r="R288" i="26"/>
  <c r="L347" i="26"/>
  <c r="L338" i="26"/>
  <c r="H375" i="26"/>
  <c r="H378" i="26" s="1"/>
  <c r="G59" i="26"/>
  <c r="G61" i="26" s="1"/>
  <c r="G25" i="26"/>
  <c r="G26" i="26" s="1"/>
  <c r="G72" i="26" s="1"/>
  <c r="G339" i="26"/>
  <c r="I271" i="26" l="1"/>
  <c r="I42" i="26" s="1"/>
  <c r="K268" i="26"/>
  <c r="K271" i="26" s="1"/>
  <c r="L268" i="26" s="1"/>
  <c r="L271" i="26" s="1"/>
  <c r="F25" i="26"/>
  <c r="F26" i="26" s="1"/>
  <c r="F339" i="26"/>
  <c r="L25" i="26"/>
  <c r="L26" i="26" s="1"/>
  <c r="L72" i="26" s="1"/>
  <c r="L339" i="26"/>
  <c r="M347" i="26"/>
  <c r="M338" i="26"/>
  <c r="H59" i="26"/>
  <c r="H61" i="26" s="1"/>
  <c r="I375" i="26"/>
  <c r="H347" i="26"/>
  <c r="H338" i="26"/>
  <c r="F348" i="26"/>
  <c r="K336" i="26"/>
  <c r="K347" i="26" s="1"/>
  <c r="L349" i="26"/>
  <c r="L364" i="26" s="1"/>
  <c r="L365" i="26" s="1"/>
  <c r="M362" i="26" s="1"/>
  <c r="I347" i="26"/>
  <c r="I338" i="26"/>
  <c r="F356" i="26" l="1"/>
  <c r="F357" i="26"/>
  <c r="O362" i="26"/>
  <c r="H25" i="26"/>
  <c r="H339" i="26"/>
  <c r="F72" i="26"/>
  <c r="F64" i="26"/>
  <c r="M268" i="26"/>
  <c r="L42" i="26"/>
  <c r="M25" i="26"/>
  <c r="M339" i="26"/>
  <c r="M349" i="26"/>
  <c r="K338" i="26"/>
  <c r="K339" i="26" s="1"/>
  <c r="I339" i="26"/>
  <c r="K375" i="26"/>
  <c r="K378" i="26" s="1"/>
  <c r="L375" i="26" s="1"/>
  <c r="L378" i="26" s="1"/>
  <c r="I378" i="26"/>
  <c r="I59" i="26" s="1"/>
  <c r="K349" i="26"/>
  <c r="K42" i="26"/>
  <c r="F350" i="26"/>
  <c r="F352" i="26" s="1"/>
  <c r="M271" i="26" l="1"/>
  <c r="M42" i="26" s="1"/>
  <c r="O268" i="26"/>
  <c r="O271" i="26" s="1"/>
  <c r="K59" i="26"/>
  <c r="K61" i="26" s="1"/>
  <c r="I61" i="26"/>
  <c r="M364" i="26"/>
  <c r="M26" i="26"/>
  <c r="M72" i="26" s="1"/>
  <c r="G64" i="26"/>
  <c r="F65" i="26"/>
  <c r="M375" i="26"/>
  <c r="L59" i="26"/>
  <c r="L61" i="26" s="1"/>
  <c r="H26" i="26"/>
  <c r="H72" i="26" s="1"/>
  <c r="K25" i="26"/>
  <c r="K26" i="26" s="1"/>
  <c r="I26" i="26"/>
  <c r="I72" i="26" s="1"/>
  <c r="F372" i="26"/>
  <c r="F359" i="26"/>
  <c r="G355" i="26" s="1"/>
  <c r="G348" i="26" l="1"/>
  <c r="F77" i="26"/>
  <c r="F79" i="26" s="1"/>
  <c r="F93" i="26" s="1"/>
  <c r="F94" i="26" s="1"/>
  <c r="F373" i="26"/>
  <c r="K72" i="26"/>
  <c r="H64" i="26"/>
  <c r="G65" i="26"/>
  <c r="M378" i="26"/>
  <c r="M59" i="26" s="1"/>
  <c r="O375" i="26"/>
  <c r="M365" i="26"/>
  <c r="G16" i="40"/>
  <c r="I64" i="26" l="1"/>
  <c r="H65" i="26"/>
  <c r="M16" i="40"/>
  <c r="G92" i="26"/>
  <c r="F36" i="26"/>
  <c r="G33" i="40"/>
  <c r="M61" i="26"/>
  <c r="G370" i="26"/>
  <c r="F45" i="26"/>
  <c r="G356" i="26"/>
  <c r="G357" i="26"/>
  <c r="G350" i="26"/>
  <c r="G352" i="26" s="1"/>
  <c r="G372" i="26" l="1"/>
  <c r="G77" i="26" s="1"/>
  <c r="G79" i="26" s="1"/>
  <c r="G93" i="26" s="1"/>
  <c r="G94" i="26" s="1"/>
  <c r="G359" i="26"/>
  <c r="H355" i="26" s="1"/>
  <c r="G35" i="40"/>
  <c r="F40" i="26"/>
  <c r="F46" i="26" s="1"/>
  <c r="F66" i="26" s="1"/>
  <c r="F315" i="26"/>
  <c r="F317" i="26" s="1"/>
  <c r="K64" i="26"/>
  <c r="I65" i="26"/>
  <c r="G373" i="26" l="1"/>
  <c r="H370" i="26" s="1"/>
  <c r="H92" i="26"/>
  <c r="G36" i="26"/>
  <c r="H348" i="26"/>
  <c r="L64" i="26"/>
  <c r="K65" i="26"/>
  <c r="G45" i="26" l="1"/>
  <c r="H356" i="26"/>
  <c r="H357" i="26"/>
  <c r="H350" i="26"/>
  <c r="H352" i="26" s="1"/>
  <c r="G40" i="26"/>
  <c r="G315" i="26"/>
  <c r="G317" i="26" s="1"/>
  <c r="M64" i="26"/>
  <c r="L65" i="26"/>
  <c r="P92" i="26"/>
  <c r="G46" i="26" l="1"/>
  <c r="G66" i="26" s="1"/>
  <c r="G38" i="40"/>
  <c r="M65" i="26"/>
  <c r="H372" i="26"/>
  <c r="H359" i="26"/>
  <c r="I355" i="26" s="1"/>
  <c r="I348" i="26" s="1"/>
  <c r="I350" i="26" l="1"/>
  <c r="I352" i="26" s="1"/>
  <c r="I356" i="26"/>
  <c r="I357" i="26"/>
  <c r="K357" i="26" s="1"/>
  <c r="K355" i="26"/>
  <c r="H77" i="26"/>
  <c r="H373" i="26"/>
  <c r="G39" i="40"/>
  <c r="I359" i="26" l="1"/>
  <c r="K348" i="26"/>
  <c r="K350" i="26" s="1"/>
  <c r="K352" i="26" s="1"/>
  <c r="K356" i="26"/>
  <c r="K359" i="26" s="1"/>
  <c r="L355" i="26" s="1"/>
  <c r="I372" i="26"/>
  <c r="I370" i="26"/>
  <c r="H45" i="26"/>
  <c r="H79" i="26"/>
  <c r="H93" i="26" s="1"/>
  <c r="L348" i="26"/>
  <c r="K372" i="26" l="1"/>
  <c r="I77" i="26"/>
  <c r="H94" i="26"/>
  <c r="L356" i="26"/>
  <c r="L357" i="26"/>
  <c r="L350" i="26"/>
  <c r="L352" i="26" s="1"/>
  <c r="K370" i="26"/>
  <c r="I373" i="26"/>
  <c r="I45" i="26" s="1"/>
  <c r="K373" i="26" l="1"/>
  <c r="L370" i="26" s="1"/>
  <c r="I79" i="26"/>
  <c r="I93" i="26" s="1"/>
  <c r="K93" i="26" s="1"/>
  <c r="K77" i="26"/>
  <c r="K79" i="26" s="1"/>
  <c r="K45" i="26"/>
  <c r="L372" i="26"/>
  <c r="L77" i="26" s="1"/>
  <c r="L359" i="26"/>
  <c r="M355" i="26" s="1"/>
  <c r="K92" i="26"/>
  <c r="H36" i="26"/>
  <c r="I92" i="26"/>
  <c r="K94" i="26" l="1"/>
  <c r="L92" i="26" s="1"/>
  <c r="I94" i="26"/>
  <c r="I36" i="26" s="1"/>
  <c r="I315" i="26" s="1"/>
  <c r="I317" i="26" s="1"/>
  <c r="L79" i="26"/>
  <c r="L93" i="26" s="1"/>
  <c r="H315" i="26"/>
  <c r="H40" i="26"/>
  <c r="H46" i="26" s="1"/>
  <c r="H66" i="26" s="1"/>
  <c r="O355" i="26"/>
  <c r="M348" i="26"/>
  <c r="L373" i="26"/>
  <c r="K36" i="26" l="1"/>
  <c r="K40" i="26" s="1"/>
  <c r="K46" i="26" s="1"/>
  <c r="K66" i="26" s="1"/>
  <c r="I40" i="26"/>
  <c r="I46" i="26" s="1"/>
  <c r="I66" i="26" s="1"/>
  <c r="M356" i="26"/>
  <c r="M357" i="26"/>
  <c r="O357" i="26" s="1"/>
  <c r="M350" i="26"/>
  <c r="M352" i="26" s="1"/>
  <c r="N315" i="26"/>
  <c r="M315" i="26" s="1"/>
  <c r="M317" i="26" s="1"/>
  <c r="H317" i="26"/>
  <c r="M370" i="26"/>
  <c r="L45" i="26"/>
  <c r="L94" i="26"/>
  <c r="O370" i="26" l="1"/>
  <c r="O92" i="26"/>
  <c r="M92" i="26"/>
  <c r="L36" i="26"/>
  <c r="O356" i="26"/>
  <c r="O359" i="26" s="1"/>
  <c r="M372" i="26"/>
  <c r="M373" i="26" s="1"/>
  <c r="M359" i="26"/>
  <c r="N348" i="26" l="1"/>
  <c r="O348" i="26" s="1"/>
  <c r="L40" i="26"/>
  <c r="L46" i="26" s="1"/>
  <c r="L66" i="26" s="1"/>
  <c r="L315" i="26"/>
  <c r="L317" i="26" s="1"/>
  <c r="P317" i="26" s="1"/>
  <c r="M45" i="26"/>
  <c r="O372" i="26"/>
  <c r="M77" i="26"/>
  <c r="G19" i="40" l="1"/>
  <c r="M79" i="26"/>
  <c r="N364" i="26" l="1"/>
  <c r="O364" i="26" s="1"/>
  <c r="O365" i="26" s="1"/>
  <c r="N155" i="26" l="1"/>
  <c r="N85" i="26" s="1"/>
  <c r="I27" i="43"/>
  <c r="I40" i="43" s="1"/>
  <c r="I29" i="40" s="1"/>
  <c r="Y33" i="40"/>
  <c r="O85" i="26" l="1"/>
  <c r="P85" i="26"/>
  <c r="J28" i="43"/>
  <c r="M31" i="40"/>
  <c r="N55" i="26" l="1"/>
  <c r="M29" i="40"/>
  <c r="I10" i="40"/>
  <c r="N36" i="26" s="1"/>
  <c r="N40" i="26" s="1"/>
  <c r="N201" i="26"/>
  <c r="P57" i="26"/>
  <c r="O57" i="26"/>
  <c r="S32" i="40" l="1"/>
  <c r="S33" i="40" s="1"/>
  <c r="P55" i="26"/>
  <c r="O55" i="26"/>
  <c r="P201" i="26"/>
  <c r="P203" i="26" s="1"/>
  <c r="N207" i="26"/>
  <c r="N87" i="26" s="1"/>
  <c r="O87" i="26" l="1"/>
  <c r="P87" i="26"/>
  <c r="P207" i="26"/>
  <c r="P209" i="26" s="1"/>
  <c r="O207" i="26"/>
  <c r="O209" i="26" s="1"/>
  <c r="N90" i="26"/>
  <c r="O86" i="26" l="1"/>
  <c r="O90" i="26" s="1"/>
  <c r="P86" i="26"/>
  <c r="P90" i="26" s="1"/>
  <c r="M90" i="26"/>
  <c r="N20" i="26"/>
  <c r="O20" i="26"/>
  <c r="P20" i="26"/>
  <c r="N23" i="26"/>
  <c r="O23" i="26"/>
  <c r="P23" i="26"/>
  <c r="N25" i="26"/>
  <c r="O25" i="26"/>
  <c r="P25" i="26"/>
  <c r="N26" i="26"/>
  <c r="O26" i="26"/>
  <c r="P26" i="26"/>
  <c r="M36" i="26"/>
  <c r="O36" i="26"/>
  <c r="P36" i="26"/>
  <c r="M40" i="26"/>
  <c r="O40" i="26"/>
  <c r="P40" i="26"/>
  <c r="N43" i="26"/>
  <c r="O43" i="26"/>
  <c r="P43" i="26"/>
  <c r="N45" i="26"/>
  <c r="O45" i="26"/>
  <c r="P45" i="26"/>
  <c r="M46" i="26"/>
  <c r="N46" i="26"/>
  <c r="O46" i="26"/>
  <c r="P46" i="26"/>
  <c r="N59" i="26"/>
  <c r="O59" i="26"/>
  <c r="P59" i="26"/>
  <c r="N61" i="26"/>
  <c r="O61" i="26"/>
  <c r="P61" i="26"/>
  <c r="N63" i="26"/>
  <c r="O63" i="26"/>
  <c r="P63" i="26"/>
  <c r="N64" i="26"/>
  <c r="O64" i="26"/>
  <c r="P64" i="26"/>
  <c r="N65" i="26"/>
  <c r="O65" i="26"/>
  <c r="P65" i="26"/>
  <c r="Q65" i="26"/>
  <c r="A66" i="26"/>
  <c r="M66" i="26"/>
  <c r="N66" i="26"/>
  <c r="O66" i="26"/>
  <c r="P66" i="26"/>
  <c r="N72" i="26"/>
  <c r="O72" i="26"/>
  <c r="P72" i="26"/>
  <c r="N75" i="26"/>
  <c r="O75" i="26"/>
  <c r="P75" i="26"/>
  <c r="N76" i="26"/>
  <c r="O76" i="26"/>
  <c r="P76" i="26"/>
  <c r="N77" i="26"/>
  <c r="O77" i="26"/>
  <c r="P77" i="26"/>
  <c r="N79" i="26"/>
  <c r="O79" i="26"/>
  <c r="P79" i="26"/>
  <c r="M82" i="26"/>
  <c r="O82" i="26"/>
  <c r="P82" i="26"/>
  <c r="M83" i="26"/>
  <c r="O83" i="26"/>
  <c r="P83" i="26"/>
  <c r="M93" i="26"/>
  <c r="N93" i="26"/>
  <c r="O93" i="26"/>
  <c r="P93" i="26"/>
  <c r="M94" i="26"/>
  <c r="O94" i="26"/>
  <c r="P94" i="26"/>
  <c r="Q94" i="26"/>
  <c r="P315" i="26"/>
  <c r="N334" i="26"/>
  <c r="O334" i="26"/>
  <c r="N335" i="26"/>
  <c r="O335" i="26"/>
  <c r="N336" i="26"/>
  <c r="O336" i="26"/>
  <c r="N338" i="26"/>
  <c r="O338" i="26"/>
  <c r="N339" i="26"/>
  <c r="O339" i="26"/>
  <c r="N347" i="26"/>
  <c r="O347" i="26"/>
  <c r="N349" i="26"/>
  <c r="O349" i="26"/>
  <c r="N350" i="26"/>
  <c r="O350" i="26"/>
  <c r="N352" i="26"/>
  <c r="O352" i="26"/>
  <c r="N371" i="26"/>
  <c r="O371" i="26"/>
  <c r="O373" i="26"/>
  <c r="N376" i="26"/>
  <c r="O376" i="26"/>
  <c r="O378" i="26"/>
  <c r="J41" i="43"/>
  <c r="J42" i="43"/>
  <c r="I52" i="43"/>
  <c r="J53" i="43"/>
  <c r="I55" i="43"/>
  <c r="J56" i="43"/>
  <c r="I60" i="43"/>
  <c r="J61" i="43"/>
  <c r="S9" i="40"/>
  <c r="G10" i="40"/>
  <c r="M10" i="40"/>
  <c r="S11" i="40"/>
  <c r="S13" i="40"/>
  <c r="G14" i="40"/>
  <c r="M14" i="40"/>
  <c r="K17" i="40"/>
  <c r="M17" i="40"/>
  <c r="S17" i="40"/>
  <c r="S18" i="40"/>
  <c r="I19" i="40"/>
  <c r="M19" i="40"/>
  <c r="S19" i="40"/>
  <c r="Y19" i="40"/>
  <c r="G20" i="40"/>
  <c r="M20" i="40"/>
  <c r="S20" i="40"/>
  <c r="Y20" i="40"/>
  <c r="S21" i="40"/>
  <c r="Y21" i="40"/>
  <c r="S22" i="40"/>
  <c r="Y22" i="40"/>
  <c r="Y23" i="40"/>
  <c r="Y25" i="40"/>
  <c r="I33" i="40"/>
  <c r="M33" i="40"/>
  <c r="M35" i="40"/>
  <c r="I37" i="40"/>
  <c r="M37" i="40"/>
  <c r="I38" i="40"/>
  <c r="K38" i="40"/>
  <c r="M38" i="40"/>
  <c r="M39" i="40"/>
  <c r="G40" i="40"/>
  <c r="I40" i="40"/>
  <c r="K40" i="40"/>
  <c r="M40" i="40"/>
  <c r="W41" i="40"/>
  <c r="X41" i="40"/>
  <c r="Y41" i="40"/>
  <c r="W42" i="40"/>
  <c r="X42" i="40"/>
  <c r="Y42" i="40"/>
  <c r="W45" i="40"/>
  <c r="X45" i="40"/>
  <c r="Y45" i="40"/>
  <c r="B13" i="44"/>
  <c r="B14" i="44"/>
  <c r="B15" i="44"/>
  <c r="B16" i="44"/>
  <c r="B18" i="44"/>
  <c r="B19" i="44"/>
  <c r="B20" i="4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MaloneyM</author>
    <author>shropshirep</author>
  </authors>
  <commentList>
    <comment ref="E72" authorId="0" shapeId="0" xr:uid="{00000000-0006-0000-0300-000001000000}">
      <text>
        <r>
          <rPr>
            <b/>
            <sz val="8"/>
            <color indexed="81"/>
            <rFont val="Tahoma"/>
            <family val="2"/>
          </rPr>
          <t>MaloneyM:</t>
        </r>
        <r>
          <rPr>
            <sz val="8"/>
            <color indexed="81"/>
            <rFont val="Tahoma"/>
            <family val="2"/>
          </rPr>
          <t xml:space="preserve">
To be reconciled to audit</t>
        </r>
      </text>
    </comment>
    <comment ref="C367" authorId="1" shapeId="0" xr:uid="{00000000-0006-0000-0300-000002000000}">
      <text>
        <r>
          <rPr>
            <b/>
            <sz val="8"/>
            <color indexed="81"/>
            <rFont val="Tahoma"/>
            <family val="2"/>
          </rPr>
          <t>shropshirep:</t>
        </r>
        <r>
          <rPr>
            <sz val="8"/>
            <color indexed="81"/>
            <rFont val="Tahoma"/>
            <family val="2"/>
          </rPr>
          <t xml:space="preserve">
Federal Long-Term Tax Exempt Rate as of 2/2012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shropshirep</author>
  </authors>
  <commentList>
    <comment ref="W35" authorId="0" shapeId="0" xr:uid="{00000000-0006-0000-0400-000001000000}">
      <text>
        <r>
          <rPr>
            <b/>
            <sz val="8"/>
            <color rgb="FF000000"/>
            <rFont val="Tahoma"/>
            <family val="2"/>
          </rPr>
          <t>shropshirep:</t>
        </r>
        <r>
          <rPr>
            <sz val="8"/>
            <color rgb="FF000000"/>
            <rFont val="Tahoma"/>
            <family val="2"/>
          </rPr>
          <t xml:space="preserve">
</t>
        </r>
        <r>
          <rPr>
            <sz val="8"/>
            <color rgb="FF000000"/>
            <rFont val="Tahoma"/>
            <family val="2"/>
          </rPr>
          <t>Prior to dilution from the rights offering</t>
        </r>
      </text>
    </comment>
  </commentList>
</comments>
</file>

<file path=xl/sharedStrings.xml><?xml version="1.0" encoding="utf-8"?>
<sst xmlns="http://schemas.openxmlformats.org/spreadsheetml/2006/main" count="427" uniqueCount="311">
  <si>
    <t xml:space="preserve">Events at Bankruptcy Petition </t>
  </si>
  <si>
    <t xml:space="preserve">J/E </t>
  </si>
  <si>
    <t>Description</t>
  </si>
  <si>
    <t>DR</t>
  </si>
  <si>
    <t>CR</t>
  </si>
  <si>
    <t xml:space="preserve"> Issuance of DIP facility and recognition of associated debt financing fees</t>
  </si>
  <si>
    <t>Cash</t>
  </si>
  <si>
    <t>Long-term Debt</t>
  </si>
  <si>
    <t>Deferred Financing Fees</t>
  </si>
  <si>
    <t>Repayment of 1st lien debt and write-off of associated unamortized debt financing fees</t>
  </si>
  <si>
    <t>1st lien debt</t>
  </si>
  <si>
    <t>Interest Expense</t>
  </si>
  <si>
    <t>Reclassifying the 2nd lien debt and Toggle notes at filing as Liabilities Subject To Compromise (LSTC)</t>
  </si>
  <si>
    <t>2nd Lien Debt</t>
  </si>
  <si>
    <t xml:space="preserve">Toggle Notes </t>
  </si>
  <si>
    <t>LSTC</t>
  </si>
  <si>
    <t xml:space="preserve">Recognizing the tax effect of writing off the debt financing fees associated with the 1st lien debt. </t>
  </si>
  <si>
    <t>DTA</t>
  </si>
  <si>
    <t>Income Tax Benefit</t>
  </si>
  <si>
    <t>Fresh Start/ Restructuring Journal Entries</t>
  </si>
  <si>
    <t xml:space="preserve"> Issuance of Exit Facility and recognition of associated financing fees</t>
  </si>
  <si>
    <t>Long Term Debt</t>
  </si>
  <si>
    <t>Deferred Financing Costs</t>
  </si>
  <si>
    <t>Issuance of Stock Rights along with associated fees (Stock Rights are recognized as APIC)</t>
  </si>
  <si>
    <t>APIC</t>
  </si>
  <si>
    <t>Rights Offering Backstop Fee Payable</t>
  </si>
  <si>
    <t>Repayment of DIP facility and 2nd lien debt along with the write-off of unamortized financing fees</t>
  </si>
  <si>
    <t>DIP Facility</t>
  </si>
  <si>
    <t>LSTC - 2nd Lien Debt</t>
  </si>
  <si>
    <t>Payment of Administrative Claims &amp; Mgmt Bonuses</t>
  </si>
  <si>
    <t>SG&amp;A</t>
  </si>
  <si>
    <t xml:space="preserve">Elimination of LSTC along with any associated financing fees and Issuance of New equity </t>
  </si>
  <si>
    <t>LSTC - Toggle Tote</t>
  </si>
  <si>
    <t>New Equity</t>
  </si>
  <si>
    <t>CODI</t>
  </si>
  <si>
    <t>Elimination of Predecessor Equity</t>
  </si>
  <si>
    <t>Equity</t>
  </si>
  <si>
    <t>Retained Earnings</t>
  </si>
  <si>
    <t>Recognition of tax effects of Recapitalization adjustments. You may find the "Tax Worksheet" tab useful for this entry.</t>
  </si>
  <si>
    <t>Eliminating NOLs against Book CODI</t>
  </si>
  <si>
    <t>Income Tax Expense</t>
  </si>
  <si>
    <t>Reducing Tax Basis of PP&amp;E</t>
  </si>
  <si>
    <t>DTL</t>
  </si>
  <si>
    <t>Recognition of Fresh Start adjustments and any related tax effects, if any.</t>
  </si>
  <si>
    <t>Fresh Start Loss</t>
  </si>
  <si>
    <t>Goodwill</t>
  </si>
  <si>
    <t>Financial Model</t>
  </si>
  <si>
    <t>$ in millions</t>
  </si>
  <si>
    <t>CONSOLIDATED INCOME STATEMENT</t>
  </si>
  <si>
    <t>FILING</t>
  </si>
  <si>
    <t>Adjustments</t>
  </si>
  <si>
    <t>Total Revenue</t>
  </si>
  <si>
    <t>Cost of Goods Sold</t>
  </si>
  <si>
    <t>Sales, General &amp; Administrative</t>
  </si>
  <si>
    <t>Reasearch &amp; Development</t>
  </si>
  <si>
    <t>Restructuring Expenses</t>
  </si>
  <si>
    <t>Depreciation &amp; Amortization</t>
  </si>
  <si>
    <t>Total Operating Expenses</t>
  </si>
  <si>
    <t>Operating Income</t>
  </si>
  <si>
    <t>Reorganization items, net</t>
  </si>
  <si>
    <t>Other Nonrecurring Expenses/(Income)</t>
  </si>
  <si>
    <t>Earnings Before Taxes</t>
  </si>
  <si>
    <t>Provision for Taxes</t>
  </si>
  <si>
    <t>Net Income</t>
  </si>
  <si>
    <t>EBITDA</t>
  </si>
  <si>
    <t>EBITDA Margin</t>
  </si>
  <si>
    <t>CONSOLIDATED BALANCE SHEET</t>
  </si>
  <si>
    <t>Assets:</t>
  </si>
  <si>
    <t>Cash and Cash Equivalents</t>
  </si>
  <si>
    <t>Accounts Receivable</t>
  </si>
  <si>
    <t>Inventory</t>
  </si>
  <si>
    <t>Prepaid Expenses</t>
  </si>
  <si>
    <t>Total Current Assets</t>
  </si>
  <si>
    <t>PP&amp;E, net</t>
  </si>
  <si>
    <t>Deferred Tax Asset</t>
  </si>
  <si>
    <t>Total Assets</t>
  </si>
  <si>
    <t>Liabilities:</t>
  </si>
  <si>
    <t>Accounts Payable</t>
  </si>
  <si>
    <t>Accrued Expenses</t>
  </si>
  <si>
    <t>Other Current Liabilities</t>
  </si>
  <si>
    <t>Current Portion of Long-Term Debt</t>
  </si>
  <si>
    <t>Total Current Liabilities</t>
  </si>
  <si>
    <t>Liabilities Subject to Compromise</t>
  </si>
  <si>
    <t>Long-Term Debt</t>
  </si>
  <si>
    <t>Pension &amp; Post-Retirement Benefits</t>
  </si>
  <si>
    <t>Deferred Tax Liability</t>
  </si>
  <si>
    <t>Other Long-Term Liabilities</t>
  </si>
  <si>
    <t>Total Liabilities</t>
  </si>
  <si>
    <t>Common Stock &amp; Additional Paid in Capital</t>
  </si>
  <si>
    <t>Total Liabilities &amp; Shareholders Equity</t>
  </si>
  <si>
    <t>CASH FLOW STATEMENT</t>
  </si>
  <si>
    <t>Depreciation</t>
  </si>
  <si>
    <t>Amortization of Financing Fees</t>
  </si>
  <si>
    <t>Gain on Cancellation of Debt</t>
  </si>
  <si>
    <t>Change in Deferred Tax Asset/Liability</t>
  </si>
  <si>
    <t>Change in Working Capital</t>
  </si>
  <si>
    <t>Cash from Operations</t>
  </si>
  <si>
    <t>Capital Expenditures</t>
  </si>
  <si>
    <t>Proceeds from Asset Sales</t>
  </si>
  <si>
    <t>Cash from Investing</t>
  </si>
  <si>
    <t>Debt Proceeds/(Repayments)</t>
  </si>
  <si>
    <t>Equity Proceeds</t>
  </si>
  <si>
    <t>Debt Financing Fees</t>
  </si>
  <si>
    <t>Equity Financing Fees</t>
  </si>
  <si>
    <t>Gross Proceeds from Stock Rights</t>
  </si>
  <si>
    <t>Cash from Financing</t>
  </si>
  <si>
    <t>Beginning Cash</t>
  </si>
  <si>
    <t>Change in Cash</t>
  </si>
  <si>
    <t>Ending Cash</t>
  </si>
  <si>
    <t>DEBT SCHEDULE</t>
  </si>
  <si>
    <t>LIBOR</t>
  </si>
  <si>
    <t>1st Lien Term Loan (Prepetition)</t>
  </si>
  <si>
    <t>Beginning</t>
  </si>
  <si>
    <t>Change</t>
  </si>
  <si>
    <t>Quarterly Amortization</t>
  </si>
  <si>
    <t>Ending</t>
  </si>
  <si>
    <t>Interest Rate</t>
  </si>
  <si>
    <t>Spread</t>
  </si>
  <si>
    <t>Floor</t>
  </si>
  <si>
    <t>2nd Lien Term Loan (Prepetition)</t>
  </si>
  <si>
    <t>Senior Toggle Notes (Prepetition)</t>
  </si>
  <si>
    <t>Cash Interest Rate</t>
  </si>
  <si>
    <t>1st Lien Exit Facility</t>
  </si>
  <si>
    <t>Debt Balances</t>
  </si>
  <si>
    <t>LSTC Adjustment</t>
  </si>
  <si>
    <t>Total Debt</t>
  </si>
  <si>
    <t>Less: Current Portion of Long-Term Debt</t>
  </si>
  <si>
    <t>Cash Borrowings/(Repayments)</t>
  </si>
  <si>
    <t>Amortization of Financing Costs</t>
  </si>
  <si>
    <t>Total Interest Expense</t>
  </si>
  <si>
    <t>Cash Interest</t>
  </si>
  <si>
    <t>Financing Fees</t>
  </si>
  <si>
    <t>FINANCING FEES</t>
  </si>
  <si>
    <t>Incurrence</t>
  </si>
  <si>
    <t>Amortization</t>
  </si>
  <si>
    <t>Total Financing Fees</t>
  </si>
  <si>
    <t>Ending Total Financing Fees</t>
  </si>
  <si>
    <t>WORKING CAPITAL</t>
  </si>
  <si>
    <t>Sales</t>
  </si>
  <si>
    <t>Days</t>
  </si>
  <si>
    <t>Assets</t>
  </si>
  <si>
    <t>Days Receivable</t>
  </si>
  <si>
    <t>Inventory Days</t>
  </si>
  <si>
    <t>% of Sales</t>
  </si>
  <si>
    <t>Cash Inflow/(Outflow) Change in Current Assets</t>
  </si>
  <si>
    <t>Liabilities</t>
  </si>
  <si>
    <t>Days Payable</t>
  </si>
  <si>
    <t>Cash Inflow/(Outflow) Change in Current Liabilities</t>
  </si>
  <si>
    <t>PP&amp;E SCHEDULE</t>
  </si>
  <si>
    <t>Useful Life of New Capex</t>
  </si>
  <si>
    <t>Years</t>
  </si>
  <si>
    <t>Book Depreciation</t>
  </si>
  <si>
    <t>Depreciation on existing PP&amp;E</t>
  </si>
  <si>
    <t>2008 Capex</t>
  </si>
  <si>
    <t>2009 Capex</t>
  </si>
  <si>
    <t>1Q10 Capex</t>
  </si>
  <si>
    <t>2Q10 Capex</t>
  </si>
  <si>
    <t>3Q10 Capex</t>
  </si>
  <si>
    <t>4Q10 Capex</t>
  </si>
  <si>
    <t>2011 Capex</t>
  </si>
  <si>
    <t>2012 Capex</t>
  </si>
  <si>
    <t>2013 Capex</t>
  </si>
  <si>
    <t>2014 Capex</t>
  </si>
  <si>
    <t>2015 Capex</t>
  </si>
  <si>
    <t>Total Book Depreciation</t>
  </si>
  <si>
    <t>Book PP&amp;E</t>
  </si>
  <si>
    <t>Beginning PP&amp;E, net</t>
  </si>
  <si>
    <t>Plus: Capital Expenditures</t>
  </si>
  <si>
    <t>Less: Depreciation</t>
  </si>
  <si>
    <t>Ending Book PP&amp;E</t>
  </si>
  <si>
    <t>Tax Depreciation</t>
  </si>
  <si>
    <t>Bankruptcy Adjustments</t>
  </si>
  <si>
    <t>Total Tax Depreciation</t>
  </si>
  <si>
    <t>PP&amp;E Writedown ($)</t>
  </si>
  <si>
    <t>PP&amp;E Writedown (%)</t>
  </si>
  <si>
    <t>Tax PP&amp;E Schedule</t>
  </si>
  <si>
    <t>Beginning PP&amp;E</t>
  </si>
  <si>
    <t>Less: Adjustments at Emergence</t>
  </si>
  <si>
    <t>Ending Tax PP&amp;E</t>
  </si>
  <si>
    <t>Book Depreciation less Tax Depreciation</t>
  </si>
  <si>
    <t>OTHER SCHEDULES</t>
  </si>
  <si>
    <t>Accrued Interest Schedule</t>
  </si>
  <si>
    <t>Beginning Accrued Interest Liability</t>
  </si>
  <si>
    <t>Plus: Accrued Interest</t>
  </si>
  <si>
    <t>Less: Cash Interest Payments</t>
  </si>
  <si>
    <t>Less: Payment in Kind</t>
  </si>
  <si>
    <t>Less: Recap Adjustment</t>
  </si>
  <si>
    <t>Ending Accrued Interest</t>
  </si>
  <si>
    <t>Interest Earned on Cash</t>
  </si>
  <si>
    <t>Ending Cash Balance</t>
  </si>
  <si>
    <t>Interest rate earned on cash</t>
  </si>
  <si>
    <t>Rate</t>
  </si>
  <si>
    <t>Interest earned</t>
  </si>
  <si>
    <t>Liabilities subject to compromise</t>
  </si>
  <si>
    <t>Accrued interest</t>
  </si>
  <si>
    <t>Total debt</t>
  </si>
  <si>
    <t>Total Liabilities Subject to Compromise</t>
  </si>
  <si>
    <t>TAX SCHEDULES</t>
  </si>
  <si>
    <t>Income Tax Schedule</t>
  </si>
  <si>
    <t>Federal and State Tax Rates</t>
  </si>
  <si>
    <t>State</t>
  </si>
  <si>
    <t>Federal</t>
  </si>
  <si>
    <t>Effective Tax Rate</t>
  </si>
  <si>
    <t>Pre-Tax Income (Book)</t>
  </si>
  <si>
    <t>Permanent Adjustments</t>
  </si>
  <si>
    <t>Adjusted Pre-Tax Income (Book)</t>
  </si>
  <si>
    <t>Net Income (Book)</t>
  </si>
  <si>
    <t>Temporary Differences:</t>
  </si>
  <si>
    <t>Differences in Book/Tax PP&amp;E/Depreciation</t>
  </si>
  <si>
    <t>Total Temporary Differences</t>
  </si>
  <si>
    <t>Cumulative Temporary Differences</t>
  </si>
  <si>
    <t>Taxable Income</t>
  </si>
  <si>
    <t>Reduction in Available NOLs</t>
  </si>
  <si>
    <t>Reduction in Tax Basis of PP&amp;E</t>
  </si>
  <si>
    <t>Net Taxable Income</t>
  </si>
  <si>
    <t>Cash Tax Outflow/(Inflow)</t>
  </si>
  <si>
    <t>NOLs</t>
  </si>
  <si>
    <t>Beginning NOL Balance</t>
  </si>
  <si>
    <t>Additions</t>
  </si>
  <si>
    <t>Utilization</t>
  </si>
  <si>
    <t>Restructuring Adjustments</t>
  </si>
  <si>
    <t>Ending NOL Balance</t>
  </si>
  <si>
    <t>NOLs - 382 Limitation</t>
  </si>
  <si>
    <t>Ending NOL Balance (382)</t>
  </si>
  <si>
    <t>Annual Limitation (382)</t>
  </si>
  <si>
    <t>Deferred Tax Assets/Liabilities</t>
  </si>
  <si>
    <t>Beginning DTA Balance</t>
  </si>
  <si>
    <t>Plus: Temporary Timing Differences</t>
  </si>
  <si>
    <t>Plus: NOLs</t>
  </si>
  <si>
    <t>Ending Deferred Tax Asset</t>
  </si>
  <si>
    <t>Beginning DTL Balance</t>
  </si>
  <si>
    <t>Change Due to Temporary Differences</t>
  </si>
  <si>
    <t>Other Adjustments</t>
  </si>
  <si>
    <t>Ending Deferred Tax Liability</t>
  </si>
  <si>
    <t>Recapitalization Summary</t>
  </si>
  <si>
    <t>PRO FORMA BALANCE SHEET</t>
  </si>
  <si>
    <t>RECAP DRIVERS</t>
  </si>
  <si>
    <t>Predecessor</t>
  </si>
  <si>
    <t>Successor</t>
  </si>
  <si>
    <t>VALUATION AND RECOVERY</t>
  </si>
  <si>
    <t>ADMINISTRATIVE CLAIMS</t>
  </si>
  <si>
    <t>Recap</t>
  </si>
  <si>
    <t>Fresh Start</t>
  </si>
  <si>
    <t>Plan Enterprise Value (Midpoint)</t>
  </si>
  <si>
    <t>Professional Success Fees</t>
  </si>
  <si>
    <t>Financing Fee</t>
  </si>
  <si>
    <t>Plus: Successor Cash Balance</t>
  </si>
  <si>
    <t>Less: Debt at Emergence</t>
  </si>
  <si>
    <t>Rights Offering Backstop Fee</t>
  </si>
  <si>
    <t>Pro Forma Equity Value</t>
  </si>
  <si>
    <t>Management Emergence Bonuses</t>
  </si>
  <si>
    <t>Total Administrative Claims</t>
  </si>
  <si>
    <t>C/S</t>
  </si>
  <si>
    <t>DERIVATION OF GOODWILL UPON EMERGENCE</t>
  </si>
  <si>
    <t>ADJUSTMENT TO RETAINED EARNINGS</t>
  </si>
  <si>
    <t>Successor Cash Balance</t>
  </si>
  <si>
    <t>Reorganization Value</t>
  </si>
  <si>
    <t>Write Off Prepetition Loan Financing Costs</t>
  </si>
  <si>
    <t>Plus: Fair Value of Non-interest Bearing Liabilities (including any deferred tax liabilities)</t>
  </si>
  <si>
    <t>Fresh Start Adjustments</t>
  </si>
  <si>
    <t>Reorganization Value of Total Assets</t>
  </si>
  <si>
    <t>COD Income</t>
  </si>
  <si>
    <t>Less: Fair Value of Identifiable Assets (including any deferred tax assets)</t>
  </si>
  <si>
    <t>Reorganization items, Net</t>
  </si>
  <si>
    <t>Provision for Taxes (DTA/DTL Adjust.)</t>
  </si>
  <si>
    <t>Adjustments to Net Income</t>
  </si>
  <si>
    <t>Gain From Writing Off CS &amp; APIC</t>
  </si>
  <si>
    <t>Adjustments to Retained Earnings</t>
  </si>
  <si>
    <t>SOURCES AND USES</t>
  </si>
  <si>
    <t>Sources:</t>
  </si>
  <si>
    <t>Uses:</t>
  </si>
  <si>
    <t>Exit Facility</t>
  </si>
  <si>
    <t>Repayment of DIP Facility</t>
  </si>
  <si>
    <t>Rights Offering Proceeds</t>
  </si>
  <si>
    <t>Repayment of 2nd Lien Facility</t>
  </si>
  <si>
    <t>Existing Cash</t>
  </si>
  <si>
    <t>Payment of Administrative Claims</t>
  </si>
  <si>
    <t>Total Sources</t>
  </si>
  <si>
    <t>Total Uses</t>
  </si>
  <si>
    <t>RECOVERY SUMMARY</t>
  </si>
  <si>
    <t>Class</t>
  </si>
  <si>
    <t>Claim</t>
  </si>
  <si>
    <t>Debt</t>
  </si>
  <si>
    <t>Total $</t>
  </si>
  <si>
    <t>Total %</t>
  </si>
  <si>
    <t>Administrative Claims</t>
  </si>
  <si>
    <t>DIP</t>
  </si>
  <si>
    <t>Total Administrative &amp; Priority Claims</t>
  </si>
  <si>
    <t>Check</t>
  </si>
  <si>
    <t>Toggle Notes</t>
  </si>
  <si>
    <t>Note: Liabilities Subject to Compromise</t>
  </si>
  <si>
    <t>Liabilities Subject To Compromise</t>
  </si>
  <si>
    <t>2nd Lien Term Loan</t>
  </si>
  <si>
    <t>Equity Claims</t>
  </si>
  <si>
    <t>Accrued Interest</t>
  </si>
  <si>
    <t>Total Claims</t>
  </si>
  <si>
    <t>FERMAT TECHNOLOGIES</t>
  </si>
  <si>
    <t>Existing NOLs right before emergence</t>
  </si>
  <si>
    <t xml:space="preserve">Tax rate </t>
  </si>
  <si>
    <t>Existing DTA on Predecessor Balance Sheet</t>
  </si>
  <si>
    <t>DTA/DTL from Recap Adjustments Calculation</t>
  </si>
  <si>
    <t xml:space="preserve">Existing NOL </t>
  </si>
  <si>
    <t>+ current expenses at emergence</t>
  </si>
  <si>
    <t>NOLs available at emergence</t>
  </si>
  <si>
    <t>Book CODI recognized</t>
  </si>
  <si>
    <t>Reduce NOLs at emergence</t>
  </si>
  <si>
    <t>Reduce Tax basis of PP&amp;E</t>
  </si>
  <si>
    <t>Book CODI net of tax attributes</t>
  </si>
  <si>
    <t>New NOL balance at emergence</t>
  </si>
  <si>
    <t>Reversal of Existing DTA</t>
  </si>
  <si>
    <t>Creation of DTL from reduction of tax basis of PP&amp;E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</si>
</sst>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98">
    <numFmt numFmtId="5" formatCode="&quot;$&quot;#,##0_);\(&quot;$&quot;#,##0\)"/>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_);\(#,##0.0\)"/>
    <numFmt numFmtId="165" formatCode="&quot;$&quot;#,##0.0_);\(&quot;$&quot;#,##0.0\)"/>
    <numFmt numFmtId="166" formatCode="0.0%_);\(0.0%\)"/>
    <numFmt numFmtId="167" formatCode="0.0%"/>
    <numFmt numFmtId="168" formatCode="0.000%"/>
    <numFmt numFmtId="169" formatCode="0.0\x"/>
    <numFmt numFmtId="170" formatCode="m/d/yy;@"/>
    <numFmt numFmtId="171" formatCode="0.0%_)\ \ ;\(0.0%\)\ \ "/>
    <numFmt numFmtId="172" formatCode="0.0"/>
    <numFmt numFmtId="173" formatCode="_(&quot;$&quot;#,##0_)&quot;millions&quot;;\(&quot;$&quot;#,##0\)&quot; millions&quot;"/>
    <numFmt numFmtId="174" formatCode="0.00\x;\(0.00\x\)"/>
    <numFmt numFmtId="175" formatCode=";;;"/>
    <numFmt numFmtId="176" formatCode="mmmddyyyy"/>
    <numFmt numFmtId="177" formatCode="_(&quot;$&quot;* #,##0_);_(&quot;$&quot;* \(#,##0\);_(&quot;$&quot;* &quot;-&quot;??_);_(@_)"/>
    <numFmt numFmtId="178" formatCode="[=1]&quot;On&quot;;&quot;Off&quot;"/>
    <numFmt numFmtId="179" formatCode="General\ \ "/>
    <numFmt numFmtId="180" formatCode="_(* #,##0_)\ ;_(* \(#,##0\)\ ;_(* &quot;-&quot;_)\ ;_(@_)\ "/>
    <numFmt numFmtId="181" formatCode="0.0\ \x;\(0.0\ \x\)"/>
    <numFmt numFmtId="182" formatCode="0.000%;\(0.000%\)"/>
    <numFmt numFmtId="183" formatCode="* 0.00%;* \(0.00%\);* 0.00%"/>
    <numFmt numFmtId="184" formatCode="0.0_)\%;\(0.0\)\%;0.0_)\%;@_)_%"/>
    <numFmt numFmtId="185" formatCode="#,##0.0_)_%;\(#,##0.0\)_%;0.0_)_%;@_)_%"/>
    <numFmt numFmtId="186" formatCode="[=1]&quot;Fixed&quot;;&quot;Floating&quot;"/>
    <numFmt numFmtId="187" formatCode="General\ "/>
    <numFmt numFmtId="188" formatCode="_(* #,##0.0\x_);_(&quot;$&quot;* \(#,##0\);_(&quot;$&quot;* &quot;-&quot;??_);_(@_)"/>
    <numFmt numFmtId="189" formatCode="_(* #,##0.0%_);_(* \(#,##0.0\);_(* &quot;-&quot;_);_(@_)"/>
    <numFmt numFmtId="190" formatCode="[=1]&quot;Ableco&quot;;[=2]&quot;GE&quot;;&quot;No&quot;"/>
    <numFmt numFmtId="191" formatCode="#,##0.00&quot; $&quot;;\-#,##0.00&quot; $&quot;"/>
    <numFmt numFmtId="192" formatCode="0_);[Red]\(0\)"/>
    <numFmt numFmtId="193" formatCode="#,##0.0_);\(#,##0.0\);#,##0.0_);@_)"/>
    <numFmt numFmtId="194" formatCode="&quot;$&quot;_(#,##0.00_);&quot;$&quot;\(#,##0.00\);&quot;$&quot;_(0.00_);@_)"/>
    <numFmt numFmtId="195" formatCode="[=1]&quot;PIK&quot;;&quot;Cash&quot;"/>
    <numFmt numFmtId="196" formatCode="0.0_)"/>
    <numFmt numFmtId="197" formatCode="[$$-409]#,##0.00_);\([$$-409]#,##0.00\)"/>
    <numFmt numFmtId="198" formatCode="&quot;$&quot;_(#,##0.00_);&quot;$&quot;\(#,##0.00\)"/>
    <numFmt numFmtId="199" formatCode="#,##0.00_);\(#,##0.00\);0.00_);@_)"/>
    <numFmt numFmtId="200" formatCode="\€_(#,##0.00_);\€\(#,##0.00\);\€_(0.00_);@_)"/>
    <numFmt numFmtId="201" formatCode="#,##0_)\x;\(#,##0\)\x;0_)\x;@_)_x"/>
    <numFmt numFmtId="202" formatCode="#,##0.0_)\x;\(#,##0.0\)\x"/>
    <numFmt numFmtId="203" formatCode="0.00_)"/>
    <numFmt numFmtId="204" formatCode="#,##0_)_x;\(#,##0\)_x;0_)_x;@_)_x"/>
    <numFmt numFmtId="205" formatCode="#,##0.0_)_x;\(#,##0.0\)_x"/>
    <numFmt numFmtId="206" formatCode="0.0_)\%;\(0.0\)\%"/>
    <numFmt numFmtId="207" formatCode="&quot;$&quot;#,##0.0_);[Red]\(&quot;$&quot;#,##0.0\)"/>
    <numFmt numFmtId="208" formatCode="#,##0.0_)_%;\(#,##0.0\)_%"/>
    <numFmt numFmtId="209" formatCode="#,##0.000_);\(#,##0.000\)"/>
    <numFmt numFmtId="210" formatCode="_(\£* #,##0_);_(\£* \(#,##0\);_(\£* &quot;-&quot;_);_(@_)"/>
    <numFmt numFmtId="211" formatCode="_(\£* #,##0.0_);_(\£* \(#,##0.0\);_(\£* &quot;-&quot;_);_(@_)"/>
    <numFmt numFmtId="212" formatCode="_(\£* #,##0.00_);_(\£* \(#,##0.00\);_(\£* &quot;-&quot;_);_(@_)"/>
    <numFmt numFmtId="213" formatCode="_(* #,##0\p_);_(* \(#,##0\p\);_(* &quot;-&quot;\ \p_);_(@_)"/>
    <numFmt numFmtId="214" formatCode="_(* #,##0.00\p_);_(* \(#,##0.00\p\);_(* &quot;-&quot;\ \p_);_(@_)"/>
    <numFmt numFmtId="215" formatCode="\£#,##0.00"/>
    <numFmt numFmtId="216" formatCode="0.0\ \x;\ \(0.0\ \x\)"/>
    <numFmt numFmtId="217" formatCode="#,##0;\(#,##0\);\-"/>
    <numFmt numFmtId="218" formatCode="_(* #,##0.0_);_(* \(#,##0.0\);_(* &quot;-&quot;?_);_(@_)"/>
    <numFmt numFmtId="219" formatCode="_(* #,##0.0_);_(* \(#,##0.0\)"/>
    <numFmt numFmtId="220" formatCode="_(&quot;$&quot;* #,##0.0_);_(&quot;$&quot;* \(#,##0.0\);_(&quot;$&quot;* &quot;-&quot;?_);_(@_)"/>
    <numFmt numFmtId="221" formatCode="#,##0;\(#,##0\)"/>
    <numFmt numFmtId="222" formatCode="m/yy"/>
    <numFmt numFmtId="223" formatCode="0\A"/>
    <numFmt numFmtId="224" formatCode="&quot;$&quot;#,##0.00\ ___);\(&quot;$&quot;#,##0.00\)\ \ _)"/>
    <numFmt numFmtId="225" formatCode="General_)"/>
    <numFmt numFmtId="226" formatCode="&quot;$&quot;0.00\ \ \ _);\(&quot;$&quot;0.00\)\ \ \ "/>
    <numFmt numFmtId="227" formatCode="0.0;\(0.0\)"/>
    <numFmt numFmtId="228" formatCode="#,##0_);\(#,##0\);\-_)"/>
    <numFmt numFmtId="229" formatCode="[Blue]#,##0.000_);[Blue]\(#,##0.000\)"/>
    <numFmt numFmtId="230" formatCode="[Blue]&quot;$&quot;#,##0.000_);[Blue]\(&quot;$&quot;#,##0.000\)"/>
    <numFmt numFmtId="231" formatCode="&quot;$&quot;#,##0.00000_);\(&quot;$&quot;#,##0.00000\)"/>
    <numFmt numFmtId="232" formatCode="&quot;$&quot;#,##0.0000_);\(&quot;$&quot;#,##0.0000\)"/>
    <numFmt numFmtId="233" formatCode="0.0%;\(0.0\)%"/>
    <numFmt numFmtId="234" formatCode="&quot;$&quot;0.00,_);\(&quot;$&quot;0.00,\)"/>
    <numFmt numFmtId="235" formatCode="[$€-2]\ #,##0.0_);\([$€-2]\ #,##0.0\)"/>
    <numFmt numFmtId="236" formatCode="&quot;$&quot;#,##0.000_);\(&quot;$&quot;#,##0.000\)"/>
    <numFmt numFmtId="237" formatCode="[$€-2]\ #,##0_);\([$€-2]\ #,##0\)"/>
    <numFmt numFmtId="238" formatCode="#,##0\ \b\p;\(#,##0\)\b\p;0\ \ \ "/>
    <numFmt numFmtId="239" formatCode="\•\ \ @"/>
    <numFmt numFmtId="240" formatCode="_(* #,##0.000_);_(* \(#,##0.000\);_(* &quot;-&quot;???_);_(@_)"/>
    <numFmt numFmtId="241" formatCode="#,##0,_);\(#,##0,\)"/>
    <numFmt numFmtId="242" formatCode="0.0,_);\(0.0,\)"/>
    <numFmt numFmtId="243" formatCode="0.00,_);\(0.00,\)"/>
    <numFmt numFmtId="244" formatCode="mm/dd/yy"/>
    <numFmt numFmtId="245" formatCode="0.000_)"/>
    <numFmt numFmtId="246" formatCode="mmmm\ \-\ yy"/>
    <numFmt numFmtId="247" formatCode="[$-3009]dd\-mmm\-yy;@"/>
    <numFmt numFmtId="248" formatCode="_-* #,##0.00\ _F_-;\-* #,##0.00\ _F_-;_-* &quot;-&quot;??\ _F_-;_-@_-"/>
    <numFmt numFmtId="249" formatCode="mmm\ yy"/>
    <numFmt numFmtId="250" formatCode="_-* #,##0\ _F_-;\-* #,##0\ _F_-;_-* &quot;-&quot;\ _F_-;_-@_-"/>
    <numFmt numFmtId="251" formatCode="_(* #,##0.00_);_(* \(#,##0.00\);_(* &quot;-&quot;_);_(@_)"/>
    <numFmt numFmtId="252" formatCode="_(* #,##0.000_);_(* \(#,##0.000\)"/>
    <numFmt numFmtId="253" formatCode="#,##0_%_);\(#,##0\)_%;#,##0_%_);@_%_)"/>
    <numFmt numFmtId="254" formatCode="d\-mmm\-yy\ h:mm"/>
    <numFmt numFmtId="255" formatCode="#,##0.00_%_);\(#,##0.00\)_%;#,##0.00_%_);@_%_)"/>
    <numFmt numFmtId="256" formatCode="&quot;Prime&quot;;&quot;LIBOR&quot;;&quot;Fixed&quot;"/>
    <numFmt numFmtId="257" formatCode="0.0\x_);&quot;NM &quot;"/>
    <numFmt numFmtId="258" formatCode="#,##0.0"/>
    <numFmt numFmtId="259" formatCode="#,##0.000_);[Red]\(#,##0.000\)"/>
    <numFmt numFmtId="260" formatCode="_(* &quot;$&quot;#,##0\ \ \ \ \ \ \ \ \ ;_(* \(&quot;$&quot;#,##0\ \ \ \ \ \ \ \ \ ;0"/>
    <numFmt numFmtId="261" formatCode="0_)"/>
    <numFmt numFmtId="262" formatCode="mmmm\-yy"/>
    <numFmt numFmtId="263" formatCode="&quot;Scenario &quot;0"/>
    <numFmt numFmtId="264" formatCode="00000"/>
    <numFmt numFmtId="265" formatCode="_(&quot;$&quot;#,##0.0_);_(&quot;$&quot;\(#,##0.0\)"/>
    <numFmt numFmtId="266" formatCode="&quot;$&quot;#,##0_%_);\(&quot;$&quot;#,##0\)_%;&quot;$&quot;#,##0_%_);@_%_)"/>
    <numFmt numFmtId="267" formatCode="&quot;$&quot;#,##0.00_%_);\(&quot;$&quot;#,##0.00\)_%;&quot;$&quot;#,##0.00_%_);@_%_)"/>
    <numFmt numFmtId="268" formatCode="#,##0\x;\(#,##0\x\)"/>
    <numFmt numFmtId="269" formatCode="d\.m\.yy\ h:mm"/>
    <numFmt numFmtId="270" formatCode="&quot;$&quot;#,##0.00_)\ \ ;\(&quot;$&quot;#,##0.00\)\ \ "/>
    <numFmt numFmtId="271" formatCode="&quot;$&quot;#,##0,_);\(&quot;$&quot;#,##0,\)"/>
    <numFmt numFmtId="272" formatCode="&quot;$&quot;#,##0.00;\(&quot;$&quot;#,##0.00\);&quot;-----&quot;;\(@\)"/>
    <numFmt numFmtId="273" formatCode="&quot;$&quot;0.0,_);\(&quot;$&quot;0.0,\)"/>
    <numFmt numFmtId="274" formatCode="_(&quot;$&quot;* #,##0.0_);_(&quot;$&quot;* \(#,##0.0\);_(&quot;$&quot;* &quot;-&quot;_);_(@_)"/>
    <numFmt numFmtId="275" formatCode="[$-409]mmm\-yy;@"/>
    <numFmt numFmtId="276" formatCode="&quot;$&quot;#,##0.0_);&quot;$&quot;\(#,##0.0\)"/>
    <numFmt numFmtId="277" formatCode="0.0\ \ "/>
    <numFmt numFmtId="278" formatCode="m/d/yy_%_)"/>
    <numFmt numFmtId="279" formatCode="yyyy"/>
    <numFmt numFmtId="280" formatCode="yyyyddmmmm"/>
    <numFmt numFmtId="281" formatCode="#,##0.0\ \x_);\(#,##0.0\ \x_)"/>
    <numFmt numFmtId="282" formatCode="\$0.00;\(\$0.00\)"/>
    <numFmt numFmtId="283" formatCode="0.0&quot;   &quot;;&quot;NM &quot;"/>
    <numFmt numFmtId="284" formatCode="&quot;$&quot;\ \ #,##0.0\ ___);\(&quot;$&quot;\ \ #,##0.0\)\ \ _)"/>
    <numFmt numFmtId="285" formatCode="#,##0.0\ ___);\(#,##0.0\)\ \ _)"/>
    <numFmt numFmtId="286" formatCode="#,##0.0\ \ \ ;\(#,##0.0\)\ \ ;0.0\ \ \ "/>
    <numFmt numFmtId="287" formatCode="_(* &quot;$&quot;#,##0.00;_(* &quot;$&quot;\(#,##0.00\)"/>
    <numFmt numFmtId="288" formatCode="0_%_);\(0\)_%;0_%_);@_%_)"/>
    <numFmt numFmtId="289" formatCode="&quot;$&quot;#,##0.0"/>
    <numFmt numFmtId="290" formatCode="&quot;$&quot;#,##0.00"/>
    <numFmt numFmtId="291" formatCode="0.00\x"/>
    <numFmt numFmtId="292" formatCode="&quot;$&quot;#,##0.00\ \ \ ;\(&quot;$&quot;#,##0.00\)\ \ \ "/>
    <numFmt numFmtId="293" formatCode="&quot;$&quot;#,##0.00_)\ \ \ \ \ ;\(&quot;$&quot;#,##0.00\)\ \ \ \ \ "/>
    <numFmt numFmtId="294" formatCode="_([$€-2]* #,##0.00_);_([$€-2]* \(#,##0.00\);_([$€-2]* &quot;-&quot;??_)"/>
    <numFmt numFmtId="295" formatCode="0.0&quot;  &quot;"/>
    <numFmt numFmtId="296" formatCode="#,###,##0;\(#,###,##0\)"/>
    <numFmt numFmtId="297" formatCode="#,##0.00;\(#,##0.00\)"/>
    <numFmt numFmtId="298" formatCode="#,###,##0.00;\(#,###,##0.00\)"/>
    <numFmt numFmtId="299" formatCode="&quot;$&quot;#,###,##0.00;\(&quot;$&quot;#,###,##0.00\)"/>
    <numFmt numFmtId="300" formatCode="#,##0.00%;\(#,##0.00%\)"/>
    <numFmt numFmtId="301" formatCode="###0.0%;\(###0.0%\)"/>
    <numFmt numFmtId="302" formatCode="mm/dd/yy;@"/>
    <numFmt numFmtId="303" formatCode="&quot;Retain&quot;\ ;\ &quot;Exchange&quot;"/>
    <numFmt numFmtId="304" formatCode="_(* #,##0.0_);_(* \(#,##0.0\);_(* &quot;-&quot;??_);_(@_)"/>
    <numFmt numFmtId="305" formatCode="&quot;$&quot;#,##0.00_)\ \ \ ;\(&quot;$&quot;#,##0.00\)\ \ \ "/>
    <numFmt numFmtId="306" formatCode="#,##0.0%"/>
    <numFmt numFmtId="307" formatCode="0.0%\ \ \ "/>
    <numFmt numFmtId="308" formatCode="_-* #,##0_-;\(#,##0\);_-* &quot;–&quot;_-;_-@_-"/>
    <numFmt numFmtId="309" formatCode="0.0\%_);\(0.0\%\);0.0\%_);@_%_)"/>
    <numFmt numFmtId="310" formatCode="#,##0.000\x;\(#,##0.000\x\)"/>
    <numFmt numFmtId="311" formatCode="0\ &quot;E&quot;"/>
    <numFmt numFmtId="312" formatCode="[Blue]#,##0.00\ ;[Blue]\(#,##0.00\);[Blue]**"/>
    <numFmt numFmtId="313" formatCode="[Black]#,##0.0\ ;[Black]\(#,##0.0\);[Black]**"/>
    <numFmt numFmtId="314" formatCode="#,##0.00\x;\(#,##0.00\x\)"/>
    <numFmt numFmtId="315" formatCode="_(* #,##0.000_);_(* \(#,##0.000\);_(* &quot;-&quot;?_);_(@_)"/>
    <numFmt numFmtId="316" formatCode="mmmm\ d\,\ yy\ \ \ \ h:mm"/>
    <numFmt numFmtId="317" formatCode="mmm\ dd\,\ yy\ \ \ \ h:mm"/>
    <numFmt numFmtId="318" formatCode="#,##0.000000000000_);\(#,##0.000000000000\)"/>
    <numFmt numFmtId="319" formatCode="&quot;$&quot;#,##0.0000"/>
    <numFmt numFmtId="320" formatCode="&quot;$&quot;#,##0.0_)\ \ ;\(&quot;$&quot;#,##0.0\)\ \ "/>
    <numFmt numFmtId="321" formatCode="#,##0.00_);\(&quot;$&quot;#,##0.00\)"/>
    <numFmt numFmtId="322" formatCode="0.0\ \x\ \ \ \ ;&quot;NM      &quot;;\ 0.0\ \x\ \ \ \ "/>
    <numFmt numFmtId="323" formatCode="0.0_);\(0.0\)"/>
    <numFmt numFmtId="324" formatCode="&quot;$&quot;#,##0.00&quot;*&quot;\ \ ;\(&quot;$&quot;#,##0.00\)&quot;*&quot;\ \ "/>
    <numFmt numFmtId="325" formatCode="&quot;$&quot;#,##0\ &quot;MM&quot;;\(&quot;$&quot;#,##0.00\ &quot;MM&quot;\)"/>
    <numFmt numFmtId="326" formatCode="#,##0.000;\(#,##0.000\);&quot;-----&quot;;\(@\)"/>
    <numFmt numFmtId="327" formatCode="0_);\(0\)"/>
    <numFmt numFmtId="328" formatCode="0.00%_);\(0.00%\)"/>
    <numFmt numFmtId="329" formatCode="0.0\x;\(0.0\x\)"/>
    <numFmt numFmtId="330" formatCode="_-&quot;$&quot;* #,##0.00_-;\-&quot;$&quot;* #,##0.00_-;_-&quot;$&quot;* &quot;-&quot;??_-;_-@_-"/>
    <numFmt numFmtId="331" formatCode="_-* #,##0.0_-;\-* #,##0.0_-;_-* &quot;-&quot;??_-;_-@_-"/>
    <numFmt numFmtId="332" formatCode="mmmm\ d\,"/>
    <numFmt numFmtId="333" formatCode="_(* #,##0.00\ ___);_(* \(#,##0.00\ __\);_(* &quot;-&quot;??_);_(@_)"/>
    <numFmt numFmtId="334" formatCode="#,##0\ ;\(#,##0\)"/>
    <numFmt numFmtId="335" formatCode="#,##0.0\ \ \ ;\(#,##0.0\)\ \ ;0\ \ \ "/>
    <numFmt numFmtId="336" formatCode="#,##0.00_)\ \ ;\(#,##0.00\)\ \ "/>
    <numFmt numFmtId="337" formatCode="#,##0\ \ \ \ "/>
    <numFmt numFmtId="338" formatCode="0.0\ %"/>
    <numFmt numFmtId="339" formatCode="0.0_)%;\(0.0\)%"/>
    <numFmt numFmtId="340" formatCode="0.0\p\p;\(0.0\)\p\p;0.0\p\p"/>
    <numFmt numFmtId="341" formatCode="&quot;$&quot;\ ##0.00\ \ \ \ "/>
    <numFmt numFmtId="342" formatCode="#,##0.00000_);\(#,##0.00000\)"/>
    <numFmt numFmtId="343" formatCode="&quot;$&quot;#,##0.0_);\(&quot;$&quot;#,##0.0\);&quot;$&quot;#,##0.0_);@_)"/>
    <numFmt numFmtId="344" formatCode="#,##0.0000_);\(#,##0.0000\)"/>
    <numFmt numFmtId="345" formatCode="#,##0.000000_);\(#,##0.000000\)"/>
    <numFmt numFmtId="346" formatCode="#,##0.000000000_);\(#,##0.000000000\)"/>
    <numFmt numFmtId="347" formatCode="0.0%_)"/>
    <numFmt numFmtId="348" formatCode="0%_);\(0%\)"/>
    <numFmt numFmtId="349" formatCode="mmm\-yy;@"/>
    <numFmt numFmtId="350" formatCode="&quot;PF&quot;\ mmm\-yy;@"/>
    <numFmt numFmtId="351" formatCode="0.0\x_)"/>
    <numFmt numFmtId="352" formatCode="[$$-409]#,##0.0_);\([$$-409]#,##0.0\)"/>
    <numFmt numFmtId="353" formatCode="0.000"/>
    <numFmt numFmtId="354" formatCode="#,##0.0000000_);\(#,##0.0000000\)"/>
  </numFmts>
  <fonts count="249">
    <font>
      <sz val="11"/>
      <color theme="1"/>
      <name val="Garamond"/>
      <family val="2"/>
      <scheme val="minor"/>
    </font>
    <font>
      <b/>
      <sz val="10"/>
      <color theme="4"/>
      <name val="Garamond"/>
      <family val="2"/>
      <scheme val="minor"/>
    </font>
    <font>
      <b/>
      <sz val="20"/>
      <name val="Garamond"/>
      <family val="2"/>
      <scheme val="minor"/>
    </font>
    <font>
      <b/>
      <sz val="8"/>
      <name val="Garamond"/>
      <family val="2"/>
      <scheme val="minor"/>
    </font>
    <font>
      <b/>
      <sz val="12"/>
      <color theme="4"/>
      <name val="Garamond"/>
      <family val="2"/>
      <scheme val="minor"/>
    </font>
    <font>
      <sz val="11"/>
      <name val="Garamond"/>
      <family val="2"/>
      <scheme val="minor"/>
    </font>
    <font>
      <sz val="12"/>
      <name val="Garamond"/>
      <family val="2"/>
      <scheme val="minor"/>
    </font>
    <font>
      <sz val="8"/>
      <name val="Garamond"/>
      <family val="2"/>
      <scheme val="minor"/>
    </font>
    <font>
      <b/>
      <sz val="22"/>
      <name val="Garamond"/>
      <family val="2"/>
      <scheme val="minor"/>
    </font>
    <font>
      <sz val="11"/>
      <color theme="1"/>
      <name val="Garamond"/>
      <family val="2"/>
      <scheme val="minor"/>
    </font>
    <font>
      <sz val="11"/>
      <color rgb="FFFFFFFF"/>
      <name val="Garamond"/>
      <family val="2"/>
      <scheme val="minor"/>
    </font>
    <font>
      <sz val="10"/>
      <color theme="1"/>
      <name val="Garamond"/>
      <family val="2"/>
      <scheme val="minor"/>
    </font>
    <font>
      <b/>
      <u val="singleAccounting"/>
      <sz val="10"/>
      <color theme="4"/>
      <name val="Garamond"/>
      <family val="2"/>
      <scheme val="minor"/>
    </font>
    <font>
      <b/>
      <sz val="10"/>
      <color theme="0"/>
      <name val="Garamond"/>
      <family val="2"/>
      <scheme val="minor"/>
    </font>
    <font>
      <b/>
      <sz val="10"/>
      <color theme="1"/>
      <name val="Garamond"/>
      <family val="1"/>
      <scheme val="minor"/>
    </font>
    <font>
      <sz val="10"/>
      <color theme="1"/>
      <name val="Garamond"/>
      <family val="1"/>
      <scheme val="minor"/>
    </font>
    <font>
      <b/>
      <u/>
      <sz val="10"/>
      <color theme="1"/>
      <name val="Garamond"/>
      <family val="1"/>
      <scheme val="minor"/>
    </font>
    <font>
      <sz val="10"/>
      <color rgb="FF0000FF"/>
      <name val="Garamond"/>
      <family val="2"/>
      <scheme val="minor"/>
    </font>
    <font>
      <b/>
      <sz val="10"/>
      <color theme="1"/>
      <name val="Garamond"/>
      <family val="2"/>
      <scheme val="minor"/>
    </font>
    <font>
      <sz val="10"/>
      <name val="Garamond"/>
      <family val="1"/>
    </font>
    <font>
      <b/>
      <sz val="12"/>
      <name val="Arial"/>
      <family val="2"/>
    </font>
    <font>
      <sz val="11"/>
      <name val="Arial"/>
      <family val="2"/>
    </font>
    <font>
      <sz val="10"/>
      <name val="Arial"/>
      <family val="2"/>
    </font>
    <font>
      <b/>
      <sz val="10"/>
      <name val="Arial"/>
      <family val="2"/>
    </font>
    <font>
      <sz val="10"/>
      <color indexed="8"/>
      <name val="Arial"/>
      <family val="2"/>
    </font>
    <font>
      <sz val="10"/>
      <color indexed="12"/>
      <name val="Arial"/>
      <family val="2"/>
    </font>
    <font>
      <sz val="10"/>
      <color indexed="8"/>
      <name val="MS Sans Serif"/>
      <family val="2"/>
    </font>
    <font>
      <sz val="10"/>
      <name val="GillSans"/>
      <family val="2"/>
    </font>
    <font>
      <sz val="10"/>
      <name val="Times New Roman"/>
      <family val="1"/>
    </font>
    <font>
      <sz val="10"/>
      <color indexed="14"/>
      <name val="Baskerville MT"/>
    </font>
    <font>
      <sz val="9"/>
      <name val="Arial"/>
      <family val="2"/>
    </font>
    <font>
      <sz val="12"/>
      <name val="Times New Roman"/>
      <family val="1"/>
    </font>
    <font>
      <sz val="8"/>
      <color indexed="8"/>
      <name val="Arial"/>
      <family val="2"/>
    </font>
    <font>
      <sz val="11"/>
      <color indexed="8"/>
      <name val="Times New Roman"/>
      <family val="1"/>
    </font>
    <font>
      <sz val="12"/>
      <name val="???"/>
      <family val="1"/>
      <charset val="129"/>
    </font>
    <font>
      <sz val="8"/>
      <name val="Times New Roman"/>
      <family val="1"/>
    </font>
    <font>
      <b/>
      <sz val="9"/>
      <name val="Arial"/>
      <family val="2"/>
    </font>
    <font>
      <b/>
      <sz val="10"/>
      <color indexed="9"/>
      <name val="Arial"/>
      <family val="2"/>
    </font>
    <font>
      <b/>
      <sz val="22"/>
      <color indexed="18"/>
      <name val="Arial"/>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8"/>
      <color indexed="8"/>
      <name val="Times New Roman"/>
      <family val="1"/>
    </font>
    <font>
      <sz val="8"/>
      <color indexed="14"/>
      <name val="Times New Roman"/>
      <family val="1"/>
    </font>
    <font>
      <sz val="10"/>
      <name val="MS Sans Serif"/>
      <family val="2"/>
    </font>
    <font>
      <sz val="10"/>
      <name val="Palatino"/>
      <family val="1"/>
    </font>
    <font>
      <sz val="8"/>
      <name val="Arial"/>
      <family val="2"/>
    </font>
    <font>
      <u/>
      <sz val="10"/>
      <color indexed="12"/>
      <name val="Arial"/>
      <family val="2"/>
    </font>
    <font>
      <sz val="10"/>
      <name val="HELVETICA"/>
      <family val="2"/>
    </font>
    <font>
      <sz val="9"/>
      <color indexed="8"/>
      <name val="Times New Roman"/>
      <family val="1"/>
    </font>
    <font>
      <b/>
      <sz val="10"/>
      <color indexed="8"/>
      <name val="Times New Roman"/>
      <family val="1"/>
    </font>
    <font>
      <sz val="9"/>
      <name val="Helvetica"/>
      <family val="2"/>
    </font>
    <font>
      <b/>
      <sz val="12"/>
      <name val="Tms Rmn"/>
    </font>
    <font>
      <sz val="12"/>
      <color indexed="12"/>
      <name val="Times New Roman"/>
      <family val="1"/>
    </font>
    <font>
      <sz val="12"/>
      <color indexed="8"/>
      <name val="Times New Roman"/>
      <family val="1"/>
    </font>
    <font>
      <sz val="8"/>
      <name val="Tms Rmn"/>
    </font>
    <font>
      <sz val="9"/>
      <color indexed="9"/>
      <name val="Times New Roman"/>
      <family val="1"/>
    </font>
    <font>
      <sz val="10"/>
      <color indexed="8"/>
      <name val="Times New Roman"/>
      <family val="1"/>
    </font>
    <font>
      <sz val="10"/>
      <name val="CG Times (E1)"/>
    </font>
    <font>
      <sz val="8"/>
      <color indexed="12"/>
      <name val="Times New Roman"/>
      <family val="1"/>
    </font>
    <font>
      <b/>
      <sz val="11"/>
      <color indexed="9"/>
      <name val="Arial"/>
      <family val="2"/>
    </font>
    <font>
      <sz val="8"/>
      <color indexed="12"/>
      <name val="Tms Rmn"/>
    </font>
    <font>
      <sz val="12"/>
      <name val="Tms Rmn"/>
    </font>
    <font>
      <sz val="10"/>
      <name val="Geneva"/>
      <family val="2"/>
    </font>
    <font>
      <b/>
      <i/>
      <u/>
      <sz val="12"/>
      <name val="Times New Roman"/>
      <family val="1"/>
    </font>
    <font>
      <b/>
      <sz val="7"/>
      <name val="Arial"/>
      <family val="2"/>
    </font>
    <font>
      <sz val="10"/>
      <color indexed="12"/>
      <name val="Times New Roman"/>
      <family val="1"/>
    </font>
    <font>
      <sz val="24"/>
      <name val="Times New Roman"/>
      <family val="1"/>
    </font>
    <font>
      <b/>
      <sz val="8"/>
      <name val="TimesNewRomanPS"/>
      <family val="1"/>
    </font>
    <font>
      <sz val="8"/>
      <name val="Arial Narrow"/>
      <family val="2"/>
    </font>
    <font>
      <sz val="9"/>
      <color indexed="12"/>
      <name val="Arial"/>
      <family val="2"/>
    </font>
    <font>
      <sz val="9"/>
      <name val="Times New Roman"/>
      <family val="1"/>
    </font>
    <font>
      <sz val="11"/>
      <name val="Times New Roman"/>
      <family val="1"/>
    </font>
    <font>
      <b/>
      <sz val="11"/>
      <name val="Arial"/>
      <family val="2"/>
    </font>
    <font>
      <b/>
      <sz val="10"/>
      <name val="Helv"/>
      <family val="2"/>
    </font>
    <font>
      <sz val="10"/>
      <name val="Century Gothic"/>
      <family val="2"/>
    </font>
    <font>
      <b/>
      <i/>
      <sz val="8"/>
      <name val="Arial"/>
      <family val="2"/>
    </font>
    <font>
      <b/>
      <sz val="8"/>
      <name val="Book Antiqua"/>
      <family val="1"/>
    </font>
    <font>
      <b/>
      <sz val="8"/>
      <name val="Times New Roman"/>
      <family val="1"/>
    </font>
    <font>
      <b/>
      <sz val="11"/>
      <name val="Times New Roman"/>
      <family val="1"/>
    </font>
    <font>
      <b/>
      <sz val="8"/>
      <name val="Arial"/>
      <family val="2"/>
    </font>
    <font>
      <b/>
      <u val="singleAccounting"/>
      <sz val="8"/>
      <name val="Arial"/>
      <family val="2"/>
    </font>
    <font>
      <sz val="11"/>
      <name val="Tms Rmn"/>
    </font>
    <font>
      <sz val="10"/>
      <color indexed="18"/>
      <name val="Arial"/>
      <family val="2"/>
    </font>
    <font>
      <sz val="8"/>
      <color indexed="12"/>
      <name val="Helv"/>
    </font>
    <font>
      <sz val="8"/>
      <name val="Palatino"/>
      <family val="1"/>
    </font>
    <font>
      <sz val="11"/>
      <color indexed="8"/>
      <name val="Calibri"/>
      <family val="2"/>
    </font>
    <font>
      <sz val="10"/>
      <name val="Helv"/>
    </font>
    <font>
      <sz val="10"/>
      <color indexed="12"/>
      <name val="Geneva"/>
      <family val="2"/>
    </font>
    <font>
      <sz val="24"/>
      <name val="MS Sans Serif"/>
      <family val="2"/>
    </font>
    <font>
      <b/>
      <sz val="24"/>
      <name val="Times New Roman"/>
      <family val="1"/>
    </font>
    <font>
      <sz val="10"/>
      <name val="MS Serif"/>
      <family val="1"/>
    </font>
    <font>
      <sz val="14"/>
      <name val="Palatino"/>
      <family val="1"/>
    </font>
    <font>
      <sz val="16"/>
      <name val="Palatino"/>
      <family val="1"/>
    </font>
    <font>
      <sz val="32"/>
      <name val="Helvetica-Black"/>
      <family val="2"/>
    </font>
    <font>
      <sz val="8"/>
      <color indexed="12"/>
      <name val="Arial"/>
      <family val="2"/>
    </font>
    <font>
      <b/>
      <sz val="10"/>
      <color indexed="12"/>
      <name val="Arial"/>
      <family val="2"/>
    </font>
    <font>
      <sz val="11"/>
      <color indexed="12"/>
      <name val="Book Antiqua"/>
      <family val="1"/>
    </font>
    <font>
      <sz val="8"/>
      <name val="Helv"/>
    </font>
    <font>
      <sz val="12"/>
      <name val="Helv"/>
    </font>
    <font>
      <sz val="10"/>
      <color indexed="18"/>
      <name val="Times New Roman"/>
      <family val="1"/>
    </font>
    <font>
      <sz val="10"/>
      <name val="Baskerville MT"/>
    </font>
    <font>
      <sz val="11"/>
      <name val="Baskerville MT"/>
      <family val="1"/>
    </font>
    <font>
      <sz val="9"/>
      <name val="Futura Md BT"/>
      <family val="2"/>
    </font>
    <font>
      <sz val="10"/>
      <name val="Helvetica 55 Roman"/>
    </font>
    <font>
      <b/>
      <sz val="10"/>
      <name val="Times New Roman"/>
      <family val="1"/>
    </font>
    <font>
      <i/>
      <sz val="8"/>
      <name val="Arial"/>
      <family val="2"/>
    </font>
    <font>
      <sz val="10"/>
      <name val="CG Times (WN)"/>
    </font>
    <font>
      <sz val="10"/>
      <color indexed="30"/>
      <name val="Arial"/>
      <family val="2"/>
    </font>
    <font>
      <sz val="10"/>
      <color indexed="21"/>
      <name val="Arial"/>
      <family val="2"/>
    </font>
    <font>
      <i/>
      <sz val="12"/>
      <name val="Times New Roman"/>
      <family val="1"/>
    </font>
    <font>
      <sz val="8"/>
      <color indexed="8"/>
      <name val="Helvetica"/>
      <family val="2"/>
    </font>
    <font>
      <sz val="10"/>
      <name val="Arial Narrow"/>
      <family val="2"/>
    </font>
    <font>
      <b/>
      <sz val="14"/>
      <name val="Arial"/>
      <family val="2"/>
    </font>
    <font>
      <b/>
      <sz val="14"/>
      <color indexed="8"/>
      <name val="Arial Narrow"/>
      <family val="2"/>
    </font>
    <font>
      <b/>
      <sz val="10"/>
      <color indexed="8"/>
      <name val="Arial Narrow"/>
      <family val="2"/>
    </font>
    <font>
      <b/>
      <sz val="10"/>
      <name val="Arial Narrow"/>
      <family val="2"/>
    </font>
    <font>
      <sz val="9"/>
      <name val="Arial Narrow"/>
      <family val="2"/>
    </font>
    <font>
      <sz val="8"/>
      <color indexed="8"/>
      <name val="GoudyOlSt BT"/>
      <family val="1"/>
    </font>
    <font>
      <i/>
      <sz val="9"/>
      <name val="Arial Narrow"/>
      <family val="2"/>
    </font>
    <font>
      <i/>
      <sz val="10"/>
      <name val="Arial Narrow"/>
      <family val="2"/>
    </font>
    <font>
      <i/>
      <sz val="9"/>
      <color indexed="8"/>
      <name val="Arial"/>
      <family val="2"/>
    </font>
    <font>
      <sz val="14"/>
      <name val="Times New Roman"/>
      <family val="1"/>
    </font>
    <font>
      <sz val="22"/>
      <name val="Times New Roman"/>
      <family val="1"/>
    </font>
    <font>
      <sz val="10"/>
      <color indexed="16"/>
      <name val="MS Serif"/>
      <family val="1"/>
    </font>
    <font>
      <b/>
      <sz val="9.5"/>
      <color indexed="10"/>
      <name val="MS Sans Serif"/>
      <family val="2"/>
    </font>
    <font>
      <sz val="6"/>
      <color indexed="23"/>
      <name val="Helvetica-Black"/>
      <family val="2"/>
    </font>
    <font>
      <sz val="9.5"/>
      <color indexed="23"/>
      <name val="Helvetica-Black"/>
      <family val="2"/>
    </font>
    <font>
      <sz val="7"/>
      <name val="Palatino"/>
      <family val="1"/>
    </font>
    <font>
      <sz val="9"/>
      <name val="GillSans Light"/>
      <family val="2"/>
    </font>
    <font>
      <b/>
      <sz val="10"/>
      <name val="Book Antiqua"/>
      <family val="1"/>
    </font>
    <font>
      <sz val="11"/>
      <color indexed="12"/>
      <name val="Times New Roman"/>
      <family val="1"/>
    </font>
    <font>
      <sz val="10"/>
      <color indexed="0"/>
      <name val="Arial"/>
      <family val="2"/>
    </font>
    <font>
      <sz val="10"/>
      <color indexed="42"/>
      <name val="Arial"/>
      <family val="2"/>
    </font>
    <font>
      <b/>
      <sz val="8.5"/>
      <color indexed="17"/>
      <name val="Arial"/>
      <family val="2"/>
    </font>
    <font>
      <sz val="12"/>
      <name val="Arial"/>
      <family val="2"/>
    </font>
    <font>
      <sz val="7"/>
      <name val="Arial"/>
      <family val="2"/>
    </font>
    <font>
      <b/>
      <sz val="7"/>
      <color indexed="17"/>
      <name val="Arial"/>
      <family val="2"/>
    </font>
    <font>
      <sz val="8.5"/>
      <color indexed="8"/>
      <name val="Arial"/>
      <family val="2"/>
    </font>
    <font>
      <sz val="6"/>
      <color indexed="16"/>
      <name val="Palatino"/>
      <family val="1"/>
    </font>
    <font>
      <sz val="6"/>
      <name val="Palatino"/>
      <family val="1"/>
    </font>
    <font>
      <b/>
      <u/>
      <sz val="11"/>
      <color indexed="37"/>
      <name val="Arial"/>
      <family val="2"/>
    </font>
    <font>
      <b/>
      <sz val="8"/>
      <name val="Palatino"/>
      <family val="1"/>
    </font>
    <font>
      <b/>
      <sz val="8"/>
      <name val="Helv"/>
    </font>
    <font>
      <b/>
      <i/>
      <sz val="8"/>
      <name val="Helv"/>
    </font>
    <font>
      <sz val="10"/>
      <name val="Helvetica-Black"/>
      <family val="2"/>
    </font>
    <font>
      <sz val="28"/>
      <name val="Helvetica-Black"/>
      <family val="2"/>
    </font>
    <font>
      <sz val="18"/>
      <name val="Palatino"/>
      <family val="1"/>
    </font>
    <font>
      <i/>
      <sz val="14"/>
      <name val="Palatino"/>
      <family val="1"/>
    </font>
    <font>
      <b/>
      <i/>
      <sz val="16"/>
      <name val="Arial"/>
      <family val="2"/>
    </font>
    <font>
      <b/>
      <sz val="16"/>
      <name val="Times New Roman"/>
      <family val="1"/>
    </font>
    <font>
      <b/>
      <sz val="14"/>
      <name val="Times New Roman"/>
      <family val="1"/>
    </font>
    <font>
      <b/>
      <sz val="12"/>
      <name val="Times New Roman"/>
      <family val="1"/>
    </font>
    <font>
      <b/>
      <u/>
      <sz val="12"/>
      <name val="Times New Roman"/>
      <family val="1"/>
    </font>
    <font>
      <b/>
      <sz val="18"/>
      <name val="Arial"/>
      <family val="2"/>
    </font>
    <font>
      <sz val="10"/>
      <color indexed="9"/>
      <name val="Arial"/>
      <family val="2"/>
    </font>
    <font>
      <sz val="8"/>
      <color indexed="22"/>
      <name val="Arial"/>
      <family val="2"/>
    </font>
    <font>
      <sz val="8"/>
      <name val="Helvetica"/>
      <family val="2"/>
    </font>
    <font>
      <b/>
      <sz val="9"/>
      <color indexed="39"/>
      <name val="Arial"/>
      <family val="2"/>
    </font>
    <font>
      <sz val="9"/>
      <color indexed="39"/>
      <name val="Arial"/>
      <family val="2"/>
    </font>
    <font>
      <sz val="10"/>
      <color indexed="39"/>
      <name val="Arial"/>
      <family val="2"/>
    </font>
    <font>
      <sz val="8"/>
      <color indexed="12"/>
      <name val="Palatino"/>
      <family val="1"/>
    </font>
    <font>
      <b/>
      <sz val="10"/>
      <name val="MS Sans Serif"/>
      <family val="2"/>
    </font>
    <font>
      <sz val="10"/>
      <name val="GillSans Light"/>
      <family val="2"/>
    </font>
    <font>
      <b/>
      <sz val="14"/>
      <name val="Helv"/>
    </font>
    <font>
      <b/>
      <sz val="10"/>
      <name val="Palatino"/>
      <family val="1"/>
    </font>
    <font>
      <sz val="8"/>
      <color indexed="16"/>
      <name val="Arial"/>
      <family val="2"/>
    </font>
    <font>
      <sz val="10"/>
      <name val="Futura Md BT"/>
    </font>
    <font>
      <b/>
      <sz val="36"/>
      <name val="Times New Roman"/>
      <family val="1"/>
    </font>
    <font>
      <i/>
      <sz val="10"/>
      <name val="Arial"/>
      <family val="2"/>
    </font>
    <font>
      <sz val="1"/>
      <color indexed="18"/>
      <name val="Courier"/>
      <family val="3"/>
    </font>
    <font>
      <b/>
      <sz val="11"/>
      <name val="Helv"/>
      <family val="2"/>
    </font>
    <font>
      <sz val="14"/>
      <name val="Architecture"/>
      <family val="2"/>
    </font>
    <font>
      <b/>
      <i/>
      <sz val="16"/>
      <name val="Helv"/>
    </font>
    <font>
      <sz val="10"/>
      <color indexed="16"/>
      <name val="Helvetica-Black"/>
      <family val="2"/>
    </font>
    <font>
      <sz val="12"/>
      <name val="Helvetica"/>
      <family val="2"/>
    </font>
    <font>
      <sz val="9"/>
      <color indexed="8"/>
      <name val="Helvetica"/>
      <family val="2"/>
    </font>
    <font>
      <sz val="10"/>
      <color rgb="FF000000"/>
      <name val="Garamond"/>
      <family val="2"/>
      <scheme val="minor"/>
    </font>
    <font>
      <b/>
      <sz val="10"/>
      <name val="Garamond"/>
      <family val="1"/>
    </font>
    <font>
      <b/>
      <u/>
      <sz val="10"/>
      <color theme="1"/>
      <name val="Garamond"/>
      <family val="2"/>
      <scheme val="minor"/>
    </font>
    <font>
      <i/>
      <sz val="10"/>
      <color rgb="FFA10D34"/>
      <name val="Garamond"/>
      <family val="2"/>
      <scheme val="minor"/>
    </font>
    <font>
      <b/>
      <sz val="12"/>
      <name val="Garamond"/>
      <family val="1"/>
    </font>
    <font>
      <sz val="10"/>
      <color theme="1"/>
      <name val="Garamond"/>
      <family val="1"/>
      <scheme val="major"/>
    </font>
    <font>
      <sz val="10"/>
      <name val="Garamond"/>
      <family val="1"/>
      <scheme val="major"/>
    </font>
    <font>
      <b/>
      <sz val="10"/>
      <color theme="1"/>
      <name val="Garamond"/>
      <family val="1"/>
      <scheme val="major"/>
    </font>
    <font>
      <sz val="10"/>
      <color rgb="FF0000FF"/>
      <name val="Garamond"/>
      <family val="1"/>
      <scheme val="major"/>
    </font>
    <font>
      <sz val="10"/>
      <color rgb="FF008000"/>
      <name val="Garamond"/>
      <family val="2"/>
      <scheme val="minor"/>
    </font>
    <font>
      <b/>
      <i/>
      <sz val="10"/>
      <name val="Garamond"/>
      <family val="1"/>
    </font>
    <font>
      <sz val="8"/>
      <color indexed="81"/>
      <name val="Tahoma"/>
      <family val="2"/>
    </font>
    <font>
      <b/>
      <sz val="8"/>
      <color indexed="81"/>
      <name val="Tahoma"/>
      <family val="2"/>
    </font>
    <font>
      <sz val="10"/>
      <name val="Garamond"/>
      <family val="2"/>
    </font>
    <font>
      <i/>
      <u/>
      <sz val="10"/>
      <color theme="1"/>
      <name val="Garamond"/>
      <family val="2"/>
      <scheme val="minor"/>
    </font>
    <font>
      <b/>
      <sz val="10"/>
      <name val="Garamond"/>
      <family val="2"/>
    </font>
    <font>
      <sz val="10"/>
      <color rgb="FF0000FF"/>
      <name val="Garamond"/>
      <family val="1"/>
      <scheme val="minor"/>
    </font>
    <font>
      <sz val="10"/>
      <name val="Garamond"/>
      <family val="2"/>
      <scheme val="minor"/>
    </font>
    <font>
      <b/>
      <sz val="10"/>
      <color rgb="FF0000FF"/>
      <name val="Garamond"/>
      <family val="1"/>
      <scheme val="minor"/>
    </font>
    <font>
      <b/>
      <sz val="10"/>
      <color rgb="FF0000FF"/>
      <name val="Garamond"/>
      <family val="2"/>
      <scheme val="minor"/>
    </font>
    <font>
      <sz val="10"/>
      <color rgb="FF339933"/>
      <name val="Garamond"/>
      <family val="1"/>
      <scheme val="minor"/>
    </font>
    <font>
      <sz val="10"/>
      <color rgb="FF0000FF"/>
      <name val="Garamond"/>
      <family val="1"/>
    </font>
    <font>
      <i/>
      <sz val="10"/>
      <color theme="1"/>
      <name val="Garamond"/>
      <family val="1"/>
      <scheme val="minor"/>
    </font>
    <font>
      <sz val="10"/>
      <color rgb="FF339933"/>
      <name val="Garamond"/>
      <family val="2"/>
      <scheme val="minor"/>
    </font>
    <font>
      <b/>
      <sz val="10"/>
      <name val="Garamond"/>
      <family val="1"/>
      <scheme val="minor"/>
    </font>
    <font>
      <sz val="10"/>
      <name val="Garamond"/>
      <family val="1"/>
      <scheme val="minor"/>
    </font>
    <font>
      <b/>
      <sz val="10"/>
      <color theme="1"/>
      <name val="Garamond"/>
      <family val="1"/>
    </font>
    <font>
      <b/>
      <sz val="10"/>
      <color rgb="FF339933"/>
      <name val="Garamond"/>
      <family val="1"/>
      <scheme val="minor"/>
    </font>
    <font>
      <sz val="10"/>
      <color theme="0"/>
      <name val="Garamond"/>
      <family val="2"/>
      <scheme val="minor"/>
    </font>
    <font>
      <i/>
      <u/>
      <sz val="10"/>
      <color theme="1"/>
      <name val="Garamond"/>
      <family val="1"/>
      <scheme val="minor"/>
    </font>
    <font>
      <b/>
      <i/>
      <sz val="10"/>
      <color theme="8"/>
      <name val="Garamond"/>
      <family val="1"/>
      <scheme val="minor"/>
    </font>
    <font>
      <i/>
      <sz val="10"/>
      <color theme="8"/>
      <name val="Garamond"/>
      <family val="1"/>
      <scheme val="minor"/>
    </font>
    <font>
      <i/>
      <sz val="10"/>
      <color theme="0"/>
      <name val="Garamond"/>
      <family val="2"/>
      <scheme val="minor"/>
    </font>
    <font>
      <sz val="10"/>
      <color theme="1"/>
      <name val="Garamond"/>
      <family val="1"/>
    </font>
    <font>
      <i/>
      <sz val="10"/>
      <name val="Garamond"/>
      <family val="1"/>
    </font>
    <font>
      <b/>
      <sz val="10"/>
      <color theme="0"/>
      <name val="Garamond"/>
      <family val="1"/>
    </font>
    <font>
      <i/>
      <u/>
      <sz val="10"/>
      <color theme="1"/>
      <name val="Garamond"/>
      <family val="1"/>
    </font>
    <font>
      <b/>
      <u/>
      <sz val="10"/>
      <color theme="1"/>
      <name val="Garamond"/>
      <family val="1"/>
    </font>
    <font>
      <b/>
      <i/>
      <sz val="10"/>
      <color rgb="FFFF0000"/>
      <name val="Garamond"/>
      <family val="1"/>
    </font>
    <font>
      <b/>
      <i/>
      <sz val="10"/>
      <color theme="1"/>
      <name val="Garamond"/>
      <family val="1"/>
    </font>
    <font>
      <b/>
      <sz val="10"/>
      <color rgb="FF008000"/>
      <name val="Garamond"/>
      <family val="1"/>
      <scheme val="minor"/>
    </font>
    <font>
      <sz val="10"/>
      <color rgb="FF339933"/>
      <name val="Garamond"/>
      <family val="1"/>
    </font>
    <font>
      <b/>
      <sz val="10"/>
      <name val="Garamond"/>
      <family val="1"/>
      <scheme val="major"/>
    </font>
    <font>
      <i/>
      <sz val="10"/>
      <color theme="1"/>
      <name val="Garamond"/>
      <family val="1"/>
      <scheme val="major"/>
    </font>
    <font>
      <i/>
      <sz val="10"/>
      <name val="Garamond"/>
      <family val="1"/>
      <scheme val="minor"/>
    </font>
    <font>
      <b/>
      <sz val="10"/>
      <color rgb="FF0000FF"/>
      <name val="Garamond"/>
      <family val="1"/>
      <scheme val="major"/>
    </font>
    <font>
      <sz val="10"/>
      <color rgb="FF008000"/>
      <name val="Garamond"/>
      <family val="1"/>
    </font>
    <font>
      <b/>
      <sz val="10"/>
      <color rgb="FF000000"/>
      <name val="Garamond"/>
      <family val="1"/>
      <scheme val="major"/>
    </font>
    <font>
      <b/>
      <sz val="11"/>
      <color theme="1"/>
      <name val="Times New Roman"/>
      <family val="1"/>
    </font>
    <font>
      <sz val="11"/>
      <color theme="1"/>
      <name val="Times New Roman"/>
      <family val="1"/>
    </font>
    <font>
      <b/>
      <u/>
      <sz val="11"/>
      <color theme="1"/>
      <name val="Times New Roman"/>
      <family val="1"/>
    </font>
    <font>
      <b/>
      <sz val="10"/>
      <color theme="1"/>
      <name val="Times New Roman"/>
      <family val="1"/>
    </font>
    <font>
      <b/>
      <i/>
      <sz val="10"/>
      <name val="Times New Roman"/>
      <family val="1"/>
    </font>
    <font>
      <i/>
      <sz val="10"/>
      <color indexed="8"/>
      <name val="Garamond"/>
      <family val="1"/>
      <scheme val="major"/>
    </font>
    <font>
      <sz val="10"/>
      <color indexed="8"/>
      <name val="Garamond"/>
      <family val="1"/>
      <scheme val="major"/>
    </font>
    <font>
      <i/>
      <sz val="10"/>
      <name val="Garamond"/>
      <family val="1"/>
      <scheme val="major"/>
    </font>
    <font>
      <sz val="10"/>
      <color indexed="58"/>
      <name val="Garamond"/>
      <family val="1"/>
      <scheme val="major"/>
    </font>
    <font>
      <b/>
      <i/>
      <sz val="10"/>
      <name val="Garamond"/>
      <family val="1"/>
      <scheme val="major"/>
    </font>
    <font>
      <b/>
      <i/>
      <sz val="10"/>
      <color theme="1"/>
      <name val="Garamond"/>
      <family val="1"/>
      <scheme val="major"/>
    </font>
    <font>
      <b/>
      <sz val="10"/>
      <color indexed="58"/>
      <name val="Garamond"/>
      <family val="1"/>
      <scheme val="major"/>
    </font>
    <font>
      <b/>
      <u/>
      <sz val="10"/>
      <name val="Garamond"/>
      <family val="1"/>
      <scheme val="major"/>
    </font>
    <font>
      <b/>
      <sz val="10"/>
      <color indexed="9"/>
      <name val="Garamond"/>
      <family val="1"/>
      <scheme val="major"/>
    </font>
    <font>
      <b/>
      <sz val="10"/>
      <color theme="0"/>
      <name val="Garamond"/>
      <family val="1"/>
      <scheme val="major"/>
    </font>
    <font>
      <b/>
      <i/>
      <sz val="10"/>
      <color indexed="58"/>
      <name val="Garamond"/>
      <family val="1"/>
      <scheme val="major"/>
    </font>
    <font>
      <b/>
      <sz val="8"/>
      <color rgb="FF000000"/>
      <name val="Tahoma"/>
      <family val="2"/>
    </font>
    <font>
      <sz val="8"/>
      <color rgb="FF000000"/>
      <name val="Tahoma"/>
      <family val="2"/>
    </font>
    <font>
      <b/>
      <sz val="11"/>
      <color theme="1"/>
      <name val="Garamond"/>
      <family val="1"/>
      <scheme val="minor"/>
    </font>
    <font>
      <sz val="10"/>
      <color rgb="FF339933"/>
      <name val="Garamond"/>
      <family val="1"/>
      <scheme val="major"/>
    </font>
    <font>
      <u/>
      <sz val="10"/>
      <color theme="1"/>
      <name val="Garamond"/>
      <family val="1"/>
    </font>
    <font>
      <sz val="11"/>
      <color rgb="FF339933"/>
      <name val="Garamond"/>
      <family val="2"/>
      <scheme val="minor"/>
    </font>
    <font>
      <i/>
      <sz val="11"/>
      <color theme="1"/>
      <name val="Garamond"/>
      <family val="1"/>
      <scheme val="minor"/>
    </font>
  </fonts>
  <fills count="31">
    <fill>
      <patternFill patternType="none"/>
    </fill>
    <fill>
      <patternFill patternType="gray125"/>
    </fill>
    <fill>
      <patternFill patternType="solid">
        <fgColor rgb="FF335A8F"/>
        <bgColor indexed="64"/>
      </patternFill>
    </fill>
    <fill>
      <patternFill patternType="solid">
        <fgColor rgb="FFD8DFF4"/>
        <bgColor indexed="64"/>
      </patternFill>
    </fill>
    <fill>
      <patternFill patternType="solid">
        <fgColor theme="2"/>
        <bgColor theme="2"/>
      </patternFill>
    </fill>
    <fill>
      <patternFill patternType="solid">
        <fgColor theme="4"/>
        <bgColor indexed="64"/>
      </patternFill>
    </fill>
    <fill>
      <patternFill patternType="solid">
        <fgColor indexed="18"/>
        <bgColor indexed="64"/>
      </patternFill>
    </fill>
    <fill>
      <patternFill patternType="solid">
        <fgColor indexed="43"/>
      </patternFill>
    </fill>
    <fill>
      <patternFill patternType="gray0625">
        <fgColor indexed="10"/>
        <bgColor indexed="9"/>
      </patternFill>
    </fill>
    <fill>
      <patternFill patternType="solid">
        <fgColor indexed="44"/>
        <bgColor indexed="64"/>
      </patternFill>
    </fill>
    <fill>
      <patternFill patternType="solid">
        <fgColor indexed="43"/>
        <bgColor indexed="64"/>
      </patternFill>
    </fill>
    <fill>
      <patternFill patternType="lightGray">
        <fgColor indexed="14"/>
        <bgColor indexed="9"/>
      </patternFill>
    </fill>
    <fill>
      <patternFill patternType="solid">
        <fgColor indexed="41"/>
        <bgColor indexed="64"/>
      </patternFill>
    </fill>
    <fill>
      <patternFill patternType="solid">
        <fgColor indexed="26"/>
        <bgColor indexed="64"/>
      </patternFill>
    </fill>
    <fill>
      <patternFill patternType="lightGray">
        <fgColor indexed="12"/>
      </patternFill>
    </fill>
    <fill>
      <patternFill patternType="solid">
        <fgColor indexed="9"/>
        <bgColor indexed="64"/>
      </patternFill>
    </fill>
    <fill>
      <patternFill patternType="solid">
        <fgColor indexed="22"/>
        <bgColor indexed="64"/>
      </patternFill>
    </fill>
    <fill>
      <patternFill patternType="solid">
        <fgColor indexed="39"/>
        <bgColor indexed="64"/>
      </patternFill>
    </fill>
    <fill>
      <patternFill patternType="solid">
        <fgColor indexed="24"/>
        <bgColor indexed="64"/>
      </patternFill>
    </fill>
    <fill>
      <patternFill patternType="lightGray">
        <fgColor indexed="12"/>
        <bgColor indexed="9"/>
      </patternFill>
    </fill>
    <fill>
      <patternFill patternType="gray125">
        <fgColor indexed="8"/>
      </patternFill>
    </fill>
    <fill>
      <patternFill patternType="solid">
        <fgColor indexed="38"/>
        <bgColor indexed="64"/>
      </patternFill>
    </fill>
    <fill>
      <patternFill patternType="solid">
        <fgColor indexed="13"/>
        <bgColor indexed="64"/>
      </patternFill>
    </fill>
    <fill>
      <patternFill patternType="solid">
        <fgColor indexed="11"/>
        <bgColor indexed="9"/>
      </patternFill>
    </fill>
    <fill>
      <patternFill patternType="solid">
        <fgColor indexed="13"/>
      </patternFill>
    </fill>
    <fill>
      <patternFill patternType="solid">
        <fgColor indexed="10"/>
      </patternFill>
    </fill>
    <fill>
      <patternFill patternType="solid">
        <fgColor theme="0"/>
        <bgColor indexed="64"/>
      </patternFill>
    </fill>
    <fill>
      <patternFill patternType="solid">
        <fgColor theme="8"/>
        <bgColor indexed="64"/>
      </patternFill>
    </fill>
    <fill>
      <patternFill patternType="solid">
        <fgColor rgb="FFCDDFF4"/>
        <bgColor indexed="64"/>
      </patternFill>
    </fill>
    <fill>
      <patternFill patternType="solid">
        <fgColor theme="6" tint="-9.9978637043366805E-2"/>
        <bgColor indexed="64"/>
      </patternFill>
    </fill>
    <fill>
      <patternFill patternType="solid">
        <fgColor rgb="FFA6C6EC"/>
        <bgColor indexed="64"/>
      </patternFill>
    </fill>
  </fills>
  <borders count="97">
    <border>
      <left/>
      <right/>
      <top/>
      <bottom/>
      <diagonal/>
    </border>
    <border>
      <left/>
      <right/>
      <top style="thin">
        <color auto="1"/>
      </top>
      <bottom/>
      <diagonal/>
    </border>
    <border>
      <left/>
      <right/>
      <top/>
      <bottom style="thin">
        <color auto="1"/>
      </bottom>
      <diagonal/>
    </border>
    <border>
      <left/>
      <right style="thin">
        <color indexed="64"/>
      </right>
      <top/>
      <bottom/>
      <diagonal/>
    </border>
    <border>
      <left/>
      <right/>
      <top style="thin">
        <color indexed="64"/>
      </top>
      <bottom style="thin">
        <color auto="1"/>
      </bottom>
      <diagonal/>
    </border>
    <border>
      <left style="thin">
        <color auto="1"/>
      </left>
      <right/>
      <top/>
      <bottom/>
      <diagonal/>
    </border>
    <border>
      <left/>
      <right/>
      <top/>
      <bottom style="double">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ck">
        <color indexed="9"/>
      </left>
      <right style="thick">
        <color indexed="9"/>
      </right>
      <top/>
      <bottom style="thick">
        <color indexed="9"/>
      </bottom>
      <diagonal/>
    </border>
    <border>
      <left style="thick">
        <color indexed="9"/>
      </left>
      <right style="thick">
        <color indexed="9"/>
      </right>
      <top/>
      <bottom/>
      <diagonal/>
    </border>
    <border>
      <left/>
      <right style="thick">
        <color indexed="9"/>
      </right>
      <top/>
      <bottom style="thick">
        <color indexed="9"/>
      </bottom>
      <diagonal/>
    </border>
    <border>
      <left/>
      <right/>
      <top style="hair">
        <color indexed="8"/>
      </top>
      <bottom style="hair">
        <color indexed="8"/>
      </bottom>
      <diagonal/>
    </border>
    <border>
      <left/>
      <right/>
      <top style="thin">
        <color indexed="8"/>
      </top>
      <bottom style="thin">
        <color indexed="8"/>
      </bottom>
      <diagonal/>
    </border>
    <border>
      <left/>
      <right/>
      <top/>
      <bottom style="medium">
        <color indexed="18"/>
      </bottom>
      <diagonal/>
    </border>
    <border>
      <left/>
      <right/>
      <top/>
      <bottom style="thin">
        <color indexed="8"/>
      </bottom>
      <diagonal/>
    </border>
    <border>
      <left style="thin">
        <color indexed="64"/>
      </left>
      <right style="thin">
        <color indexed="64"/>
      </right>
      <top style="thin">
        <color indexed="64"/>
      </top>
      <bottom/>
      <diagonal/>
    </border>
    <border>
      <left style="double">
        <color indexed="64"/>
      </left>
      <right/>
      <top/>
      <bottom style="hair">
        <color indexed="64"/>
      </bottom>
      <diagonal/>
    </border>
    <border>
      <left/>
      <right style="thin">
        <color indexed="18"/>
      </right>
      <top/>
      <bottom/>
      <diagonal/>
    </border>
    <border>
      <left/>
      <right/>
      <top/>
      <bottom style="medium">
        <color indexed="8"/>
      </bottom>
      <diagonal/>
    </border>
    <border>
      <left style="medium">
        <color indexed="9"/>
      </left>
      <right style="medium">
        <color indexed="9"/>
      </right>
      <top style="medium">
        <color indexed="9"/>
      </top>
      <bottom style="medium">
        <color indexed="9"/>
      </bottom>
      <diagonal/>
    </border>
    <border>
      <left style="medium">
        <color indexed="9"/>
      </left>
      <right style="medium">
        <color indexed="9"/>
      </right>
      <top/>
      <bottom/>
      <diagonal/>
    </border>
    <border>
      <left/>
      <right/>
      <top/>
      <bottom style="thin">
        <color indexed="28"/>
      </bottom>
      <diagonal/>
    </border>
    <border>
      <left/>
      <right/>
      <top/>
      <bottom style="thin">
        <color indexed="64"/>
      </bottom>
      <diagonal/>
    </border>
    <border>
      <left/>
      <right style="hair">
        <color indexed="64"/>
      </right>
      <top style="medium">
        <color indexed="64"/>
      </top>
      <bottom style="medium">
        <color indexed="64"/>
      </bottom>
      <diagonal/>
    </border>
    <border>
      <left/>
      <right style="thin">
        <color indexed="8"/>
      </right>
      <top style="thin">
        <color indexed="8"/>
      </top>
      <bottom/>
      <diagonal/>
    </border>
    <border>
      <left style="medium">
        <color indexed="64"/>
      </left>
      <right/>
      <top style="medium">
        <color indexed="64"/>
      </top>
      <bottom/>
      <diagonal/>
    </border>
    <border>
      <left/>
      <right/>
      <top/>
      <bottom style="hair">
        <color indexed="64"/>
      </bottom>
      <diagonal/>
    </border>
    <border>
      <left style="thin">
        <color indexed="8"/>
      </left>
      <right style="thin">
        <color indexed="8"/>
      </right>
      <top style="thin">
        <color indexed="8"/>
      </top>
      <bottom style="thin">
        <color indexed="8"/>
      </bottom>
      <diagonal/>
    </border>
    <border>
      <left/>
      <right/>
      <top style="thin">
        <color indexed="64"/>
      </top>
      <bottom style="medium">
        <color indexed="64"/>
      </bottom>
      <diagonal/>
    </border>
    <border>
      <left/>
      <right style="medium">
        <color indexed="64"/>
      </right>
      <top/>
      <bottom/>
      <diagonal/>
    </border>
    <border>
      <left/>
      <right/>
      <top style="thin">
        <color indexed="8"/>
      </top>
      <bottom/>
      <diagonal/>
    </border>
    <border>
      <left/>
      <right/>
      <top/>
      <bottom style="dotted">
        <color indexed="64"/>
      </bottom>
      <diagonal/>
    </border>
    <border>
      <left/>
      <right/>
      <top/>
      <bottom style="medium">
        <color indexed="63"/>
      </bottom>
      <diagonal/>
    </border>
    <border>
      <left/>
      <right/>
      <top style="hair">
        <color indexed="64"/>
      </top>
      <bottom/>
      <diagonal/>
    </border>
    <border>
      <left/>
      <right/>
      <top style="thin">
        <color indexed="64"/>
      </top>
      <bottom/>
      <diagonal/>
    </border>
    <border>
      <left/>
      <right/>
      <top/>
      <bottom style="thin">
        <color indexed="23"/>
      </bottom>
      <diagonal/>
    </border>
    <border>
      <left/>
      <right/>
      <top style="thick">
        <color indexed="17"/>
      </top>
      <bottom/>
      <diagonal/>
    </border>
    <border>
      <left/>
      <right/>
      <top/>
      <bottom style="thick">
        <color indexed="18"/>
      </bottom>
      <diagonal/>
    </border>
    <border>
      <left/>
      <right/>
      <top/>
      <bottom style="thin">
        <color indexed="18"/>
      </bottom>
      <diagonal/>
    </border>
    <border>
      <left/>
      <right/>
      <top style="medium">
        <color indexed="64"/>
      </top>
      <bottom style="medium">
        <color indexed="64"/>
      </bottom>
      <diagonal/>
    </border>
    <border>
      <left style="thin">
        <color indexed="64"/>
      </left>
      <right style="thin">
        <color indexed="64"/>
      </right>
      <top/>
      <bottom/>
      <diagonal/>
    </border>
    <border>
      <left style="thin">
        <color indexed="9"/>
      </left>
      <right style="thin">
        <color indexed="9"/>
      </right>
      <top/>
      <bottom/>
      <diagonal/>
    </border>
    <border>
      <left/>
      <right/>
      <top/>
      <bottom style="thin">
        <color indexed="22"/>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dotted">
        <color indexed="64"/>
      </left>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indexed="64"/>
      </left>
      <right style="thin">
        <color indexed="64"/>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bottom style="thin">
        <color theme="4"/>
      </bottom>
      <diagonal/>
    </border>
    <border>
      <left style="mediumDashed">
        <color indexed="64"/>
      </left>
      <right/>
      <top/>
      <bottom/>
      <diagonal/>
    </border>
    <border>
      <left style="mediumDashed">
        <color indexed="64"/>
      </left>
      <right/>
      <top style="thin">
        <color indexed="64"/>
      </top>
      <bottom/>
      <diagonal/>
    </border>
    <border>
      <left style="mediumDashed">
        <color indexed="64"/>
      </left>
      <right/>
      <top style="thin">
        <color indexed="64"/>
      </top>
      <bottom style="double">
        <color indexed="64"/>
      </bottom>
      <diagonal/>
    </border>
    <border>
      <left/>
      <right/>
      <top style="thin">
        <color theme="0"/>
      </top>
      <bottom/>
      <diagonal/>
    </border>
    <border>
      <left style="thin">
        <color auto="1"/>
      </left>
      <right style="thin">
        <color auto="1"/>
      </right>
      <top style="thin">
        <color indexed="64"/>
      </top>
      <bottom style="double">
        <color indexed="64"/>
      </bottom>
      <diagonal/>
    </border>
    <border>
      <left style="thin">
        <color auto="1"/>
      </left>
      <right/>
      <top style="thin">
        <color indexed="64"/>
      </top>
      <bottom style="double">
        <color indexed="64"/>
      </bottom>
      <diagonal/>
    </border>
    <border>
      <left style="mediumDashed">
        <color auto="1"/>
      </left>
      <right style="mediumDashed">
        <color auto="1"/>
      </right>
      <top/>
      <bottom/>
      <diagonal/>
    </border>
    <border>
      <left style="mediumDashed">
        <color auto="1"/>
      </left>
      <right style="mediumDashed">
        <color auto="1"/>
      </right>
      <top style="thin">
        <color indexed="64"/>
      </top>
      <bottom/>
      <diagonal/>
    </border>
    <border>
      <left style="mediumDashed">
        <color auto="1"/>
      </left>
      <right style="mediumDashed">
        <color auto="1"/>
      </right>
      <top style="thin">
        <color indexed="64"/>
      </top>
      <bottom style="double">
        <color indexed="64"/>
      </bottom>
      <diagonal/>
    </border>
    <border>
      <left style="thin">
        <color indexed="64"/>
      </left>
      <right style="mediumDashed">
        <color indexed="64"/>
      </right>
      <top/>
      <bottom/>
      <diagonal/>
    </border>
    <border>
      <left style="thin">
        <color indexed="64"/>
      </left>
      <right style="mediumDashed">
        <color indexed="64"/>
      </right>
      <top style="thin">
        <color indexed="64"/>
      </top>
      <bottom style="double">
        <color indexed="64"/>
      </bottom>
      <diagonal/>
    </border>
    <border>
      <left style="thin">
        <color auto="1"/>
      </left>
      <right style="mediumDashed">
        <color indexed="64"/>
      </right>
      <top/>
      <bottom style="thin">
        <color auto="1"/>
      </bottom>
      <diagonal/>
    </border>
    <border>
      <left style="mediumDashed">
        <color indexed="64"/>
      </left>
      <right/>
      <top style="thin">
        <color indexed="64"/>
      </top>
      <bottom style="thin">
        <color indexed="64"/>
      </bottom>
      <diagonal/>
    </border>
    <border>
      <left style="mediumDashed">
        <color auto="1"/>
      </left>
      <right style="mediumDashed">
        <color auto="1"/>
      </right>
      <top style="thin">
        <color indexed="64"/>
      </top>
      <bottom style="thin">
        <color indexed="64"/>
      </bottom>
      <diagonal/>
    </border>
    <border>
      <left style="thin">
        <color indexed="64"/>
      </left>
      <right style="mediumDashed">
        <color indexed="64"/>
      </right>
      <top style="thin">
        <color indexed="64"/>
      </top>
      <bottom style="thin">
        <color indexed="64"/>
      </bottom>
      <diagonal/>
    </border>
    <border>
      <left style="mediumDashed">
        <color theme="8"/>
      </left>
      <right style="mediumDashed">
        <color theme="8"/>
      </right>
      <top/>
      <bottom/>
      <diagonal/>
    </border>
    <border>
      <left style="mediumDashed">
        <color theme="8"/>
      </left>
      <right style="mediumDashed">
        <color theme="8"/>
      </right>
      <top style="thin">
        <color indexed="64"/>
      </top>
      <bottom/>
      <diagonal/>
    </border>
    <border>
      <left style="mediumDashed">
        <color theme="8"/>
      </left>
      <right style="mediumDashed">
        <color theme="8"/>
      </right>
      <top style="thin">
        <color indexed="64"/>
      </top>
      <bottom style="thin">
        <color indexed="64"/>
      </bottom>
      <diagonal/>
    </border>
    <border>
      <left style="mediumDashed">
        <color theme="8"/>
      </left>
      <right style="mediumDashed">
        <color theme="8"/>
      </right>
      <top/>
      <bottom style="thin">
        <color auto="1"/>
      </bottom>
      <diagonal/>
    </border>
    <border>
      <left style="mediumDashed">
        <color theme="8"/>
      </left>
      <right style="mediumDashed">
        <color theme="8"/>
      </right>
      <top style="thin">
        <color indexed="64"/>
      </top>
      <bottom style="double">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auto="1"/>
      </right>
      <top style="thin">
        <color indexed="64"/>
      </top>
      <bottom style="double">
        <color indexed="64"/>
      </bottom>
      <diagonal/>
    </border>
    <border>
      <left style="thin">
        <color auto="1"/>
      </left>
      <right style="thin">
        <color auto="1"/>
      </right>
      <top style="medium">
        <color auto="1"/>
      </top>
      <bottom style="thin">
        <color indexed="64"/>
      </bottom>
      <diagonal/>
    </border>
    <border>
      <left style="thin">
        <color auto="1"/>
      </left>
      <right/>
      <top style="medium">
        <color auto="1"/>
      </top>
      <bottom style="thin">
        <color indexed="64"/>
      </bottom>
      <diagonal/>
    </border>
    <border>
      <left style="mediumDashed">
        <color indexed="64"/>
      </left>
      <right/>
      <top style="medium">
        <color auto="1"/>
      </top>
      <bottom style="thin">
        <color indexed="64"/>
      </bottom>
      <diagonal/>
    </border>
    <border>
      <left/>
      <right/>
      <top style="medium">
        <color auto="1"/>
      </top>
      <bottom style="thin">
        <color indexed="64"/>
      </bottom>
      <diagonal/>
    </border>
    <border>
      <left style="mediumDashed">
        <color theme="8"/>
      </left>
      <right style="mediumDashed">
        <color theme="8"/>
      </right>
      <top style="medium">
        <color auto="1"/>
      </top>
      <bottom style="thin">
        <color indexed="64"/>
      </bottom>
      <diagonal/>
    </border>
    <border>
      <left style="mediumDashed">
        <color auto="1"/>
      </left>
      <right style="mediumDashed">
        <color auto="1"/>
      </right>
      <top style="medium">
        <color auto="1"/>
      </top>
      <bottom style="thin">
        <color indexed="64"/>
      </bottom>
      <diagonal/>
    </border>
    <border>
      <left style="medium">
        <color indexed="64"/>
      </left>
      <right/>
      <top style="thin">
        <color auto="1"/>
      </top>
      <bottom/>
      <diagonal/>
    </border>
    <border>
      <left/>
      <right style="medium">
        <color indexed="64"/>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indexed="64"/>
      </left>
      <right style="mediumDashed">
        <color indexed="64"/>
      </right>
      <top style="thin">
        <color indexed="64"/>
      </top>
      <bottom/>
      <diagonal/>
    </border>
    <border>
      <left/>
      <right style="thin">
        <color auto="1"/>
      </right>
      <top style="thin">
        <color auto="1"/>
      </top>
      <bottom/>
      <diagonal/>
    </border>
  </borders>
  <cellStyleXfs count="1255">
    <xf numFmtId="0" fontId="0" fillId="0" borderId="0"/>
    <xf numFmtId="0" fontId="2" fillId="0" borderId="0" applyNumberFormat="0" applyFill="0" applyAlignment="0" applyProtection="0"/>
    <xf numFmtId="0" fontId="3" fillId="0" borderId="0" applyNumberFormat="0" applyFill="0" applyAlignment="0" applyProtection="0"/>
    <xf numFmtId="0" fontId="4" fillId="0" borderId="0" applyNumberFormat="0" applyFill="0" applyAlignment="0" applyProtection="0"/>
    <xf numFmtId="0" fontId="5" fillId="0" borderId="0" applyNumberFormat="0" applyFill="0" applyAlignment="0" applyProtection="0"/>
    <xf numFmtId="0" fontId="6" fillId="0" borderId="0" applyNumberFormat="0" applyFill="0" applyAlignment="0" applyProtection="0"/>
    <xf numFmtId="0" fontId="7" fillId="0" borderId="0" applyNumberFormat="0" applyFill="0" applyAlignment="0" applyProtection="0"/>
    <xf numFmtId="0" fontId="1" fillId="0" borderId="0" applyNumberFormat="0" applyFill="0" applyAlignment="0" applyProtection="0"/>
    <xf numFmtId="0" fontId="8" fillId="0" borderId="1" applyNumberFormat="0" applyFill="0" applyAlignment="0" applyProtection="0"/>
    <xf numFmtId="0" fontId="2" fillId="0" borderId="2" applyNumberFormat="0" applyFill="0" applyAlignment="0" applyProtection="0"/>
    <xf numFmtId="0" fontId="10" fillId="2" borderId="0"/>
    <xf numFmtId="0" fontId="9" fillId="3" borderId="0"/>
    <xf numFmtId="0" fontId="9" fillId="4" borderId="0"/>
    <xf numFmtId="0" fontId="12" fillId="0" borderId="0"/>
    <xf numFmtId="0" fontId="19" fillId="0" borderId="0"/>
    <xf numFmtId="0" fontId="22" fillId="0" borderId="0"/>
    <xf numFmtId="43" fontId="22" fillId="0" borderId="0" applyFont="0" applyFill="0" applyBorder="0" applyAlignment="0" applyProtection="0"/>
    <xf numFmtId="0" fontId="26" fillId="0" borderId="0"/>
    <xf numFmtId="0" fontId="27" fillId="0" borderId="0"/>
    <xf numFmtId="165" fontId="28" fillId="0" borderId="0">
      <alignment horizontal="right"/>
    </xf>
    <xf numFmtId="7" fontId="28" fillId="0" borderId="0">
      <alignment horizontal="right"/>
    </xf>
    <xf numFmtId="173" fontId="27" fillId="0" borderId="0">
      <alignment horizontal="right"/>
    </xf>
    <xf numFmtId="7" fontId="29" fillId="0" borderId="0">
      <alignment horizontal="right"/>
    </xf>
    <xf numFmtId="0" fontId="30" fillId="0" borderId="0">
      <alignment vertical="top"/>
    </xf>
    <xf numFmtId="0" fontId="31" fillId="0" borderId="2" applyFont="0" applyFill="0" applyBorder="0" applyAlignment="0" applyProtection="0"/>
    <xf numFmtId="0" fontId="32" fillId="0" borderId="2" applyFont="0" applyFill="0" applyBorder="0" applyAlignment="0" applyProtection="0"/>
    <xf numFmtId="0" fontId="32" fillId="0" borderId="2" applyFont="0" applyFill="0" applyBorder="0" applyAlignment="0" applyProtection="0"/>
    <xf numFmtId="0" fontId="32" fillId="0" borderId="2" applyFont="0" applyFill="0" applyBorder="0" applyAlignment="0" applyProtection="0"/>
    <xf numFmtId="174" fontId="32" fillId="0" borderId="2" applyFont="0" applyFill="0" applyBorder="0" applyAlignment="0" applyProtection="0"/>
    <xf numFmtId="0" fontId="32" fillId="0" borderId="2" applyFont="0" applyFill="0" applyBorder="0" applyAlignment="0" applyProtection="0"/>
    <xf numFmtId="39" fontId="33" fillId="0" borderId="0" applyFill="0" applyBorder="0" applyAlignment="0"/>
    <xf numFmtId="0" fontId="28" fillId="0" borderId="0" applyFont="0" applyFill="0" applyBorder="0" applyAlignment="0" applyProtection="0"/>
    <xf numFmtId="175" fontId="28" fillId="0" borderId="0" applyFont="0" applyFill="0" applyBorder="0" applyAlignment="0"/>
    <xf numFmtId="176" fontId="22" fillId="0" borderId="0" applyFont="0" applyFill="0" applyBorder="0" applyAlignment="0" applyProtection="0"/>
    <xf numFmtId="0" fontId="34" fillId="0" borderId="0"/>
    <xf numFmtId="43" fontId="22" fillId="0" borderId="0" applyFont="0" applyFill="0" applyBorder="0" applyAlignment="0" applyProtection="0"/>
    <xf numFmtId="0" fontId="35" fillId="0" borderId="0"/>
    <xf numFmtId="0" fontId="36" fillId="0" borderId="0" applyFont="0" applyAlignment="0">
      <alignment horizontal="center" vertical="center"/>
    </xf>
    <xf numFmtId="0" fontId="22" fillId="0" borderId="0" applyFont="0" applyFill="0" applyBorder="0" applyProtection="0">
      <alignment wrapText="1"/>
    </xf>
    <xf numFmtId="0" fontId="22" fillId="0" borderId="0" applyFont="0" applyFill="0" applyBorder="0" applyProtection="0">
      <alignment wrapText="1"/>
    </xf>
    <xf numFmtId="177" fontId="32" fillId="0" borderId="0" applyFont="0" applyFill="0" applyBorder="0" applyProtection="0">
      <alignment wrapText="1"/>
    </xf>
    <xf numFmtId="178" fontId="32" fillId="0" borderId="0" applyFont="0" applyFill="0" applyBorder="0" applyProtection="0">
      <alignment wrapText="1"/>
    </xf>
    <xf numFmtId="0" fontId="22" fillId="0" borderId="0" applyFont="0" applyFill="0" applyBorder="0" applyProtection="0">
      <alignment horizontal="left" wrapText="1"/>
    </xf>
    <xf numFmtId="0" fontId="22" fillId="0" borderId="0" applyFont="0" applyFill="0" applyBorder="0" applyProtection="0">
      <alignment horizontal="left" wrapText="1"/>
    </xf>
    <xf numFmtId="178" fontId="32" fillId="0" borderId="0" applyFont="0" applyFill="0" applyBorder="0" applyProtection="0">
      <alignment horizontal="left" wrapText="1"/>
    </xf>
    <xf numFmtId="179" fontId="32" fillId="0" borderId="0" applyFont="0" applyFill="0" applyBorder="0" applyProtection="0">
      <alignment horizontal="left" wrapText="1"/>
    </xf>
    <xf numFmtId="0" fontId="22" fillId="0" borderId="0" applyFont="0" applyFill="0" applyBorder="0" applyProtection="0">
      <alignment wrapText="1"/>
    </xf>
    <xf numFmtId="0" fontId="22" fillId="0" borderId="0" applyFont="0" applyFill="0" applyBorder="0" applyProtection="0">
      <alignment wrapText="1"/>
    </xf>
    <xf numFmtId="179" fontId="32" fillId="0" borderId="0" applyFont="0" applyFill="0" applyBorder="0" applyProtection="0">
      <alignment wrapText="1"/>
    </xf>
    <xf numFmtId="180" fontId="32" fillId="0" borderId="0" applyFont="0" applyFill="0" applyBorder="0" applyProtection="0">
      <alignment wrapText="1"/>
    </xf>
    <xf numFmtId="0" fontId="22" fillId="0" borderId="0" applyFont="0" applyFill="0" applyBorder="0" applyProtection="0">
      <alignment wrapText="1"/>
    </xf>
    <xf numFmtId="0" fontId="22" fillId="0" borderId="0" applyFont="0" applyFill="0" applyBorder="0" applyProtection="0">
      <alignment wrapText="1"/>
    </xf>
    <xf numFmtId="180" fontId="32" fillId="0" borderId="0" applyFont="0" applyFill="0" applyBorder="0" applyProtection="0">
      <alignment wrapText="1"/>
    </xf>
    <xf numFmtId="181" fontId="32" fillId="0" borderId="0" applyFont="0" applyFill="0" applyBorder="0" applyProtection="0">
      <alignment wrapText="1"/>
    </xf>
    <xf numFmtId="0" fontId="22" fillId="0" borderId="0" applyFont="0" applyFill="0" applyBorder="0" applyProtection="0">
      <alignment wrapText="1"/>
    </xf>
    <xf numFmtId="0" fontId="22" fillId="0" borderId="0" applyFont="0" applyFill="0" applyBorder="0" applyProtection="0">
      <alignment wrapText="1"/>
    </xf>
    <xf numFmtId="181" fontId="32" fillId="0" borderId="0" applyFont="0" applyFill="0" applyBorder="0" applyProtection="0">
      <alignment wrapText="1"/>
    </xf>
    <xf numFmtId="182" fontId="32" fillId="0" borderId="0" applyFont="0" applyFill="0" applyBorder="0" applyProtection="0">
      <alignment wrapText="1"/>
    </xf>
    <xf numFmtId="0" fontId="22" fillId="0" borderId="0" applyFont="0" applyFill="0" applyBorder="0" applyProtection="0">
      <alignment wrapText="1"/>
    </xf>
    <xf numFmtId="0" fontId="22" fillId="0" borderId="0" applyFont="0" applyFill="0" applyBorder="0" applyProtection="0">
      <alignment wrapText="1"/>
    </xf>
    <xf numFmtId="182" fontId="32" fillId="0" borderId="0" applyFont="0" applyFill="0" applyBorder="0" applyProtection="0">
      <alignment wrapText="1"/>
    </xf>
    <xf numFmtId="183" fontId="32" fillId="0" borderId="0" applyFont="0" applyFill="0" applyBorder="0" applyProtection="0">
      <alignment wrapText="1"/>
    </xf>
    <xf numFmtId="184" fontId="22" fillId="0" borderId="0" applyFont="0" applyFill="0" applyBorder="0" applyAlignment="0" applyProtection="0"/>
    <xf numFmtId="0" fontId="30" fillId="0" borderId="0" applyFont="0" applyFill="0" applyBorder="0" applyAlignment="0" applyProtection="0"/>
    <xf numFmtId="0" fontId="30" fillId="0" borderId="0" applyFont="0" applyFill="0" applyBorder="0" applyAlignment="0" applyProtection="0"/>
    <xf numFmtId="0" fontId="30" fillId="0" borderId="0" applyFont="0" applyFill="0" applyBorder="0" applyAlignment="0" applyProtection="0"/>
    <xf numFmtId="185" fontId="22" fillId="0" borderId="0" applyFont="0" applyFill="0" applyBorder="0" applyAlignment="0" applyProtection="0"/>
    <xf numFmtId="0" fontId="30" fillId="0" borderId="0" applyFont="0" applyFill="0" applyBorder="0" applyAlignment="0" applyProtection="0"/>
    <xf numFmtId="0" fontId="30" fillId="0" borderId="0" applyFont="0" applyFill="0" applyBorder="0" applyAlignment="0" applyProtection="0"/>
    <xf numFmtId="185" fontId="30" fillId="0" borderId="0" applyFont="0" applyFill="0" applyBorder="0" applyAlignment="0" applyProtection="0"/>
    <xf numFmtId="0" fontId="22" fillId="0" borderId="0" applyFont="0" applyFill="0" applyBorder="0" applyProtection="0">
      <alignment horizontal="right"/>
    </xf>
    <xf numFmtId="0" fontId="22" fillId="0" borderId="0" applyFont="0" applyFill="0" applyBorder="0" applyProtection="0">
      <alignment horizontal="right"/>
    </xf>
    <xf numFmtId="183" fontId="32" fillId="0" borderId="0" applyFont="0" applyFill="0" applyBorder="0" applyProtection="0">
      <alignment horizontal="right"/>
    </xf>
    <xf numFmtId="186" fontId="32" fillId="0" borderId="0" applyFont="0" applyFill="0" applyBorder="0" applyProtection="0">
      <alignment horizontal="right"/>
    </xf>
    <xf numFmtId="0" fontId="22" fillId="0" borderId="0" applyFont="0" applyFill="0" applyBorder="0" applyProtection="0">
      <alignment horizontal="right"/>
    </xf>
    <xf numFmtId="0" fontId="22" fillId="0" borderId="0" applyFont="0" applyFill="0" applyBorder="0" applyProtection="0">
      <alignment horizontal="right"/>
    </xf>
    <xf numFmtId="186" fontId="32" fillId="0" borderId="0" applyFont="0" applyFill="0" applyBorder="0" applyProtection="0">
      <alignment horizontal="right"/>
    </xf>
    <xf numFmtId="187" fontId="32" fillId="0" borderId="0" applyFont="0" applyFill="0" applyBorder="0" applyProtection="0">
      <alignment horizontal="right"/>
    </xf>
    <xf numFmtId="0" fontId="22" fillId="0" borderId="0" applyFont="0" applyFill="0" applyBorder="0" applyProtection="0">
      <alignment horizontal="right"/>
    </xf>
    <xf numFmtId="0" fontId="22" fillId="0" borderId="0" applyFont="0" applyFill="0" applyBorder="0" applyProtection="0">
      <alignment horizontal="right"/>
    </xf>
    <xf numFmtId="0" fontId="22" fillId="0" borderId="0" applyFont="0" applyFill="0" applyBorder="0" applyProtection="0">
      <alignment horizontal="right"/>
    </xf>
    <xf numFmtId="0" fontId="22" fillId="0" borderId="0" applyFont="0" applyFill="0" applyBorder="0" applyProtection="0">
      <alignment horizontal="right"/>
    </xf>
    <xf numFmtId="0" fontId="22" fillId="0" borderId="0" applyFont="0" applyFill="0" applyBorder="0" applyProtection="0">
      <alignment horizontal="right"/>
    </xf>
    <xf numFmtId="0" fontId="22" fillId="0" borderId="0" applyFont="0" applyFill="0" applyBorder="0" applyProtection="0">
      <alignment horizontal="right"/>
    </xf>
    <xf numFmtId="0" fontId="22" fillId="0" borderId="0" applyFont="0" applyFill="0" applyBorder="0" applyProtection="0">
      <alignment horizontal="right"/>
    </xf>
    <xf numFmtId="0" fontId="22" fillId="0" borderId="0" applyFont="0" applyFill="0" applyBorder="0" applyProtection="0">
      <alignment horizontal="right"/>
    </xf>
    <xf numFmtId="187" fontId="32" fillId="0" borderId="0" applyFont="0" applyFill="0" applyBorder="0" applyProtection="0">
      <alignment horizontal="right"/>
    </xf>
    <xf numFmtId="188" fontId="32" fillId="0" borderId="0" applyFont="0" applyFill="0" applyBorder="0" applyProtection="0">
      <alignment horizontal="right"/>
    </xf>
    <xf numFmtId="0" fontId="22" fillId="0" borderId="0" applyFont="0" applyFill="0" applyBorder="0" applyProtection="0">
      <alignment horizontal="right"/>
    </xf>
    <xf numFmtId="0" fontId="22" fillId="0" borderId="0" applyFont="0" applyFill="0" applyBorder="0" applyProtection="0">
      <alignment horizontal="right"/>
    </xf>
    <xf numFmtId="188" fontId="32" fillId="0" borderId="0" applyFont="0" applyFill="0" applyBorder="0" applyProtection="0">
      <alignment horizontal="right"/>
    </xf>
    <xf numFmtId="189" fontId="32" fillId="0" borderId="0" applyFont="0" applyFill="0" applyBorder="0" applyProtection="0">
      <alignment horizontal="right"/>
    </xf>
    <xf numFmtId="0" fontId="22" fillId="0" borderId="0" applyFont="0" applyFill="0" applyBorder="0" applyProtection="0">
      <alignment horizontal="right"/>
    </xf>
    <xf numFmtId="0" fontId="22" fillId="0" borderId="0" applyFont="0" applyFill="0" applyBorder="0" applyProtection="0">
      <alignment horizontal="right"/>
    </xf>
    <xf numFmtId="0" fontId="22" fillId="0" borderId="0" applyFont="0" applyFill="0" applyBorder="0" applyProtection="0">
      <alignment horizontal="right"/>
    </xf>
    <xf numFmtId="0" fontId="22" fillId="0" borderId="0" applyFont="0" applyFill="0" applyBorder="0" applyProtection="0">
      <alignment horizontal="right"/>
    </xf>
    <xf numFmtId="0" fontId="22" fillId="0" borderId="0" applyFont="0" applyFill="0" applyBorder="0" applyProtection="0">
      <alignment horizontal="right"/>
    </xf>
    <xf numFmtId="0" fontId="22" fillId="0" borderId="0" applyFont="0" applyFill="0" applyBorder="0" applyProtection="0">
      <alignment horizontal="right"/>
    </xf>
    <xf numFmtId="0" fontId="22" fillId="0" borderId="0" applyFont="0" applyFill="0" applyBorder="0" applyProtection="0">
      <alignment horizontal="right"/>
    </xf>
    <xf numFmtId="0" fontId="22" fillId="0" borderId="0" applyFont="0" applyFill="0" applyBorder="0" applyProtection="0">
      <alignment horizontal="right"/>
    </xf>
    <xf numFmtId="189" fontId="32" fillId="0" borderId="0" applyFont="0" applyFill="0" applyBorder="0" applyProtection="0">
      <alignment horizontal="right"/>
    </xf>
    <xf numFmtId="168" fontId="32" fillId="0" borderId="0" applyFont="0" applyFill="0" applyBorder="0" applyProtection="0">
      <alignment horizontal="right"/>
    </xf>
    <xf numFmtId="0" fontId="22" fillId="0" borderId="0" applyFont="0" applyFill="0" applyBorder="0" applyProtection="0">
      <alignment horizontal="right"/>
    </xf>
    <xf numFmtId="0" fontId="22" fillId="0" borderId="0" applyFont="0" applyFill="0" applyBorder="0" applyProtection="0">
      <alignment horizontal="right"/>
    </xf>
    <xf numFmtId="168" fontId="32" fillId="0" borderId="0" applyFont="0" applyFill="0" applyBorder="0" applyProtection="0">
      <alignment horizontal="right"/>
    </xf>
    <xf numFmtId="190" fontId="32" fillId="0" borderId="0" applyFont="0" applyFill="0" applyBorder="0" applyProtection="0">
      <alignment horizontal="right"/>
    </xf>
    <xf numFmtId="0" fontId="22" fillId="0" borderId="0" applyFont="0" applyFill="0" applyBorder="0" applyProtection="0">
      <alignment horizontal="right"/>
    </xf>
    <xf numFmtId="0" fontId="22" fillId="0" borderId="0" applyFont="0" applyFill="0" applyBorder="0" applyProtection="0">
      <alignment horizontal="right"/>
    </xf>
    <xf numFmtId="0" fontId="22" fillId="0" borderId="0" applyFont="0" applyFill="0" applyBorder="0" applyProtection="0">
      <alignment horizontal="right"/>
    </xf>
    <xf numFmtId="0" fontId="22" fillId="0" borderId="0" applyFont="0" applyFill="0" applyBorder="0" applyProtection="0">
      <alignment horizontal="right"/>
    </xf>
    <xf numFmtId="0" fontId="22" fillId="0" borderId="0" applyFont="0" applyFill="0" applyBorder="0" applyProtection="0">
      <alignment horizontal="right"/>
    </xf>
    <xf numFmtId="0" fontId="22" fillId="0" borderId="0" applyFont="0" applyFill="0" applyBorder="0" applyProtection="0">
      <alignment horizontal="right"/>
    </xf>
    <xf numFmtId="191" fontId="32" fillId="0" borderId="0" applyFont="0" applyFill="0" applyBorder="0" applyProtection="0">
      <alignment horizontal="right"/>
    </xf>
    <xf numFmtId="192" fontId="32" fillId="0" borderId="0" applyFont="0" applyFill="0" applyBorder="0" applyProtection="0">
      <alignment horizontal="right"/>
    </xf>
    <xf numFmtId="0" fontId="22" fillId="0" borderId="0" applyFont="0" applyFill="0" applyBorder="0" applyAlignment="0" applyProtection="0"/>
    <xf numFmtId="0" fontId="22" fillId="0" borderId="0"/>
    <xf numFmtId="0" fontId="22" fillId="0" borderId="0"/>
    <xf numFmtId="0" fontId="22" fillId="0" borderId="0"/>
    <xf numFmtId="0" fontId="22" fillId="0" borderId="0" applyFon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xf numFmtId="0" fontId="22" fillId="0" borderId="0"/>
    <xf numFmtId="0" fontId="22" fillId="0" borderId="0"/>
    <xf numFmtId="0" fontId="22" fillId="0" borderId="0"/>
    <xf numFmtId="0" fontId="22" fillId="0" borderId="0" applyFont="0" applyFill="0" applyBorder="0" applyAlignment="0" applyProtection="0"/>
    <xf numFmtId="0" fontId="37" fillId="6" borderId="9">
      <alignment horizontal="center" vertical="center"/>
    </xf>
    <xf numFmtId="0" fontId="37" fillId="6" borderId="10">
      <alignment horizontal="center"/>
    </xf>
    <xf numFmtId="193" fontId="22" fillId="0" borderId="0" applyFont="0" applyFill="0" applyBorder="0" applyAlignment="0" applyProtection="0"/>
    <xf numFmtId="164" fontId="22" fillId="0" borderId="0" applyFont="0" applyFill="0" applyBorder="0" applyAlignment="0" applyProtection="0"/>
    <xf numFmtId="193"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64" fontId="22" fillId="0" borderId="0" applyFont="0" applyFill="0" applyBorder="0" applyAlignment="0" applyProtection="0"/>
    <xf numFmtId="193" fontId="22" fillId="0" borderId="0" applyFont="0" applyFill="0" applyBorder="0" applyAlignment="0" applyProtection="0"/>
    <xf numFmtId="164"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193" fontId="22" fillId="0" borderId="0" applyFont="0" applyFill="0" applyBorder="0" applyAlignment="0" applyProtection="0"/>
    <xf numFmtId="0" fontId="22" fillId="0" borderId="0"/>
    <xf numFmtId="194"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190" fontId="32" fillId="0" borderId="0" applyFont="0" applyFill="0" applyBorder="0" applyAlignment="0" applyProtection="0"/>
    <xf numFmtId="195" fontId="32" fillId="0" borderId="0" applyFont="0" applyFill="0" applyBorder="0" applyAlignment="0" applyProtection="0"/>
    <xf numFmtId="196" fontId="22" fillId="0" borderId="0" applyFont="0" applyFill="0" applyBorder="0" applyAlignment="0" applyProtection="0"/>
    <xf numFmtId="194"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196" fontId="22" fillId="0" borderId="0" applyFont="0" applyFill="0" applyBorder="0" applyAlignment="0" applyProtection="0"/>
    <xf numFmtId="194"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196" fontId="22" fillId="0" borderId="0" applyFont="0" applyFill="0" applyBorder="0" applyAlignment="0" applyProtection="0"/>
    <xf numFmtId="194"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190" fontId="32" fillId="0" borderId="0" applyFont="0" applyFill="0" applyBorder="0" applyAlignment="0" applyProtection="0"/>
    <xf numFmtId="195" fontId="3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190" fontId="32" fillId="0" borderId="0" applyFont="0" applyFill="0" applyBorder="0" applyAlignment="0" applyProtection="0"/>
    <xf numFmtId="195" fontId="32" fillId="0" borderId="0" applyFont="0" applyFill="0" applyBorder="0" applyAlignment="0" applyProtection="0"/>
    <xf numFmtId="194" fontId="22" fillId="0" borderId="0" applyFont="0" applyFill="0" applyBorder="0" applyAlignment="0" applyProtection="0"/>
    <xf numFmtId="0" fontId="22" fillId="0" borderId="0" applyFont="0" applyFill="0" applyBorder="0" applyAlignment="0" applyProtection="0"/>
    <xf numFmtId="190" fontId="32" fillId="0" borderId="0" applyFont="0" applyFill="0" applyBorder="0" applyAlignment="0" applyProtection="0"/>
    <xf numFmtId="195" fontId="3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190" fontId="32" fillId="0" borderId="0" applyFont="0" applyFill="0" applyBorder="0" applyAlignment="0" applyProtection="0"/>
    <xf numFmtId="195" fontId="32" fillId="0" borderId="0" applyFont="0" applyFill="0" applyBorder="0" applyAlignment="0" applyProtection="0"/>
    <xf numFmtId="194" fontId="22" fillId="0" borderId="0" applyFont="0" applyFill="0" applyBorder="0" applyAlignment="0" applyProtection="0"/>
    <xf numFmtId="194" fontId="22" fillId="0" borderId="0" applyFont="0" applyFill="0" applyBorder="0" applyAlignment="0" applyProtection="0"/>
    <xf numFmtId="194"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190" fontId="32" fillId="0" borderId="0" applyFont="0" applyFill="0" applyBorder="0" applyAlignment="0" applyProtection="0"/>
    <xf numFmtId="195" fontId="3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195" fontId="32" fillId="0" borderId="0" applyFont="0" applyFill="0" applyBorder="0" applyAlignment="0" applyProtection="0"/>
    <xf numFmtId="197" fontId="32" fillId="0" borderId="0" applyFont="0" applyFill="0" applyBorder="0" applyAlignment="0" applyProtection="0"/>
    <xf numFmtId="198"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198" fontId="22" fillId="0" borderId="0" applyFont="0" applyFill="0" applyBorder="0" applyAlignment="0" applyProtection="0"/>
    <xf numFmtId="196" fontId="22" fillId="0" borderId="0" applyFont="0" applyFill="0" applyBorder="0" applyAlignment="0" applyProtection="0"/>
    <xf numFmtId="194" fontId="22" fillId="0" borderId="0" applyFont="0" applyFill="0" applyBorder="0" applyAlignment="0" applyProtection="0"/>
    <xf numFmtId="196" fontId="22" fillId="0" borderId="0" applyFont="0" applyFill="0" applyBorder="0" applyAlignment="0" applyProtection="0"/>
    <xf numFmtId="194" fontId="22" fillId="0" borderId="0" applyFont="0" applyFill="0" applyBorder="0" applyAlignment="0" applyProtection="0"/>
    <xf numFmtId="195" fontId="32" fillId="0" borderId="0" applyFont="0" applyFill="0" applyBorder="0" applyAlignment="0" applyProtection="0"/>
    <xf numFmtId="197" fontId="32" fillId="0" borderId="0" applyFont="0" applyFill="0" applyBorder="0" applyAlignment="0" applyProtection="0"/>
    <xf numFmtId="194"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198"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190" fontId="32" fillId="0" borderId="0" applyFont="0" applyFill="0" applyBorder="0" applyAlignment="0" applyProtection="0"/>
    <xf numFmtId="195" fontId="3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190" fontId="32" fillId="0" borderId="0" applyFont="0" applyFill="0" applyBorder="0" applyAlignment="0" applyProtection="0"/>
    <xf numFmtId="195" fontId="3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190" fontId="32" fillId="0" borderId="0" applyFont="0" applyFill="0" applyBorder="0" applyAlignment="0" applyProtection="0"/>
    <xf numFmtId="195" fontId="32" fillId="0" borderId="0" applyFont="0" applyFill="0" applyBorder="0" applyAlignment="0" applyProtection="0"/>
    <xf numFmtId="0" fontId="22" fillId="0" borderId="0" applyFont="0" applyFill="0" applyBorder="0" applyAlignment="0" applyProtection="0"/>
    <xf numFmtId="190" fontId="32" fillId="0" borderId="0" applyFont="0" applyFill="0" applyBorder="0" applyAlignment="0" applyProtection="0"/>
    <xf numFmtId="195" fontId="32" fillId="0" borderId="0" applyFont="0" applyFill="0" applyBorder="0" applyAlignment="0" applyProtection="0"/>
    <xf numFmtId="194"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198" fontId="22" fillId="0" borderId="0" applyFont="0" applyFill="0" applyBorder="0" applyAlignment="0" applyProtection="0"/>
    <xf numFmtId="194" fontId="22" fillId="0" borderId="0" applyFont="0" applyFill="0" applyBorder="0" applyAlignment="0" applyProtection="0"/>
    <xf numFmtId="196"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198"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190" fontId="32" fillId="0" borderId="0" applyFont="0" applyFill="0" applyBorder="0" applyAlignment="0" applyProtection="0"/>
    <xf numFmtId="195" fontId="3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190" fontId="32" fillId="0" borderId="0" applyFont="0" applyFill="0" applyBorder="0" applyAlignment="0" applyProtection="0"/>
    <xf numFmtId="195" fontId="32" fillId="0" borderId="0" applyFont="0" applyFill="0" applyBorder="0" applyAlignment="0" applyProtection="0"/>
    <xf numFmtId="194"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190" fontId="32" fillId="0" borderId="0" applyFont="0" applyFill="0" applyBorder="0" applyAlignment="0" applyProtection="0"/>
    <xf numFmtId="195" fontId="3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190" fontId="32" fillId="0" borderId="0" applyFont="0" applyFill="0" applyBorder="0" applyAlignment="0" applyProtection="0"/>
    <xf numFmtId="195" fontId="3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190" fontId="32" fillId="0" borderId="0" applyFont="0" applyFill="0" applyBorder="0" applyAlignment="0" applyProtection="0"/>
    <xf numFmtId="195" fontId="32" fillId="0" borderId="0" applyFont="0" applyFill="0" applyBorder="0" applyAlignment="0" applyProtection="0"/>
    <xf numFmtId="0" fontId="22" fillId="0" borderId="0" applyFont="0" applyFill="0" applyBorder="0" applyAlignment="0" applyProtection="0"/>
    <xf numFmtId="190" fontId="32" fillId="0" borderId="0" applyFont="0" applyFill="0" applyBorder="0" applyAlignment="0" applyProtection="0"/>
    <xf numFmtId="195" fontId="3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190" fontId="32" fillId="0" borderId="0" applyFont="0" applyFill="0" applyBorder="0" applyAlignment="0" applyProtection="0"/>
    <xf numFmtId="195" fontId="32" fillId="0" borderId="0" applyFont="0" applyFill="0" applyBorder="0" applyAlignment="0" applyProtection="0"/>
    <xf numFmtId="194"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194" fontId="22" fillId="0" borderId="0" applyFont="0" applyFill="0" applyBorder="0" applyAlignment="0" applyProtection="0"/>
    <xf numFmtId="194" fontId="22" fillId="0" borderId="0" applyFont="0" applyFill="0" applyBorder="0" applyAlignment="0" applyProtection="0"/>
    <xf numFmtId="194"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196" fontId="22" fillId="0" borderId="0" applyFont="0" applyFill="0" applyBorder="0" applyAlignment="0" applyProtection="0"/>
    <xf numFmtId="194" fontId="22" fillId="0" borderId="0" applyFont="0" applyFill="0" applyBorder="0" applyAlignment="0" applyProtection="0"/>
    <xf numFmtId="199" fontId="22" fillId="0" borderId="0" applyFont="0" applyFill="0" applyBorder="0" applyAlignment="0" applyProtection="0"/>
    <xf numFmtId="39" fontId="22" fillId="0" borderId="0" applyFont="0" applyFill="0" applyBorder="0" applyAlignment="0" applyProtection="0"/>
    <xf numFmtId="199"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199" fontId="22" fillId="0" borderId="0" applyFont="0" applyFill="0" applyBorder="0" applyAlignment="0" applyProtection="0"/>
    <xf numFmtId="199"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199" fontId="22" fillId="0" borderId="0" applyFont="0" applyFill="0" applyBorder="0" applyAlignment="0" applyProtection="0"/>
    <xf numFmtId="199" fontId="22" fillId="0" borderId="0" applyFont="0" applyFill="0" applyBorder="0" applyAlignment="0" applyProtection="0"/>
    <xf numFmtId="199" fontId="22" fillId="0" borderId="0" applyFont="0" applyFill="0" applyBorder="0" applyAlignment="0" applyProtection="0"/>
    <xf numFmtId="39" fontId="22" fillId="0" borderId="0" applyFont="0" applyFill="0" applyBorder="0" applyAlignment="0" applyProtection="0"/>
    <xf numFmtId="199" fontId="22" fillId="0" borderId="0" applyFont="0" applyFill="0" applyBorder="0" applyAlignment="0" applyProtection="0"/>
    <xf numFmtId="164" fontId="22" fillId="0" borderId="0" applyFont="0" applyFill="0" applyBorder="0" applyAlignment="0" applyProtection="0"/>
    <xf numFmtId="199" fontId="22" fillId="0" borderId="0" applyFont="0" applyFill="0" applyBorder="0" applyAlignment="0" applyProtection="0"/>
    <xf numFmtId="199" fontId="22" fillId="0" borderId="0" applyFont="0" applyFill="0" applyBorder="0" applyAlignment="0" applyProtection="0"/>
    <xf numFmtId="39" fontId="22" fillId="0" borderId="0" applyFont="0" applyFill="0" applyBorder="0" applyAlignment="0" applyProtection="0"/>
    <xf numFmtId="39" fontId="22" fillId="0" borderId="0" applyFont="0" applyFill="0" applyBorder="0" applyAlignment="0" applyProtection="0"/>
    <xf numFmtId="164" fontId="22" fillId="0" borderId="0" applyFont="0" applyFill="0" applyBorder="0" applyAlignment="0" applyProtection="0"/>
    <xf numFmtId="199" fontId="22" fillId="0" borderId="0" applyFont="0" applyFill="0" applyBorder="0" applyAlignment="0" applyProtection="0"/>
    <xf numFmtId="199"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199" fontId="22" fillId="0" borderId="0" applyFont="0" applyFill="0" applyBorder="0" applyAlignment="0" applyProtection="0"/>
    <xf numFmtId="199" fontId="22" fillId="0" borderId="0" applyFont="0" applyFill="0" applyBorder="0" applyAlignment="0" applyProtection="0"/>
    <xf numFmtId="199"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199"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190" fontId="32" fillId="0" borderId="0" applyFont="0" applyFill="0" applyBorder="0" applyAlignment="0" applyProtection="0"/>
    <xf numFmtId="195" fontId="3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198"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198" fontId="22" fillId="0" borderId="0" applyFont="0" applyFill="0" applyBorder="0" applyAlignment="0" applyProtection="0"/>
    <xf numFmtId="0" fontId="22" fillId="0" borderId="0"/>
    <xf numFmtId="200" fontId="22" fillId="0" borderId="0" applyFont="0" applyFill="0" applyBorder="0" applyAlignment="0" applyProtection="0"/>
    <xf numFmtId="0" fontId="30" fillId="0" borderId="0" applyFont="0" applyFill="0" applyBorder="0" applyAlignment="0" applyProtection="0"/>
    <xf numFmtId="0" fontId="30" fillId="0" borderId="0" applyFont="0" applyFill="0" applyBorder="0" applyAlignment="0" applyProtection="0"/>
    <xf numFmtId="200" fontId="30" fillId="0" borderId="0" applyFont="0" applyFill="0" applyBorder="0" applyAlignment="0" applyProtection="0"/>
    <xf numFmtId="0" fontId="22" fillId="0" borderId="0" applyFont="0" applyFill="0" applyBorder="0" applyAlignment="0" applyProtection="0"/>
    <xf numFmtId="0" fontId="22" fillId="0" borderId="0"/>
    <xf numFmtId="0" fontId="37" fillId="6" borderId="11" applyBorder="0">
      <alignment horizontal="center"/>
    </xf>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22" fillId="0" borderId="0" applyNumberFormat="0" applyFill="0" applyBorder="0" applyAlignment="0" applyProtection="0"/>
    <xf numFmtId="0" fontId="38"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38" fillId="0" borderId="0" applyNumberFormat="0" applyFill="0" applyBorder="0" applyAlignment="0" applyProtection="0"/>
    <xf numFmtId="0" fontId="22" fillId="0" borderId="0" applyNumberFormat="0" applyFill="0" applyBorder="0" applyAlignment="0" applyProtection="0"/>
    <xf numFmtId="0" fontId="38" fillId="0" borderId="0" applyNumberFormat="0" applyFill="0" applyBorder="0" applyAlignment="0" applyProtection="0"/>
    <xf numFmtId="0" fontId="22" fillId="0" borderId="0" applyNumberFormat="0" applyFill="0" applyBorder="0" applyAlignment="0" applyProtection="0"/>
    <xf numFmtId="0" fontId="38" fillId="0" borderId="0" applyNumberFormat="0" applyFill="0" applyBorder="0" applyAlignment="0" applyProtection="0"/>
    <xf numFmtId="0" fontId="22" fillId="0" borderId="0" applyNumberFormat="0" applyFill="0" applyBorder="0" applyAlignment="0" applyProtection="0"/>
    <xf numFmtId="0" fontId="38"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22" fillId="0" borderId="0" applyNumberFormat="0" applyFill="0" applyBorder="0" applyAlignment="0" applyProtection="0"/>
    <xf numFmtId="0" fontId="38" fillId="0" borderId="0" applyNumberFormat="0" applyFill="0" applyBorder="0" applyAlignment="0" applyProtection="0"/>
    <xf numFmtId="0" fontId="22" fillId="7" borderId="0" applyNumberFormat="0" applyFont="0" applyAlignment="0" applyProtection="0"/>
    <xf numFmtId="0" fontId="23" fillId="0" borderId="0" applyNumberFormat="0" applyFill="0" applyBorder="0" applyAlignment="0" applyProtection="0"/>
    <xf numFmtId="0" fontId="22" fillId="0" borderId="0"/>
    <xf numFmtId="0" fontId="22" fillId="0" borderId="0"/>
    <xf numFmtId="0" fontId="22" fillId="0" borderId="0"/>
    <xf numFmtId="201"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202" fontId="22" fillId="0" borderId="0" applyFont="0" applyFill="0" applyBorder="0" applyAlignment="0" applyProtection="0"/>
    <xf numFmtId="201"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201" fontId="22" fillId="0" borderId="0" applyFont="0" applyFill="0" applyBorder="0" applyAlignment="0" applyProtection="0"/>
    <xf numFmtId="201"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201" fontId="22" fillId="0" borderId="0" applyFont="0" applyFill="0" applyBorder="0" applyAlignment="0" applyProtection="0"/>
    <xf numFmtId="201" fontId="22" fillId="0" borderId="0" applyFont="0" applyFill="0" applyBorder="0" applyAlignment="0" applyProtection="0"/>
    <xf numFmtId="201" fontId="22" fillId="0" borderId="0" applyFont="0" applyFill="0" applyBorder="0" applyAlignment="0" applyProtection="0"/>
    <xf numFmtId="202" fontId="22" fillId="0" borderId="0" applyFont="0" applyFill="0" applyBorder="0" applyAlignment="0" applyProtection="0"/>
    <xf numFmtId="201" fontId="22" fillId="0" borderId="0" applyFont="0" applyFill="0" applyBorder="0" applyAlignment="0" applyProtection="0"/>
    <xf numFmtId="203" fontId="22" fillId="0" borderId="0" applyFont="0" applyFill="0" applyBorder="0" applyAlignment="0" applyProtection="0"/>
    <xf numFmtId="201" fontId="22" fillId="0" borderId="0" applyFont="0" applyFill="0" applyBorder="0" applyAlignment="0" applyProtection="0"/>
    <xf numFmtId="202" fontId="22" fillId="0" borderId="0" applyFont="0" applyFill="0" applyBorder="0" applyAlignment="0" applyProtection="0"/>
    <xf numFmtId="201"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202"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202" fontId="22" fillId="0" borderId="0" applyFont="0" applyFill="0" applyBorder="0" applyAlignment="0" applyProtection="0"/>
    <xf numFmtId="203" fontId="22" fillId="0" borderId="0" applyFont="0" applyFill="0" applyBorder="0" applyAlignment="0" applyProtection="0"/>
    <xf numFmtId="201" fontId="22" fillId="0" borderId="0" applyFont="0" applyFill="0" applyBorder="0" applyAlignment="0" applyProtection="0"/>
    <xf numFmtId="201"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201" fontId="22" fillId="0" borderId="0" applyFont="0" applyFill="0" applyBorder="0" applyAlignment="0" applyProtection="0"/>
    <xf numFmtId="201" fontId="22" fillId="0" borderId="0" applyFont="0" applyFill="0" applyBorder="0" applyAlignment="0" applyProtection="0"/>
    <xf numFmtId="201"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201" fontId="22" fillId="0" borderId="0" applyFont="0" applyFill="0" applyBorder="0" applyAlignment="0" applyProtection="0"/>
    <xf numFmtId="204" fontId="22" fillId="0" borderId="0" applyFont="0" applyFill="0" applyBorder="0" applyProtection="0">
      <alignment horizontal="right"/>
    </xf>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205"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205" fontId="22" fillId="0" borderId="0" applyFont="0" applyFill="0" applyBorder="0" applyAlignment="0" applyProtection="0"/>
    <xf numFmtId="204" fontId="22" fillId="0" borderId="0" applyFont="0" applyFill="0" applyBorder="0" applyProtection="0">
      <alignment horizontal="right"/>
    </xf>
    <xf numFmtId="0" fontId="22" fillId="0" borderId="0" applyFont="0" applyFill="0" applyBorder="0" applyProtection="0">
      <alignment horizontal="right"/>
    </xf>
    <xf numFmtId="0" fontId="22" fillId="0" borderId="0" applyFont="0" applyFill="0" applyBorder="0" applyProtection="0">
      <alignment horizontal="right"/>
    </xf>
    <xf numFmtId="204" fontId="22" fillId="0" borderId="0" applyFont="0" applyFill="0" applyBorder="0" applyProtection="0">
      <alignment horizontal="right"/>
    </xf>
    <xf numFmtId="204" fontId="22" fillId="0" borderId="0" applyFont="0" applyFill="0" applyBorder="0" applyProtection="0">
      <alignment horizontal="right"/>
    </xf>
    <xf numFmtId="0" fontId="22" fillId="0" borderId="0" applyFont="0" applyFill="0" applyBorder="0" applyProtection="0">
      <alignment horizontal="right"/>
    </xf>
    <xf numFmtId="0" fontId="22" fillId="0" borderId="0" applyFont="0" applyFill="0" applyBorder="0" applyProtection="0">
      <alignment horizontal="right"/>
    </xf>
    <xf numFmtId="204" fontId="22" fillId="0" borderId="0" applyFont="0" applyFill="0" applyBorder="0" applyProtection="0">
      <alignment horizontal="right"/>
    </xf>
    <xf numFmtId="204" fontId="22" fillId="0" borderId="0" applyFont="0" applyFill="0" applyBorder="0" applyProtection="0">
      <alignment horizontal="right"/>
    </xf>
    <xf numFmtId="204" fontId="22" fillId="0" borderId="0" applyFont="0" applyFill="0" applyBorder="0" applyProtection="0">
      <alignment horizontal="right"/>
    </xf>
    <xf numFmtId="205" fontId="22" fillId="0" borderId="0" applyFont="0" applyFill="0" applyBorder="0" applyAlignment="0" applyProtection="0"/>
    <xf numFmtId="204" fontId="22" fillId="0" borderId="0" applyFont="0" applyFill="0" applyBorder="0" applyProtection="0">
      <alignment horizontal="right"/>
    </xf>
    <xf numFmtId="0" fontId="22" fillId="0" borderId="0" applyFont="0" applyFill="0" applyBorder="0" applyAlignment="0" applyProtection="0"/>
    <xf numFmtId="204" fontId="22" fillId="0" borderId="0" applyFont="0" applyFill="0" applyBorder="0" applyProtection="0">
      <alignment horizontal="right"/>
    </xf>
    <xf numFmtId="205" fontId="22" fillId="0" borderId="0" applyFont="0" applyFill="0" applyBorder="0" applyAlignment="0" applyProtection="0"/>
    <xf numFmtId="204" fontId="22" fillId="0" borderId="0" applyFont="0" applyFill="0" applyBorder="0" applyProtection="0">
      <alignment horizontal="right"/>
    </xf>
    <xf numFmtId="0" fontId="22" fillId="0" borderId="0" applyFont="0" applyFill="0" applyBorder="0" applyAlignment="0" applyProtection="0"/>
    <xf numFmtId="0" fontId="22" fillId="0" borderId="0" applyFont="0" applyFill="0" applyBorder="0" applyAlignment="0" applyProtection="0"/>
    <xf numFmtId="205"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205" fontId="22" fillId="0" borderId="0" applyFont="0" applyFill="0" applyBorder="0" applyAlignment="0" applyProtection="0"/>
    <xf numFmtId="0" fontId="22" fillId="0" borderId="0" applyFont="0" applyFill="0" applyBorder="0" applyAlignment="0" applyProtection="0"/>
    <xf numFmtId="204" fontId="22" fillId="0" borderId="0" applyFont="0" applyFill="0" applyBorder="0" applyProtection="0">
      <alignment horizontal="right"/>
    </xf>
    <xf numFmtId="0" fontId="30" fillId="0" borderId="0" applyFont="0" applyFill="0" applyBorder="0" applyAlignment="0" applyProtection="0"/>
    <xf numFmtId="204" fontId="22" fillId="0" borderId="0" applyFont="0" applyFill="0" applyBorder="0" applyProtection="0">
      <alignment horizontal="right"/>
    </xf>
    <xf numFmtId="0" fontId="22" fillId="0" borderId="0" applyFont="0" applyFill="0" applyBorder="0" applyProtection="0">
      <alignment horizontal="right"/>
    </xf>
    <xf numFmtId="0" fontId="22" fillId="0" borderId="0" applyFont="0" applyFill="0" applyBorder="0" applyProtection="0">
      <alignment horizontal="right"/>
    </xf>
    <xf numFmtId="204" fontId="22" fillId="0" borderId="0" applyFont="0" applyFill="0" applyBorder="0" applyProtection="0">
      <alignment horizontal="right"/>
    </xf>
    <xf numFmtId="204" fontId="22" fillId="0" borderId="0" applyFont="0" applyFill="0" applyBorder="0" applyProtection="0">
      <alignment horizontal="right"/>
    </xf>
    <xf numFmtId="204" fontId="22" fillId="0" borderId="0" applyFont="0" applyFill="0" applyBorder="0" applyProtection="0">
      <alignment horizontal="right"/>
    </xf>
    <xf numFmtId="0" fontId="22" fillId="0" borderId="0" applyFont="0" applyFill="0" applyBorder="0" applyAlignment="0" applyProtection="0"/>
    <xf numFmtId="0" fontId="22" fillId="0" borderId="0" applyFont="0" applyFill="0" applyBorder="0" applyProtection="0">
      <alignment horizontal="right"/>
    </xf>
    <xf numFmtId="0" fontId="22" fillId="0" borderId="0" applyFont="0" applyFill="0" applyBorder="0" applyProtection="0">
      <alignment horizontal="right"/>
    </xf>
    <xf numFmtId="204" fontId="22" fillId="0" borderId="0" applyFont="0" applyFill="0" applyBorder="0" applyProtection="0">
      <alignment horizontal="right"/>
    </xf>
    <xf numFmtId="0" fontId="30" fillId="0" borderId="0" applyFont="0" applyFill="0" applyBorder="0" applyAlignment="0" applyProtection="0"/>
    <xf numFmtId="0" fontId="22" fillId="0" borderId="0" applyFont="0" applyFill="0" applyBorder="0" applyAlignment="0" applyProtection="0"/>
    <xf numFmtId="205" fontId="22" fillId="0" borderId="0" applyFont="0" applyFill="0" applyBorder="0" applyAlignment="0" applyProtection="0"/>
    <xf numFmtId="0" fontId="22" fillId="0" borderId="0"/>
    <xf numFmtId="206"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206" fontId="22" fillId="0" borderId="0" applyFont="0" applyFill="0" applyBorder="0" applyAlignment="0" applyProtection="0"/>
    <xf numFmtId="206" fontId="22" fillId="0" borderId="0" applyFont="0" applyFill="0" applyBorder="0" applyAlignment="0" applyProtection="0"/>
    <xf numFmtId="206" fontId="22" fillId="0" borderId="0" applyFont="0" applyFill="0" applyBorder="0" applyAlignment="0" applyProtection="0"/>
    <xf numFmtId="207" fontId="22" fillId="0" borderId="0" applyFont="0" applyFill="0" applyBorder="0" applyAlignment="0" applyProtection="0"/>
    <xf numFmtId="0" fontId="22" fillId="0" borderId="0" applyFont="0" applyFill="0" applyBorder="0" applyAlignment="0" applyProtection="0"/>
    <xf numFmtId="206" fontId="22" fillId="0" borderId="0" applyFont="0" applyFill="0" applyBorder="0" applyAlignment="0" applyProtection="0"/>
    <xf numFmtId="207" fontId="22" fillId="0" borderId="0" applyFont="0" applyFill="0" applyBorder="0" applyAlignment="0" applyProtection="0"/>
    <xf numFmtId="0" fontId="30" fillId="0" borderId="0" applyFont="0" applyFill="0" applyBorder="0" applyAlignment="0" applyProtection="0"/>
    <xf numFmtId="206" fontId="22" fillId="0" borderId="0" applyFont="0" applyFill="0" applyBorder="0" applyAlignment="0" applyProtection="0"/>
    <xf numFmtId="0" fontId="22" fillId="0" borderId="0" applyFont="0" applyFill="0" applyBorder="0" applyAlignment="0" applyProtection="0"/>
    <xf numFmtId="0" fontId="30"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208"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208" fontId="22" fillId="0" borderId="0" applyFont="0" applyFill="0" applyBorder="0" applyAlignment="0" applyProtection="0"/>
    <xf numFmtId="208" fontId="22" fillId="0" borderId="0" applyFont="0" applyFill="0" applyBorder="0" applyAlignment="0" applyProtection="0"/>
    <xf numFmtId="208" fontId="22" fillId="0" borderId="0" applyFont="0" applyFill="0" applyBorder="0" applyAlignment="0" applyProtection="0"/>
    <xf numFmtId="208" fontId="22" fillId="0" borderId="0" applyFont="0" applyFill="0" applyBorder="0" applyAlignment="0" applyProtection="0"/>
    <xf numFmtId="209" fontId="22" fillId="0" borderId="0" applyFont="0" applyFill="0" applyBorder="0" applyAlignment="0" applyProtection="0"/>
    <xf numFmtId="208" fontId="22" fillId="0" borderId="0" applyFont="0" applyFill="0" applyBorder="0" applyAlignment="0" applyProtection="0"/>
    <xf numFmtId="208" fontId="22" fillId="0" borderId="0" applyFont="0" applyFill="0" applyBorder="0" applyAlignment="0" applyProtection="0"/>
    <xf numFmtId="209" fontId="22" fillId="0" borderId="0" applyFont="0" applyFill="0" applyBorder="0" applyAlignment="0" applyProtection="0"/>
    <xf numFmtId="0" fontId="30" fillId="0" borderId="0" applyFont="0" applyFill="0" applyBorder="0" applyAlignment="0" applyProtection="0"/>
    <xf numFmtId="208" fontId="22" fillId="0" borderId="0" applyFont="0" applyFill="0" applyBorder="0" applyAlignment="0" applyProtection="0"/>
    <xf numFmtId="0" fontId="22" fillId="0" borderId="0" applyFont="0" applyFill="0" applyBorder="0" applyAlignment="0" applyProtection="0"/>
    <xf numFmtId="0" fontId="30" fillId="0" borderId="0" applyFont="0" applyFill="0" applyBorder="0" applyAlignment="0" applyProtection="0"/>
    <xf numFmtId="0" fontId="22" fillId="0" borderId="0" applyFont="0" applyFill="0" applyBorder="0" applyAlignment="0" applyProtection="0"/>
    <xf numFmtId="208" fontId="22" fillId="0" borderId="0" applyFont="0" applyFill="0" applyBorder="0" applyAlignment="0" applyProtection="0"/>
    <xf numFmtId="0" fontId="22" fillId="0" borderId="0"/>
    <xf numFmtId="0" fontId="39" fillId="0" borderId="0" applyNumberFormat="0" applyFill="0" applyBorder="0" applyProtection="0">
      <alignment vertical="top"/>
    </xf>
    <xf numFmtId="0" fontId="39" fillId="0" borderId="0" applyNumberFormat="0" applyFill="0" applyBorder="0" applyProtection="0">
      <alignment vertical="top"/>
    </xf>
    <xf numFmtId="0" fontId="39" fillId="0" borderId="0" applyNumberFormat="0" applyFill="0" applyBorder="0" applyProtection="0">
      <alignment vertical="top"/>
    </xf>
    <xf numFmtId="0" fontId="22" fillId="0" borderId="0" applyNumberFormat="0" applyFill="0" applyBorder="0" applyAlignment="0" applyProtection="0"/>
    <xf numFmtId="0" fontId="39" fillId="0" borderId="0" applyNumberFormat="0" applyFill="0" applyBorder="0" applyProtection="0">
      <alignment vertical="top"/>
    </xf>
    <xf numFmtId="0" fontId="22" fillId="0" borderId="0" applyNumberFormat="0" applyFill="0" applyBorder="0" applyAlignment="0" applyProtection="0"/>
    <xf numFmtId="0" fontId="22" fillId="0" borderId="0" applyNumberFormat="0" applyFill="0" applyBorder="0" applyAlignment="0" applyProtection="0"/>
    <xf numFmtId="0" fontId="39" fillId="0" borderId="0" applyNumberFormat="0" applyFill="0" applyBorder="0" applyProtection="0">
      <alignment vertical="top"/>
    </xf>
    <xf numFmtId="0" fontId="22" fillId="0" borderId="0" applyNumberFormat="0" applyFill="0" applyBorder="0" applyAlignment="0" applyProtection="0"/>
    <xf numFmtId="0" fontId="39" fillId="0" borderId="0" applyNumberFormat="0" applyFill="0" applyBorder="0" applyProtection="0">
      <alignment vertical="top"/>
    </xf>
    <xf numFmtId="0" fontId="22" fillId="0" borderId="0" applyNumberFormat="0" applyFill="0" applyBorder="0" applyAlignment="0" applyProtection="0"/>
    <xf numFmtId="0" fontId="39" fillId="0" borderId="0" applyNumberFormat="0" applyFill="0" applyBorder="0" applyProtection="0">
      <alignment vertical="top"/>
    </xf>
    <xf numFmtId="0" fontId="22" fillId="0" borderId="0" applyNumberFormat="0" applyFill="0" applyBorder="0" applyAlignment="0" applyProtection="0"/>
    <xf numFmtId="0" fontId="39" fillId="0" borderId="0" applyNumberFormat="0" applyFill="0" applyBorder="0" applyProtection="0">
      <alignment vertical="top"/>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39" fillId="0" borderId="0" applyNumberFormat="0" applyFill="0" applyBorder="0" applyProtection="0">
      <alignment vertical="top"/>
    </xf>
    <xf numFmtId="0" fontId="39" fillId="0" borderId="0" applyNumberFormat="0" applyFill="0" applyBorder="0" applyProtection="0">
      <alignment vertical="top"/>
    </xf>
    <xf numFmtId="0" fontId="39" fillId="0" borderId="0" applyNumberFormat="0" applyFill="0" applyBorder="0" applyProtection="0">
      <alignment vertical="top"/>
    </xf>
    <xf numFmtId="0" fontId="22" fillId="0" borderId="0" applyNumberFormat="0" applyFill="0" applyBorder="0" applyAlignment="0" applyProtection="0"/>
    <xf numFmtId="0" fontId="40" fillId="0" borderId="12" applyNumberFormat="0" applyFill="0" applyAlignment="0" applyProtection="0"/>
    <xf numFmtId="0" fontId="40" fillId="0" borderId="12" applyNumberFormat="0" applyFill="0" applyAlignment="0" applyProtection="0"/>
    <xf numFmtId="0" fontId="40" fillId="0" borderId="12" applyNumberFormat="0" applyFill="0" applyAlignment="0" applyProtection="0"/>
    <xf numFmtId="0" fontId="40" fillId="0" borderId="12" applyNumberFormat="0" applyFill="0" applyAlignment="0" applyProtection="0"/>
    <xf numFmtId="0" fontId="40" fillId="0" borderId="12" applyNumberFormat="0" applyFill="0" applyAlignment="0" applyProtection="0"/>
    <xf numFmtId="0" fontId="22" fillId="0" borderId="0" applyNumberFormat="0" applyFill="0" applyBorder="0" applyAlignment="0" applyProtection="0"/>
    <xf numFmtId="0" fontId="40" fillId="0" borderId="12" applyNumberFormat="0" applyFill="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0" fillId="0" borderId="12" applyNumberFormat="0" applyFill="0" applyAlignment="0" applyProtection="0"/>
    <xf numFmtId="0" fontId="40" fillId="0" borderId="12" applyNumberFormat="0" applyFill="0" applyAlignment="0" applyProtection="0"/>
    <xf numFmtId="0" fontId="22" fillId="0" borderId="0" applyNumberFormat="0" applyFill="0" applyBorder="0" applyAlignment="0" applyProtection="0"/>
    <xf numFmtId="0" fontId="40" fillId="0" borderId="12" applyNumberFormat="0" applyFill="0" applyAlignment="0" applyProtection="0"/>
    <xf numFmtId="0" fontId="22" fillId="0" borderId="0" applyNumberFormat="0" applyFill="0" applyBorder="0" applyAlignment="0" applyProtection="0"/>
    <xf numFmtId="0" fontId="40" fillId="0" borderId="12" applyNumberFormat="0" applyFill="0" applyAlignment="0" applyProtection="0"/>
    <xf numFmtId="0" fontId="40" fillId="0" borderId="12" applyNumberFormat="0" applyFill="0" applyAlignment="0" applyProtection="0"/>
    <xf numFmtId="0" fontId="40" fillId="0" borderId="13" applyNumberFormat="0" applyFill="0" applyAlignment="0" applyProtection="0"/>
    <xf numFmtId="0" fontId="40" fillId="0" borderId="12" applyNumberFormat="0" applyFill="0" applyAlignment="0" applyProtection="0"/>
    <xf numFmtId="0" fontId="40" fillId="0" borderId="13" applyNumberFormat="0" applyFill="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0" fillId="0" borderId="12" applyNumberFormat="0" applyFill="0" applyAlignment="0" applyProtection="0"/>
    <xf numFmtId="0" fontId="40" fillId="0" borderId="12" applyNumberFormat="0" applyFill="0" applyAlignment="0" applyProtection="0"/>
    <xf numFmtId="0" fontId="40" fillId="0" borderId="12" applyNumberFormat="0" applyFill="0" applyAlignment="0" applyProtection="0"/>
    <xf numFmtId="0" fontId="40" fillId="0" borderId="12" applyNumberFormat="0" applyFill="0" applyAlignment="0" applyProtection="0"/>
    <xf numFmtId="0" fontId="22" fillId="0" borderId="0" applyNumberFormat="0" applyFill="0" applyBorder="0" applyAlignment="0" applyProtection="0"/>
    <xf numFmtId="0" fontId="41" fillId="0" borderId="14" applyNumberFormat="0" applyFill="0" applyProtection="0">
      <alignment horizontal="center"/>
    </xf>
    <xf numFmtId="0" fontId="41" fillId="0" borderId="14" applyNumberFormat="0" applyFill="0" applyProtection="0">
      <alignment horizontal="center"/>
    </xf>
    <xf numFmtId="0" fontId="41" fillId="0" borderId="14" applyNumberFormat="0" applyFill="0" applyProtection="0">
      <alignment horizontal="center"/>
    </xf>
    <xf numFmtId="0" fontId="22" fillId="0" borderId="14" applyNumberFormat="0" applyFill="0" applyProtection="0">
      <alignment horizontal="center"/>
    </xf>
    <xf numFmtId="0" fontId="41" fillId="0" borderId="14" applyNumberFormat="0" applyFill="0" applyProtection="0">
      <alignment horizontal="center"/>
    </xf>
    <xf numFmtId="0" fontId="22" fillId="0" borderId="14" applyNumberFormat="0" applyFill="0" applyProtection="0">
      <alignment horizontal="center"/>
    </xf>
    <xf numFmtId="0" fontId="22" fillId="0" borderId="14" applyNumberFormat="0" applyFill="0" applyProtection="0">
      <alignment horizontal="center"/>
    </xf>
    <xf numFmtId="0" fontId="41" fillId="0" borderId="14" applyNumberFormat="0" applyFill="0" applyProtection="0">
      <alignment horizontal="center"/>
    </xf>
    <xf numFmtId="0" fontId="22" fillId="0" borderId="14" applyNumberFormat="0" applyFill="0" applyProtection="0">
      <alignment horizontal="center"/>
    </xf>
    <xf numFmtId="0" fontId="41" fillId="0" borderId="14" applyNumberFormat="0" applyFill="0" applyProtection="0">
      <alignment horizontal="center"/>
    </xf>
    <xf numFmtId="0" fontId="22" fillId="0" borderId="14" applyNumberFormat="0" applyFill="0" applyProtection="0">
      <alignment horizontal="center"/>
    </xf>
    <xf numFmtId="0" fontId="41" fillId="0" borderId="14" applyNumberFormat="0" applyFill="0" applyProtection="0">
      <alignment horizontal="center"/>
    </xf>
    <xf numFmtId="0" fontId="22" fillId="0" borderId="14" applyNumberFormat="0" applyFill="0" applyProtection="0">
      <alignment horizontal="center"/>
    </xf>
    <xf numFmtId="0" fontId="22" fillId="0" borderId="14" applyNumberFormat="0" applyFill="0" applyProtection="0">
      <alignment horizontal="center"/>
    </xf>
    <xf numFmtId="0" fontId="22" fillId="0" borderId="14" applyNumberFormat="0" applyFill="0" applyProtection="0">
      <alignment horizontal="center"/>
    </xf>
    <xf numFmtId="0" fontId="22" fillId="0" borderId="14" applyNumberFormat="0" applyFill="0" applyProtection="0">
      <alignment horizontal="center"/>
    </xf>
    <xf numFmtId="0" fontId="22" fillId="0" borderId="14" applyNumberFormat="0" applyFill="0" applyProtection="0">
      <alignment horizontal="center"/>
    </xf>
    <xf numFmtId="0" fontId="22" fillId="0" borderId="14" applyNumberFormat="0" applyFill="0" applyProtection="0">
      <alignment horizontal="center"/>
    </xf>
    <xf numFmtId="0" fontId="22" fillId="0" borderId="14" applyNumberFormat="0" applyFill="0" applyProtection="0">
      <alignment horizontal="center"/>
    </xf>
    <xf numFmtId="0" fontId="41" fillId="0" borderId="14" applyNumberFormat="0" applyFill="0" applyProtection="0">
      <alignment horizontal="center"/>
    </xf>
    <xf numFmtId="0" fontId="41" fillId="0" borderId="14" applyNumberFormat="0" applyFill="0" applyProtection="0">
      <alignment horizontal="center"/>
    </xf>
    <xf numFmtId="0" fontId="41" fillId="0" borderId="14" applyNumberFormat="0" applyFill="0" applyProtection="0">
      <alignment horizontal="center"/>
    </xf>
    <xf numFmtId="0" fontId="22" fillId="0" borderId="14" applyNumberFormat="0" applyFill="0" applyProtection="0">
      <alignment horizontal="center"/>
    </xf>
    <xf numFmtId="0" fontId="41" fillId="0" borderId="14" applyNumberFormat="0" applyFill="0" applyProtection="0">
      <alignment horizontal="center"/>
    </xf>
    <xf numFmtId="0" fontId="22" fillId="0" borderId="15" applyNumberFormat="0" applyFont="0" applyFill="0" applyAlignment="0" applyProtection="0"/>
    <xf numFmtId="0" fontId="41" fillId="0" borderId="0" applyNumberFormat="0" applyFill="0" applyBorder="0" applyProtection="0">
      <alignment horizontal="left"/>
    </xf>
    <xf numFmtId="0" fontId="41" fillId="0" borderId="0" applyNumberFormat="0" applyFill="0" applyBorder="0" applyProtection="0">
      <alignment horizontal="left"/>
    </xf>
    <xf numFmtId="0" fontId="41" fillId="0" borderId="0" applyNumberFormat="0" applyFill="0" applyBorder="0" applyProtection="0">
      <alignment horizontal="left"/>
    </xf>
    <xf numFmtId="0" fontId="22" fillId="0" borderId="0" applyNumberFormat="0" applyFill="0" applyBorder="0" applyProtection="0">
      <alignment horizontal="left"/>
    </xf>
    <xf numFmtId="0" fontId="41" fillId="0" borderId="0" applyNumberFormat="0" applyFill="0" applyBorder="0" applyProtection="0">
      <alignment horizontal="left"/>
    </xf>
    <xf numFmtId="0" fontId="22" fillId="0" borderId="0" applyNumberFormat="0" applyFill="0" applyBorder="0" applyProtection="0">
      <alignment horizontal="left"/>
    </xf>
    <xf numFmtId="0" fontId="22" fillId="0" borderId="0" applyNumberFormat="0" applyFill="0" applyBorder="0" applyProtection="0">
      <alignment horizontal="left"/>
    </xf>
    <xf numFmtId="0" fontId="41" fillId="0" borderId="0" applyNumberFormat="0" applyFill="0" applyBorder="0" applyProtection="0">
      <alignment horizontal="left"/>
    </xf>
    <xf numFmtId="0" fontId="22" fillId="0" borderId="0" applyNumberFormat="0" applyFill="0" applyBorder="0" applyProtection="0">
      <alignment horizontal="left"/>
    </xf>
    <xf numFmtId="0" fontId="41" fillId="0" borderId="0" applyNumberFormat="0" applyFill="0" applyBorder="0" applyProtection="0">
      <alignment horizontal="left"/>
    </xf>
    <xf numFmtId="0" fontId="22" fillId="0" borderId="0" applyNumberFormat="0" applyFill="0" applyBorder="0" applyProtection="0">
      <alignment horizontal="left"/>
    </xf>
    <xf numFmtId="0" fontId="41" fillId="0" borderId="0" applyNumberFormat="0" applyFill="0" applyBorder="0" applyProtection="0">
      <alignment horizontal="left"/>
    </xf>
    <xf numFmtId="0" fontId="22" fillId="0" borderId="0" applyNumberFormat="0" applyFill="0" applyBorder="0" applyProtection="0">
      <alignment horizontal="left"/>
    </xf>
    <xf numFmtId="0" fontId="22" fillId="0" borderId="0" applyNumberFormat="0" applyFill="0" applyBorder="0" applyProtection="0">
      <alignment horizontal="left"/>
    </xf>
    <xf numFmtId="0" fontId="22" fillId="0" borderId="0" applyNumberFormat="0" applyFill="0" applyBorder="0" applyProtection="0">
      <alignment horizontal="left"/>
    </xf>
    <xf numFmtId="0" fontId="22" fillId="0" borderId="0" applyNumberFormat="0" applyFill="0" applyBorder="0" applyProtection="0">
      <alignment horizontal="left"/>
    </xf>
    <xf numFmtId="0" fontId="22" fillId="0" borderId="0" applyNumberFormat="0" applyFill="0" applyBorder="0" applyProtection="0">
      <alignment horizontal="left"/>
    </xf>
    <xf numFmtId="0" fontId="22" fillId="0" borderId="0" applyNumberFormat="0" applyFill="0" applyBorder="0" applyProtection="0">
      <alignment horizontal="left"/>
    </xf>
    <xf numFmtId="0" fontId="22" fillId="0" borderId="0" applyNumberFormat="0" applyFill="0" applyBorder="0" applyProtection="0">
      <alignment horizontal="left"/>
    </xf>
    <xf numFmtId="0" fontId="41" fillId="0" borderId="0" applyNumberFormat="0" applyFill="0" applyBorder="0" applyProtection="0">
      <alignment horizontal="left"/>
    </xf>
    <xf numFmtId="0" fontId="41" fillId="0" borderId="0" applyNumberFormat="0" applyFill="0" applyBorder="0" applyProtection="0">
      <alignment horizontal="left"/>
    </xf>
    <xf numFmtId="0" fontId="41" fillId="0" borderId="0" applyNumberFormat="0" applyFill="0" applyBorder="0" applyProtection="0">
      <alignment horizontal="left"/>
    </xf>
    <xf numFmtId="0" fontId="22" fillId="0" borderId="0" applyNumberFormat="0" applyFill="0" applyBorder="0" applyProtection="0">
      <alignment horizontal="left"/>
    </xf>
    <xf numFmtId="0" fontId="41" fillId="0" borderId="0" applyNumberFormat="0" applyFill="0" applyBorder="0" applyProtection="0">
      <alignment horizontal="left"/>
    </xf>
    <xf numFmtId="0" fontId="42" fillId="0" borderId="0" applyNumberFormat="0" applyFill="0" applyBorder="0" applyProtection="0">
      <alignment horizontal="centerContinuous"/>
    </xf>
    <xf numFmtId="0" fontId="42" fillId="0" borderId="0" applyNumberFormat="0" applyFill="0" applyBorder="0" applyProtection="0">
      <alignment horizontal="centerContinuous"/>
    </xf>
    <xf numFmtId="0" fontId="42" fillId="0" borderId="0" applyNumberFormat="0" applyFill="0" applyBorder="0" applyProtection="0">
      <alignment horizontal="centerContinuous"/>
    </xf>
    <xf numFmtId="0" fontId="42" fillId="0" borderId="0" applyNumberFormat="0" applyFill="0" applyBorder="0" applyProtection="0">
      <alignment horizontal="centerContinuous"/>
    </xf>
    <xf numFmtId="0" fontId="42" fillId="0" borderId="0" applyNumberFormat="0" applyFill="0" applyBorder="0" applyProtection="0">
      <alignment horizontal="centerContinuous"/>
    </xf>
    <xf numFmtId="0" fontId="22" fillId="0" borderId="0" applyNumberFormat="0" applyFill="0" applyBorder="0" applyProtection="0">
      <alignment horizontal="centerContinuous"/>
    </xf>
    <xf numFmtId="0" fontId="42" fillId="0" borderId="0" applyNumberFormat="0" applyFill="0" applyBorder="0" applyProtection="0">
      <alignment horizontal="centerContinuous"/>
    </xf>
    <xf numFmtId="0" fontId="22" fillId="0" borderId="0" applyNumberFormat="0" applyFill="0" applyBorder="0" applyProtection="0">
      <alignment horizontal="centerContinuous"/>
    </xf>
    <xf numFmtId="0" fontId="22" fillId="0" borderId="0" applyNumberFormat="0" applyFill="0" applyBorder="0" applyProtection="0">
      <alignment horizontal="centerContinuous"/>
    </xf>
    <xf numFmtId="0" fontId="42" fillId="0" borderId="0" applyNumberFormat="0" applyFill="0" applyBorder="0" applyProtection="0">
      <alignment horizontal="centerContinuous"/>
    </xf>
    <xf numFmtId="0" fontId="42" fillId="0" borderId="0" applyNumberFormat="0" applyFill="0" applyBorder="0" applyProtection="0">
      <alignment horizontal="centerContinuous"/>
    </xf>
    <xf numFmtId="0" fontId="22" fillId="0" borderId="0" applyNumberFormat="0" applyFill="0" applyBorder="0" applyProtection="0">
      <alignment horizontal="centerContinuous"/>
    </xf>
    <xf numFmtId="0" fontId="42" fillId="0" borderId="0" applyNumberFormat="0" applyFill="0" applyBorder="0" applyProtection="0">
      <alignment horizontal="centerContinuous"/>
    </xf>
    <xf numFmtId="0" fontId="22" fillId="0" borderId="0" applyNumberFormat="0" applyFill="0" applyBorder="0" applyProtection="0">
      <alignment horizontal="centerContinuous"/>
    </xf>
    <xf numFmtId="0" fontId="42" fillId="0" borderId="0" applyNumberFormat="0" applyFill="0" applyBorder="0" applyProtection="0">
      <alignment horizontal="centerContinuous"/>
    </xf>
    <xf numFmtId="0" fontId="42" fillId="0" borderId="0" applyNumberFormat="0" applyFill="0" applyBorder="0" applyProtection="0">
      <alignment horizontal="centerContinuous"/>
    </xf>
    <xf numFmtId="0" fontId="42" fillId="0" borderId="0" applyNumberFormat="0" applyFill="0" applyProtection="0">
      <alignment horizontal="centerContinuous"/>
    </xf>
    <xf numFmtId="0" fontId="42" fillId="0" borderId="0" applyNumberFormat="0" applyFill="0" applyBorder="0" applyProtection="0">
      <alignment horizontal="centerContinuous"/>
    </xf>
    <xf numFmtId="0" fontId="42" fillId="0" borderId="0" applyNumberFormat="0" applyFill="0" applyProtection="0">
      <alignment horizontal="centerContinuous"/>
    </xf>
    <xf numFmtId="0" fontId="22" fillId="0" borderId="0" applyNumberFormat="0" applyFill="0" applyBorder="0" applyProtection="0">
      <alignment horizontal="centerContinuous"/>
    </xf>
    <xf numFmtId="0" fontId="22" fillId="0" borderId="0" applyNumberFormat="0" applyFill="0" applyBorder="0" applyProtection="0">
      <alignment horizontal="centerContinuous"/>
    </xf>
    <xf numFmtId="0" fontId="22" fillId="0" borderId="0" applyNumberFormat="0" applyFill="0" applyBorder="0" applyProtection="0">
      <alignment horizontal="centerContinuous"/>
    </xf>
    <xf numFmtId="0" fontId="22" fillId="0" borderId="0" applyNumberFormat="0" applyFill="0" applyBorder="0" applyProtection="0">
      <alignment horizontal="centerContinuous"/>
    </xf>
    <xf numFmtId="0" fontId="22" fillId="0" borderId="0" applyNumberFormat="0" applyFill="0" applyBorder="0" applyProtection="0">
      <alignment horizontal="centerContinuous"/>
    </xf>
    <xf numFmtId="0" fontId="22" fillId="0" borderId="0" applyNumberFormat="0" applyFill="0" applyBorder="0" applyProtection="0">
      <alignment horizontal="centerContinuous"/>
    </xf>
    <xf numFmtId="0" fontId="22" fillId="0" borderId="0" applyNumberFormat="0" applyFill="0" applyBorder="0" applyProtection="0">
      <alignment horizontal="centerContinuous"/>
    </xf>
    <xf numFmtId="0" fontId="42" fillId="0" borderId="0" applyNumberFormat="0" applyFill="0" applyBorder="0" applyProtection="0">
      <alignment horizontal="centerContinuous"/>
    </xf>
    <xf numFmtId="0" fontId="42" fillId="0" borderId="0" applyNumberFormat="0" applyFill="0" applyBorder="0" applyProtection="0">
      <alignment horizontal="centerContinuous"/>
    </xf>
    <xf numFmtId="0" fontId="42" fillId="0" borderId="0" applyNumberFormat="0" applyFill="0" applyBorder="0" applyProtection="0">
      <alignment horizontal="centerContinuous"/>
    </xf>
    <xf numFmtId="0" fontId="42" fillId="0" borderId="0" applyNumberFormat="0" applyFill="0" applyBorder="0" applyProtection="0">
      <alignment horizontal="centerContinuous"/>
    </xf>
    <xf numFmtId="0" fontId="22" fillId="0" borderId="0" applyNumberFormat="0" applyFill="0" applyBorder="0" applyProtection="0">
      <alignment horizontal="centerContinuous"/>
    </xf>
    <xf numFmtId="0" fontId="42" fillId="0" borderId="0" applyNumberFormat="0" applyFill="0" applyBorder="0" applyProtection="0">
      <alignment horizontal="centerContinuous"/>
    </xf>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210" fontId="43" fillId="0" borderId="0" applyFont="0" applyFill="0" applyBorder="0" applyAlignment="0" applyProtection="0"/>
    <xf numFmtId="211" fontId="43" fillId="0" borderId="0" applyFont="0" applyFill="0" applyBorder="0" applyAlignment="0" applyProtection="0"/>
    <xf numFmtId="212" fontId="43" fillId="0" borderId="0" applyFont="0" applyFill="0" applyBorder="0" applyAlignment="0" applyProtection="0"/>
    <xf numFmtId="213" fontId="43" fillId="0" borderId="0" applyFont="0" applyFill="0" applyBorder="0" applyAlignment="0" applyProtection="0"/>
    <xf numFmtId="214" fontId="43" fillId="0" borderId="0" applyFont="0" applyFill="0" applyBorder="0" applyAlignment="0" applyProtection="0"/>
    <xf numFmtId="215" fontId="44" fillId="0" borderId="0" applyFont="0" applyFill="0" applyBorder="0" applyAlignment="0" applyProtection="0"/>
    <xf numFmtId="1" fontId="45" fillId="0" borderId="0"/>
    <xf numFmtId="172" fontId="45" fillId="0" borderId="0"/>
    <xf numFmtId="216" fontId="28" fillId="0" borderId="16" applyBorder="0"/>
    <xf numFmtId="167" fontId="45" fillId="0" borderId="0"/>
    <xf numFmtId="217" fontId="46" fillId="0" borderId="0">
      <alignment horizontal="center"/>
    </xf>
    <xf numFmtId="1" fontId="28" fillId="0" borderId="0" applyAlignment="0"/>
    <xf numFmtId="164" fontId="47" fillId="0" borderId="0"/>
    <xf numFmtId="218" fontId="47" fillId="0" borderId="0" applyFont="0" applyFill="0" applyBorder="0" applyProtection="0">
      <alignment horizontal="right"/>
    </xf>
    <xf numFmtId="219" fontId="48" fillId="0" borderId="0"/>
    <xf numFmtId="0" fontId="32" fillId="0" borderId="0"/>
    <xf numFmtId="174" fontId="32" fillId="0" borderId="0"/>
    <xf numFmtId="0" fontId="32" fillId="0" borderId="0"/>
    <xf numFmtId="0" fontId="22" fillId="0" borderId="0"/>
    <xf numFmtId="41" fontId="49" fillId="0" borderId="0" applyFont="0" applyFill="0" applyBorder="0" applyAlignment="0" applyProtection="0"/>
    <xf numFmtId="218" fontId="49" fillId="0" borderId="0" applyFont="0" applyFill="0" applyBorder="0" applyAlignment="0" applyProtection="0"/>
    <xf numFmtId="43" fontId="49" fillId="0" borderId="0" applyFont="0" applyFill="0" applyBorder="0" applyAlignment="0" applyProtection="0"/>
    <xf numFmtId="42" fontId="49" fillId="0" borderId="0" applyFont="0" applyFill="0" applyBorder="0" applyAlignment="0" applyProtection="0"/>
    <xf numFmtId="220" fontId="49" fillId="0" borderId="0" applyFont="0" applyFill="0" applyBorder="0" applyAlignment="0" applyProtection="0"/>
    <xf numFmtId="44" fontId="49" fillId="0" borderId="0" applyFont="0" applyFill="0" applyBorder="0" applyAlignment="0" applyProtection="0"/>
    <xf numFmtId="0" fontId="47" fillId="0" borderId="0" applyNumberFormat="0" applyAlignment="0"/>
    <xf numFmtId="221" fontId="50" fillId="8" borderId="0" applyNumberFormat="0" applyFont="0" applyBorder="0" applyAlignment="0">
      <alignment horizontal="right"/>
    </xf>
    <xf numFmtId="222" fontId="31" fillId="9" borderId="17">
      <alignment horizontal="center" vertical="center"/>
    </xf>
    <xf numFmtId="223" fontId="51" fillId="8" borderId="4" applyFont="0">
      <alignment horizontal="right"/>
    </xf>
    <xf numFmtId="0" fontId="47" fillId="0" borderId="0" applyNumberFormat="0" applyFill="0" applyBorder="0" applyAlignment="0" applyProtection="0"/>
    <xf numFmtId="224" fontId="52" fillId="0" borderId="0" applyFont="0">
      <alignment horizontal="right"/>
    </xf>
    <xf numFmtId="0" fontId="28" fillId="0" borderId="18" applyFont="0" applyFill="0" applyBorder="0" applyAlignment="0" applyProtection="0"/>
    <xf numFmtId="0" fontId="53" fillId="0" borderId="0"/>
    <xf numFmtId="0" fontId="28" fillId="0" borderId="0"/>
    <xf numFmtId="225" fontId="22" fillId="0" borderId="19" applyFont="0" applyFill="0" applyBorder="0"/>
    <xf numFmtId="0" fontId="54" fillId="0" borderId="0" applyNumberFormat="0" applyFill="0" applyBorder="0" applyAlignment="0" applyProtection="0">
      <alignment horizontal="centerContinuous"/>
    </xf>
    <xf numFmtId="3" fontId="22" fillId="0" borderId="0"/>
    <xf numFmtId="0" fontId="55" fillId="0" borderId="0" applyNumberFormat="0" applyBorder="0" applyAlignment="0"/>
    <xf numFmtId="164" fontId="43" fillId="0" borderId="0" applyNumberFormat="0" applyFill="0" applyBorder="0" applyAlignment="0" applyProtection="0"/>
    <xf numFmtId="0" fontId="22" fillId="0" borderId="0"/>
    <xf numFmtId="164" fontId="35" fillId="0" borderId="0"/>
    <xf numFmtId="165" fontId="35" fillId="0" borderId="1"/>
    <xf numFmtId="226" fontId="56" fillId="0" borderId="0"/>
    <xf numFmtId="227" fontId="22" fillId="0" borderId="0"/>
    <xf numFmtId="0" fontId="22" fillId="0" borderId="0"/>
    <xf numFmtId="0" fontId="22" fillId="0" borderId="0">
      <alignment horizontal="right"/>
    </xf>
    <xf numFmtId="0" fontId="22" fillId="0" borderId="0">
      <alignment horizontal="right"/>
    </xf>
    <xf numFmtId="0" fontId="56" fillId="0" borderId="0">
      <alignment horizontal="right"/>
    </xf>
    <xf numFmtId="0" fontId="22" fillId="0" borderId="0">
      <alignment horizontal="right"/>
    </xf>
    <xf numFmtId="0" fontId="22" fillId="0" borderId="0">
      <alignment horizontal="right"/>
    </xf>
    <xf numFmtId="164" fontId="43" fillId="0" borderId="0" applyNumberFormat="0" applyFill="0" applyBorder="0" applyAlignment="0" applyProtection="0"/>
    <xf numFmtId="0" fontId="57" fillId="0" borderId="0" applyNumberFormat="0" applyFill="0" applyBorder="0" applyAlignment="0"/>
    <xf numFmtId="228" fontId="58" fillId="0" borderId="0" applyFont="0" applyFill="0" applyBorder="0" applyAlignment="0" applyProtection="0"/>
    <xf numFmtId="175" fontId="59" fillId="0" borderId="0" applyFont="0" applyFill="0" applyBorder="0" applyAlignment="0" applyProtection="0">
      <alignment horizontal="left"/>
    </xf>
    <xf numFmtId="166" fontId="25" fillId="0" borderId="0" applyNumberFormat="0" applyFill="0" applyBorder="0" applyAlignment="0" applyProtection="0"/>
    <xf numFmtId="0" fontId="60" fillId="0" borderId="0" applyNumberFormat="0" applyFill="0" applyBorder="0" applyAlignment="0" applyProtection="0"/>
    <xf numFmtId="229" fontId="56" fillId="0" borderId="0"/>
    <xf numFmtId="230" fontId="56" fillId="0" borderId="0"/>
    <xf numFmtId="231" fontId="22" fillId="0" borderId="0"/>
    <xf numFmtId="1" fontId="61" fillId="6" borderId="20">
      <alignment horizontal="center"/>
    </xf>
    <xf numFmtId="0" fontId="22" fillId="0" borderId="0"/>
    <xf numFmtId="0" fontId="37" fillId="6" borderId="21">
      <alignment horizontal="center"/>
    </xf>
    <xf numFmtId="232" fontId="22" fillId="0" borderId="0"/>
    <xf numFmtId="0" fontId="62" fillId="0" borderId="0" applyNumberFormat="0" applyFill="0" applyBorder="0" applyAlignment="0" applyProtection="0"/>
    <xf numFmtId="170" fontId="32" fillId="0" borderId="0" applyFont="0" applyFill="0" applyBorder="0" applyProtection="0">
      <alignment horizontal="center"/>
    </xf>
    <xf numFmtId="14" fontId="20" fillId="9" borderId="0" applyFont="0" applyFill="0" applyBorder="0" applyAlignment="0" applyProtection="0"/>
    <xf numFmtId="0" fontId="23" fillId="9" borderId="0" applyFont="0" applyAlignment="0">
      <alignment horizontal="center"/>
    </xf>
    <xf numFmtId="0" fontId="25" fillId="10" borderId="8" applyAlignment="0" applyProtection="0"/>
    <xf numFmtId="233" fontId="25" fillId="10" borderId="8" applyAlignment="0" applyProtection="0"/>
    <xf numFmtId="234" fontId="32" fillId="9" borderId="0" applyFont="0" applyFill="0" applyBorder="0" applyAlignment="0" applyProtection="0"/>
    <xf numFmtId="235" fontId="32" fillId="0" borderId="0" applyFont="0" applyFill="0" applyBorder="0" applyAlignment="0" applyProtection="0">
      <alignment horizontal="center"/>
    </xf>
    <xf numFmtId="236" fontId="32" fillId="9" borderId="0" applyFont="0" applyFill="0" applyBorder="0" applyAlignment="0" applyProtection="0"/>
    <xf numFmtId="233" fontId="20" fillId="9" borderId="0" applyFont="0" applyFill="0" applyBorder="0" applyAlignment="0" applyProtection="0"/>
    <xf numFmtId="237" fontId="32" fillId="0" borderId="0" applyFont="0" applyFill="0" applyBorder="0" applyAlignment="0" applyProtection="0"/>
    <xf numFmtId="0" fontId="63" fillId="0" borderId="0" applyNumberFormat="0" applyFill="0" applyBorder="0" applyAlignment="0" applyProtection="0"/>
    <xf numFmtId="0" fontId="64" fillId="0" borderId="0" applyNumberFormat="0" applyAlignment="0" applyProtection="0">
      <alignment horizontal="center"/>
    </xf>
    <xf numFmtId="0" fontId="65" fillId="0" borderId="0"/>
    <xf numFmtId="0" fontId="65" fillId="0" borderId="0"/>
    <xf numFmtId="0" fontId="64" fillId="0" borderId="0" applyNumberFormat="0" applyAlignment="0" applyProtection="0">
      <alignment horizontal="center"/>
    </xf>
    <xf numFmtId="164" fontId="22" fillId="0" borderId="1" applyNumberFormat="0" applyFont="0" applyFill="0" applyAlignment="0" applyProtection="0"/>
    <xf numFmtId="0" fontId="35" fillId="0" borderId="7" applyNumberFormat="0" applyFont="0" applyFill="0" applyAlignment="0" applyProtection="0"/>
    <xf numFmtId="0" fontId="66" fillId="0" borderId="22" applyNumberFormat="0" applyFont="0" applyFill="0" applyAlignment="0" applyProtection="0">
      <alignment horizontal="centerContinuous"/>
    </xf>
    <xf numFmtId="0" fontId="22" fillId="0" borderId="23" applyNumberFormat="0" applyFont="0" applyFill="0" applyAlignment="0" applyProtection="0"/>
    <xf numFmtId="238" fontId="47" fillId="0" borderId="0"/>
    <xf numFmtId="239" fontId="31" fillId="0" borderId="0" applyFont="0" applyFill="0" applyBorder="0" applyAlignment="0" applyProtection="0"/>
    <xf numFmtId="240" fontId="22" fillId="0" borderId="0" applyNumberFormat="0" applyFill="0" applyBorder="0" applyAlignment="0" applyProtection="0"/>
    <xf numFmtId="37" fontId="67" fillId="0" borderId="0" applyFont="0" applyFill="0" applyBorder="0" applyAlignment="0" applyProtection="0">
      <alignment vertical="center"/>
      <protection locked="0"/>
    </xf>
    <xf numFmtId="241" fontId="28" fillId="0" borderId="0" applyFont="0" applyFill="0" applyBorder="0" applyAlignment="0" applyProtection="0"/>
    <xf numFmtId="0" fontId="68" fillId="0" borderId="0" applyNumberFormat="0" applyFont="0" applyFill="0" applyBorder="0" applyProtection="0">
      <alignment horizontal="centerContinuous"/>
    </xf>
    <xf numFmtId="38" fontId="45" fillId="0" borderId="0" applyFont="0" applyFill="0" applyBorder="0" applyAlignment="0" applyProtection="0"/>
    <xf numFmtId="0" fontId="69" fillId="0" borderId="0"/>
    <xf numFmtId="0" fontId="51" fillId="0" borderId="0"/>
    <xf numFmtId="41" fontId="70" fillId="0" borderId="0" applyFont="0" applyFill="0" applyBorder="0" applyAlignment="0" applyProtection="0">
      <alignment horizontal="right"/>
    </xf>
    <xf numFmtId="164" fontId="71" fillId="0" borderId="0" applyFont="0" applyFill="0" applyBorder="0" applyAlignment="0" applyProtection="0">
      <protection locked="0"/>
    </xf>
    <xf numFmtId="242" fontId="71" fillId="0" borderId="0" applyFont="0" applyFill="0" applyBorder="0" applyAlignment="0" applyProtection="0">
      <protection locked="0"/>
    </xf>
    <xf numFmtId="39" fontId="22" fillId="0" borderId="0" applyFont="0" applyFill="0" applyBorder="0" applyAlignment="0" applyProtection="0"/>
    <xf numFmtId="243" fontId="72" fillId="0" borderId="0" applyFont="0" applyFill="0" applyBorder="0" applyAlignment="0" applyProtection="0"/>
    <xf numFmtId="209" fontId="28" fillId="0" borderId="0" applyFont="0" applyFill="0" applyBorder="0" applyAlignment="0" applyProtection="0"/>
    <xf numFmtId="2" fontId="47" fillId="11" borderId="0" applyNumberFormat="0" applyFont="0" applyBorder="0" applyAlignment="0" applyProtection="0"/>
    <xf numFmtId="0" fontId="73" fillId="0" borderId="0" applyFill="0" applyBorder="0" applyAlignment="0"/>
    <xf numFmtId="0" fontId="73" fillId="0" borderId="0" applyFill="0" applyBorder="0" applyAlignment="0"/>
    <xf numFmtId="0" fontId="73" fillId="0" borderId="0" applyFill="0" applyBorder="0" applyAlignment="0"/>
    <xf numFmtId="0" fontId="73" fillId="0" borderId="0" applyFill="0" applyBorder="0" applyAlignment="0"/>
    <xf numFmtId="0" fontId="73" fillId="0" borderId="0" applyFill="0" applyBorder="0" applyAlignment="0"/>
    <xf numFmtId="0" fontId="73" fillId="0" borderId="0" applyFill="0" applyBorder="0" applyAlignment="0"/>
    <xf numFmtId="0" fontId="73" fillId="0" borderId="0" applyFill="0" applyBorder="0" applyAlignment="0"/>
    <xf numFmtId="0" fontId="73" fillId="0" borderId="0" applyFill="0" applyBorder="0" applyAlignment="0"/>
    <xf numFmtId="0" fontId="74" fillId="12" borderId="0"/>
    <xf numFmtId="0" fontId="22" fillId="0" borderId="23" applyNumberFormat="0" applyFont="0" applyFill="0" applyBorder="0" applyProtection="0">
      <alignment horizontal="centerContinuous" vertical="center"/>
    </xf>
    <xf numFmtId="0" fontId="75" fillId="0" borderId="0"/>
    <xf numFmtId="0" fontId="28" fillId="0" borderId="23" applyBorder="0">
      <alignment horizontal="centerContinuous"/>
    </xf>
    <xf numFmtId="0" fontId="45" fillId="0" borderId="0" applyNumberFormat="0" applyFont="0" applyFill="0" applyBorder="0" applyProtection="0">
      <alignment horizontal="center" vertical="center"/>
    </xf>
    <xf numFmtId="0" fontId="23" fillId="0" borderId="0" applyFill="0" applyBorder="0" applyProtection="0">
      <alignment horizontal="center"/>
      <protection locked="0"/>
    </xf>
    <xf numFmtId="0" fontId="76" fillId="0" borderId="0" applyNumberFormat="0" applyAlignment="0"/>
    <xf numFmtId="0" fontId="22" fillId="0" borderId="0"/>
    <xf numFmtId="3" fontId="64" fillId="0" borderId="0"/>
    <xf numFmtId="0" fontId="47" fillId="0" borderId="0" applyNumberFormat="0" applyFill="0" applyBorder="0" applyAlignment="0" applyProtection="0"/>
    <xf numFmtId="0" fontId="77" fillId="0" borderId="0" applyNumberFormat="0" applyFill="0" applyBorder="0" applyAlignment="0" applyProtection="0"/>
    <xf numFmtId="0" fontId="47" fillId="0" borderId="0" applyNumberFormat="0" applyFill="0" applyBorder="0" applyAlignment="0" applyProtection="0"/>
    <xf numFmtId="0" fontId="78" fillId="0" borderId="23" applyNumberFormat="0" applyFill="0" applyBorder="0" applyAlignment="0" applyProtection="0">
      <alignment horizontal="center"/>
    </xf>
    <xf numFmtId="225" fontId="79" fillId="0" borderId="23">
      <alignment horizontal="right"/>
    </xf>
    <xf numFmtId="0" fontId="45" fillId="0" borderId="0">
      <alignment horizontal="center" wrapText="1"/>
      <protection hidden="1"/>
    </xf>
    <xf numFmtId="0" fontId="80" fillId="0" borderId="0" applyBorder="0">
      <alignment horizontal="centerContinuous" vertical="center"/>
    </xf>
    <xf numFmtId="0" fontId="81" fillId="0" borderId="16">
      <alignment horizontal="center"/>
    </xf>
    <xf numFmtId="0" fontId="81" fillId="0" borderId="0" applyNumberFormat="0" applyFill="0" applyBorder="0" applyProtection="0">
      <alignment wrapText="1"/>
    </xf>
    <xf numFmtId="0" fontId="20" fillId="0" borderId="0" applyNumberFormat="0" applyFill="0" applyBorder="0" applyProtection="0"/>
    <xf numFmtId="0" fontId="82" fillId="0" borderId="0" applyNumberFormat="0" applyFill="0" applyBorder="0" applyProtection="0">
      <alignment horizontal="center" wrapText="1"/>
    </xf>
    <xf numFmtId="0" fontId="81" fillId="0" borderId="23" applyNumberFormat="0" applyFill="0" applyProtection="0">
      <alignment horizontal="right" wrapText="1"/>
    </xf>
    <xf numFmtId="0" fontId="81" fillId="0" borderId="23" applyNumberFormat="0" applyFill="0" applyProtection="0">
      <alignment horizontal="left" wrapText="1"/>
    </xf>
    <xf numFmtId="245" fontId="83" fillId="0" borderId="0"/>
    <xf numFmtId="245" fontId="83" fillId="0" borderId="0"/>
    <xf numFmtId="245" fontId="83" fillId="0" borderId="0"/>
    <xf numFmtId="245" fontId="83" fillId="0" borderId="0"/>
    <xf numFmtId="245" fontId="83" fillId="0" borderId="0"/>
    <xf numFmtId="245" fontId="83" fillId="0" borderId="0"/>
    <xf numFmtId="245" fontId="83" fillId="0" borderId="0"/>
    <xf numFmtId="245" fontId="83" fillId="0" borderId="0"/>
    <xf numFmtId="246" fontId="32" fillId="0" borderId="0" applyFill="0" applyBorder="0" applyProtection="0">
      <alignment horizontal="right"/>
    </xf>
    <xf numFmtId="247" fontId="32" fillId="0" borderId="0" applyFill="0" applyBorder="0" applyProtection="0">
      <alignment horizontal="right"/>
    </xf>
    <xf numFmtId="248" fontId="22" fillId="0" borderId="0" applyFont="0" applyFill="0" applyBorder="0" applyAlignment="0" applyProtection="0"/>
    <xf numFmtId="37" fontId="31" fillId="0" borderId="0"/>
    <xf numFmtId="249" fontId="32" fillId="0" borderId="0" applyFont="0" applyFill="0" applyBorder="0" applyAlignment="0" applyProtection="0"/>
    <xf numFmtId="249" fontId="32" fillId="0" borderId="24" applyFill="0" applyBorder="0" applyAlignment="0">
      <alignment horizontal="right"/>
    </xf>
    <xf numFmtId="220" fontId="32" fillId="0" borderId="0" applyFont="0" applyFill="0" applyBorder="0" applyAlignment="0" applyProtection="0"/>
    <xf numFmtId="250" fontId="22" fillId="0" borderId="0" applyFont="0" applyFill="0" applyBorder="0" applyAlignment="0" applyProtection="0"/>
    <xf numFmtId="38" fontId="84" fillId="13" borderId="0" applyFill="0" applyBorder="0" applyAlignment="0"/>
    <xf numFmtId="0" fontId="73" fillId="0" borderId="0" applyFont="0" applyFill="0" applyBorder="0" applyAlignment="0" applyProtection="0"/>
    <xf numFmtId="38" fontId="85" fillId="0" borderId="0">
      <alignment horizontal="center"/>
      <protection locked="0"/>
    </xf>
    <xf numFmtId="251" fontId="31" fillId="0" borderId="0"/>
    <xf numFmtId="252" fontId="30" fillId="0" borderId="0" applyFont="0" applyFill="0" applyBorder="0" applyAlignment="0" applyProtection="0"/>
    <xf numFmtId="253" fontId="86" fillId="0" borderId="0" applyFont="0" applyFill="0" applyBorder="0" applyAlignment="0" applyProtection="0">
      <alignment horizontal="right"/>
    </xf>
    <xf numFmtId="254" fontId="86" fillId="0" borderId="0" applyFont="0" applyFill="0" applyBorder="0" applyAlignment="0" applyProtection="0"/>
    <xf numFmtId="255" fontId="86" fillId="0" borderId="0" applyFont="0" applyFill="0" applyBorder="0" applyAlignment="0" applyProtection="0">
      <alignment horizontal="right"/>
    </xf>
    <xf numFmtId="43" fontId="22" fillId="0" borderId="0" applyFont="0" applyFill="0" applyBorder="0" applyAlignment="0" applyProtection="0"/>
    <xf numFmtId="43" fontId="87" fillId="0" borderId="0" applyFont="0" applyFill="0" applyBorder="0" applyAlignment="0" applyProtection="0"/>
    <xf numFmtId="39" fontId="22" fillId="0" borderId="0"/>
    <xf numFmtId="43" fontId="22" fillId="0" borderId="0" applyFont="0" applyFill="0" applyBorder="0" applyAlignment="0" applyProtection="0"/>
    <xf numFmtId="4" fontId="88" fillId="0" borderId="0" applyFont="0" applyFill="0" applyBorder="0" applyAlignment="0" applyProtection="0"/>
    <xf numFmtId="43" fontId="22" fillId="0" borderId="0" applyFont="0" applyFill="0" applyBorder="0" applyAlignment="0" applyProtection="0"/>
    <xf numFmtId="256" fontId="32" fillId="0" borderId="0" applyFont="0" applyFill="0" applyBorder="0">
      <alignment horizontal="right"/>
    </xf>
    <xf numFmtId="257" fontId="32" fillId="0" borderId="0"/>
    <xf numFmtId="258" fontId="35" fillId="0" borderId="0"/>
    <xf numFmtId="4" fontId="35" fillId="0" borderId="0"/>
    <xf numFmtId="259" fontId="35" fillId="0" borderId="0"/>
    <xf numFmtId="164" fontId="47" fillId="0" borderId="0"/>
    <xf numFmtId="3" fontId="22" fillId="0" borderId="0" applyFont="0" applyFill="0" applyBorder="0" applyAlignment="0" applyProtection="0"/>
    <xf numFmtId="0" fontId="88" fillId="0" borderId="0"/>
    <xf numFmtId="0" fontId="88" fillId="0" borderId="0"/>
    <xf numFmtId="3" fontId="22" fillId="0" borderId="0"/>
    <xf numFmtId="258" fontId="64" fillId="0" borderId="0" applyFont="0" applyFill="0" applyBorder="0" applyAlignment="0" applyProtection="0"/>
    <xf numFmtId="0" fontId="88" fillId="0" borderId="0"/>
    <xf numFmtId="0" fontId="88" fillId="0" borderId="0"/>
    <xf numFmtId="4" fontId="89" fillId="0" borderId="8" applyFont="0" applyFill="0" applyBorder="0" applyAlignment="0" applyProtection="0"/>
    <xf numFmtId="242" fontId="32" fillId="0" borderId="0" applyFont="0" applyFill="0" applyBorder="0" applyAlignment="0" applyProtection="0"/>
    <xf numFmtId="0" fontId="90" fillId="14" borderId="0">
      <alignment horizontal="center" vertical="center" wrapText="1"/>
    </xf>
    <xf numFmtId="0" fontId="91" fillId="0" borderId="0" applyNumberFormat="0" applyFill="0" applyBorder="0">
      <alignment horizontal="right"/>
    </xf>
    <xf numFmtId="0" fontId="92" fillId="0" borderId="0" applyNumberFormat="0" applyAlignment="0">
      <alignment horizontal="left"/>
    </xf>
    <xf numFmtId="260" fontId="49" fillId="15" borderId="0" applyFont="0" applyBorder="0">
      <alignment horizontal="right" vertical="center"/>
    </xf>
    <xf numFmtId="0" fontId="93" fillId="0" borderId="0">
      <alignment horizontal="left"/>
    </xf>
    <xf numFmtId="0" fontId="94" fillId="0" borderId="0"/>
    <xf numFmtId="0" fontId="95" fillId="0" borderId="0">
      <alignment horizontal="left"/>
    </xf>
    <xf numFmtId="0" fontId="31" fillId="0" borderId="23" applyNumberFormat="0" applyFont="0" applyFill="0" applyProtection="0">
      <alignment horizontal="centerContinuous"/>
    </xf>
    <xf numFmtId="261" fontId="32" fillId="0" borderId="0" applyFill="0" applyBorder="0">
      <alignment horizontal="right"/>
      <protection locked="0"/>
    </xf>
    <xf numFmtId="0" fontId="88" fillId="0" borderId="0"/>
    <xf numFmtId="0" fontId="32" fillId="0" borderId="0" applyFont="0" applyFill="0" applyBorder="0" applyAlignment="0">
      <alignment horizontal="right"/>
    </xf>
    <xf numFmtId="44" fontId="96" fillId="0" borderId="6" applyFont="0" applyFill="0" applyBorder="0" applyAlignment="0">
      <alignment horizontal="right"/>
    </xf>
    <xf numFmtId="262" fontId="22" fillId="0" borderId="0" applyFont="0" applyFill="0" applyBorder="0" applyAlignment="0" applyProtection="0"/>
    <xf numFmtId="263" fontId="32" fillId="0" borderId="0" applyFont="0" applyFill="0" applyBorder="0" applyAlignment="0" applyProtection="0">
      <protection locked="0"/>
    </xf>
    <xf numFmtId="168" fontId="32" fillId="0" borderId="0" applyFont="0" applyFill="0" applyBorder="0" applyAlignment="0" applyProtection="0">
      <protection locked="0"/>
    </xf>
    <xf numFmtId="236" fontId="31" fillId="0" borderId="0"/>
    <xf numFmtId="264" fontId="22" fillId="0" borderId="0" applyFont="0" applyFill="0" applyBorder="0" applyAlignment="0" applyProtection="0"/>
    <xf numFmtId="0" fontId="84" fillId="0" borderId="0" applyFill="0" applyBorder="0" applyAlignment="0">
      <alignment horizontal="center"/>
    </xf>
    <xf numFmtId="0" fontId="73" fillId="0" borderId="0" applyFont="0" applyFill="0" applyBorder="0" applyAlignment="0" applyProtection="0"/>
    <xf numFmtId="265" fontId="97" fillId="0" borderId="0" applyFont="0"/>
    <xf numFmtId="8" fontId="98" fillId="0" borderId="25">
      <protection locked="0"/>
    </xf>
    <xf numFmtId="266" fontId="86" fillId="0" borderId="0" applyFont="0" applyFill="0" applyBorder="0" applyAlignment="0" applyProtection="0">
      <alignment horizontal="right"/>
    </xf>
    <xf numFmtId="267" fontId="86" fillId="0" borderId="0" applyFont="0" applyFill="0" applyBorder="0" applyAlignment="0" applyProtection="0">
      <alignment horizontal="right"/>
    </xf>
    <xf numFmtId="8" fontId="88" fillId="0" borderId="0" applyFont="0" applyFill="0" applyBorder="0" applyAlignment="0" applyProtection="0"/>
    <xf numFmtId="0" fontId="84" fillId="0" borderId="26" applyFill="0" applyBorder="0" applyAlignment="0">
      <alignment horizontal="left"/>
    </xf>
    <xf numFmtId="243" fontId="32" fillId="0" borderId="0" applyFont="0" applyFill="0" applyBorder="0" applyProtection="0">
      <alignment horizontal="right"/>
    </xf>
    <xf numFmtId="0" fontId="32" fillId="10" borderId="0" applyFont="0" applyFill="0" applyBorder="0">
      <alignment horizontal="right"/>
    </xf>
    <xf numFmtId="207" fontId="35" fillId="0" borderId="0"/>
    <xf numFmtId="268" fontId="32" fillId="0" borderId="0" applyFont="0" applyFill="0" applyBorder="0" applyAlignment="0" applyProtection="0"/>
    <xf numFmtId="269" fontId="22" fillId="0" borderId="0" applyFont="0" applyFill="0" applyBorder="0" applyAlignment="0" applyProtection="0"/>
    <xf numFmtId="164" fontId="64" fillId="0" borderId="0" applyFont="0" applyFill="0" applyBorder="0" applyAlignment="0" applyProtection="0"/>
    <xf numFmtId="270" fontId="86" fillId="0" borderId="0" applyFill="0" applyBorder="0" applyProtection="0">
      <alignment vertical="center"/>
    </xf>
    <xf numFmtId="0" fontId="64" fillId="0" borderId="0" applyFont="0" applyFill="0" applyBorder="0" applyAlignment="0" applyProtection="0"/>
    <xf numFmtId="7" fontId="99" fillId="0" borderId="0" applyFill="0" applyBorder="0" applyProtection="0"/>
    <xf numFmtId="0" fontId="100" fillId="0" borderId="0"/>
    <xf numFmtId="5" fontId="22" fillId="0" borderId="0" applyFont="0" applyFill="0" applyBorder="0" applyAlignment="0" applyProtection="0"/>
    <xf numFmtId="271" fontId="28" fillId="0" borderId="0" applyFont="0" applyFill="0" applyBorder="0" applyAlignment="0" applyProtection="0"/>
    <xf numFmtId="14" fontId="22" fillId="0" borderId="0" applyFont="0" applyFill="0" applyBorder="0" applyAlignment="0" applyProtection="0">
      <alignment horizontal="center"/>
    </xf>
    <xf numFmtId="0" fontId="101" fillId="0" borderId="0"/>
    <xf numFmtId="0" fontId="27" fillId="16" borderId="3">
      <alignment horizontal="right"/>
    </xf>
    <xf numFmtId="0" fontId="102" fillId="16" borderId="3">
      <alignment horizontal="right"/>
    </xf>
    <xf numFmtId="0" fontId="103" fillId="16" borderId="3">
      <alignment horizontal="right"/>
    </xf>
    <xf numFmtId="0" fontId="102" fillId="16" borderId="3">
      <alignment horizontal="right"/>
    </xf>
    <xf numFmtId="272" fontId="104" fillId="16" borderId="3">
      <alignment horizontal="right"/>
    </xf>
    <xf numFmtId="0" fontId="27" fillId="16" borderId="3">
      <alignment horizontal="right"/>
    </xf>
    <xf numFmtId="0" fontId="27" fillId="16" borderId="3">
      <alignment horizontal="right"/>
    </xf>
    <xf numFmtId="0" fontId="102" fillId="16" borderId="3">
      <alignment horizontal="right"/>
    </xf>
    <xf numFmtId="225" fontId="105" fillId="16" borderId="3">
      <alignment horizontal="right"/>
    </xf>
    <xf numFmtId="0" fontId="27" fillId="16" borderId="3">
      <alignment horizontal="right"/>
    </xf>
    <xf numFmtId="272" fontId="104" fillId="16" borderId="3">
      <alignment horizontal="right"/>
    </xf>
    <xf numFmtId="42" fontId="70" fillId="0" borderId="0" applyFont="0" applyFill="0" applyBorder="0" applyAlignment="0" applyProtection="0">
      <alignment horizontal="right"/>
    </xf>
    <xf numFmtId="165" fontId="22" fillId="0" borderId="0" applyFont="0" applyFill="0" applyBorder="0" applyAlignment="0" applyProtection="0"/>
    <xf numFmtId="273" fontId="71" fillId="0" borderId="0" applyFont="0" applyFill="0" applyBorder="0" applyAlignment="0" applyProtection="0">
      <protection locked="0"/>
    </xf>
    <xf numFmtId="7" fontId="47" fillId="0" borderId="0" applyFont="0" applyFill="0" applyBorder="0" applyAlignment="0" applyProtection="0"/>
    <xf numFmtId="234" fontId="72" fillId="0" borderId="0" applyFont="0" applyFill="0" applyBorder="0" applyAlignment="0" applyProtection="0"/>
    <xf numFmtId="236" fontId="106" fillId="0" borderId="0" applyFont="0" applyFill="0" applyBorder="0" applyAlignment="0" applyProtection="0"/>
    <xf numFmtId="0" fontId="107" fillId="17" borderId="27" applyNumberFormat="0" applyFont="0" applyFill="0" applyAlignment="0" applyProtection="0">
      <alignment horizontal="left" indent="1"/>
    </xf>
    <xf numFmtId="14" fontId="22" fillId="0" borderId="0" applyNumberFormat="0">
      <alignment horizontal="right"/>
    </xf>
    <xf numFmtId="0" fontId="100" fillId="0" borderId="28"/>
    <xf numFmtId="0" fontId="86" fillId="0" borderId="0" applyNumberFormat="0">
      <alignment horizontal="right"/>
    </xf>
    <xf numFmtId="0" fontId="23" fillId="0" borderId="29">
      <alignment horizontal="center"/>
    </xf>
    <xf numFmtId="16" fontId="108" fillId="0" borderId="0" applyFont="0" applyFill="0" applyBorder="0" applyAlignment="0" applyProtection="0"/>
    <xf numFmtId="15" fontId="108" fillId="0" borderId="0" applyFont="0" applyFill="0" applyBorder="0" applyAlignment="0" applyProtection="0"/>
    <xf numFmtId="17" fontId="108" fillId="0" borderId="0" applyFont="0" applyFill="0" applyBorder="0" applyAlignment="0" applyProtection="0"/>
    <xf numFmtId="0" fontId="88" fillId="0" borderId="0"/>
    <xf numFmtId="276" fontId="32" fillId="13" borderId="0" applyFont="0" applyFill="0" applyBorder="0" applyAlignment="0" applyProtection="0"/>
    <xf numFmtId="17" fontId="81" fillId="0" borderId="0" applyFill="0" applyBorder="0">
      <alignment horizontal="right"/>
    </xf>
    <xf numFmtId="277" fontId="32" fillId="0" borderId="23"/>
    <xf numFmtId="278" fontId="86" fillId="0" borderId="0" applyFont="0" applyFill="0" applyBorder="0" applyAlignment="0" applyProtection="0"/>
    <xf numFmtId="14" fontId="24" fillId="0" borderId="0" applyFill="0" applyBorder="0" applyAlignment="0"/>
    <xf numFmtId="279" fontId="23" fillId="0" borderId="23">
      <alignment horizontal="right"/>
    </xf>
    <xf numFmtId="14" fontId="22" fillId="0" borderId="0" applyFont="0" applyFill="0" applyBorder="0" applyAlignment="0" applyProtection="0"/>
    <xf numFmtId="15" fontId="22" fillId="0" borderId="0" applyFont="0" applyFill="0" applyBorder="0" applyAlignment="0" applyProtection="0"/>
    <xf numFmtId="14" fontId="45" fillId="0" borderId="0" applyFont="0" applyFill="0" applyBorder="0" applyAlignment="0" applyProtection="0"/>
    <xf numFmtId="14" fontId="22" fillId="0" borderId="0" applyFont="0" applyFill="0" applyBorder="0" applyAlignment="0" applyProtection="0"/>
    <xf numFmtId="38" fontId="109" fillId="0" borderId="0" applyNumberFormat="0" applyFill="0" applyBorder="0" applyAlignment="0">
      <alignment horizontal="right"/>
    </xf>
    <xf numFmtId="0" fontId="22" fillId="0" borderId="0" applyFont="0" applyFill="0" applyBorder="0" applyAlignment="0" applyProtection="0"/>
    <xf numFmtId="17" fontId="109" fillId="0" borderId="30" applyFill="0" applyBorder="0" applyAlignment="0">
      <alignment horizontal="right"/>
    </xf>
    <xf numFmtId="38" fontId="110" fillId="0" borderId="0" applyNumberFormat="0" applyFill="0" applyBorder="0" applyAlignment="0">
      <alignment horizontal="right"/>
    </xf>
    <xf numFmtId="17" fontId="109" fillId="0" borderId="0" applyFill="0" applyBorder="0" applyAlignment="0"/>
    <xf numFmtId="280" fontId="22" fillId="0" borderId="0">
      <protection locked="0"/>
    </xf>
    <xf numFmtId="0" fontId="111" fillId="0" borderId="31">
      <alignment horizontal="centerContinuous"/>
    </xf>
    <xf numFmtId="15" fontId="46" fillId="0" borderId="0" applyFont="0" applyFill="0" applyBorder="0" applyAlignment="0" applyProtection="0">
      <alignment horizontal="center"/>
    </xf>
    <xf numFmtId="0" fontId="73" fillId="0" borderId="0" applyFont="0" applyFill="0" applyBorder="0" applyAlignment="0" applyProtection="0"/>
    <xf numFmtId="0" fontId="47" fillId="0" borderId="0" applyFill="0" applyBorder="0" applyAlignment="0" applyProtection="0"/>
    <xf numFmtId="236" fontId="22" fillId="0" borderId="0" applyFont="0" applyFill="0" applyBorder="0" applyAlignment="0" applyProtection="0">
      <alignment horizontal="center"/>
    </xf>
    <xf numFmtId="236" fontId="22" fillId="0" borderId="0" applyFont="0" applyFill="0" applyBorder="0" applyAlignment="0" applyProtection="0">
      <alignment horizontal="center"/>
    </xf>
    <xf numFmtId="0" fontId="22" fillId="0" borderId="0"/>
    <xf numFmtId="281" fontId="32" fillId="0" borderId="0" applyFont="0" applyFill="0" applyBorder="0" applyAlignment="0" applyProtection="0"/>
    <xf numFmtId="43" fontId="22" fillId="0" borderId="0" applyFont="0" applyFill="0" applyBorder="0" applyAlignment="0" applyProtection="0"/>
    <xf numFmtId="282" fontId="72" fillId="0" borderId="0" applyFont="0" applyFill="0" applyBorder="0" applyAlignment="0" applyProtection="0">
      <alignment horizontal="right"/>
    </xf>
    <xf numFmtId="0" fontId="88" fillId="0" borderId="0"/>
    <xf numFmtId="283" fontId="32" fillId="0" borderId="0"/>
    <xf numFmtId="284" fontId="112" fillId="0" borderId="0">
      <alignment horizontal="right"/>
    </xf>
    <xf numFmtId="285" fontId="112" fillId="0" borderId="0">
      <alignment horizontal="right"/>
    </xf>
    <xf numFmtId="7" fontId="47" fillId="0" borderId="0"/>
    <xf numFmtId="286" fontId="47" fillId="0" borderId="0"/>
    <xf numFmtId="4" fontId="31" fillId="0" borderId="0" applyFont="0" applyFill="0" applyBorder="0" applyAlignment="0" applyProtection="0"/>
    <xf numFmtId="287" fontId="44" fillId="0" borderId="0" applyFont="0" applyFill="0" applyBorder="0" applyAlignment="0" applyProtection="0"/>
    <xf numFmtId="288" fontId="86" fillId="0" borderId="32" applyNumberFormat="0" applyFont="0" applyFill="0" applyAlignment="0" applyProtection="0"/>
    <xf numFmtId="172" fontId="113" fillId="18" borderId="0">
      <alignment vertical="center"/>
    </xf>
    <xf numFmtId="172" fontId="20" fillId="0" borderId="0">
      <alignment vertical="center"/>
    </xf>
    <xf numFmtId="172" fontId="114" fillId="0" borderId="0">
      <alignment vertical="center"/>
    </xf>
    <xf numFmtId="172" fontId="115" fillId="15" borderId="33" applyNumberFormat="0" applyAlignment="0">
      <alignment horizontal="center" vertical="center"/>
    </xf>
    <xf numFmtId="172" fontId="116" fillId="15" borderId="0">
      <alignment horizontal="center" vertical="center"/>
    </xf>
    <xf numFmtId="14" fontId="117" fillId="15" borderId="0">
      <alignment horizontal="center" vertical="center"/>
    </xf>
    <xf numFmtId="17" fontId="118" fillId="15" borderId="0">
      <alignment horizontal="center" vertical="center"/>
    </xf>
    <xf numFmtId="172" fontId="47" fillId="0" borderId="0">
      <alignment vertical="center"/>
    </xf>
    <xf numFmtId="172" fontId="119" fillId="15" borderId="0">
      <alignment vertical="center"/>
    </xf>
    <xf numFmtId="172" fontId="120" fillId="15" borderId="0">
      <alignment vertical="center"/>
    </xf>
    <xf numFmtId="167" fontId="121" fillId="15" borderId="34">
      <alignment vertical="center"/>
    </xf>
    <xf numFmtId="0" fontId="113" fillId="15" borderId="34">
      <alignment vertical="center"/>
    </xf>
    <xf numFmtId="37" fontId="118" fillId="15" borderId="0">
      <alignment horizontal="left" vertical="center"/>
    </xf>
    <xf numFmtId="172" fontId="118" fillId="15" borderId="0">
      <alignment horizontal="center" vertical="center"/>
    </xf>
    <xf numFmtId="289" fontId="40" fillId="15" borderId="0">
      <alignment horizontal="right" vertical="center"/>
    </xf>
    <xf numFmtId="290" fontId="40" fillId="15" borderId="0">
      <alignment horizontal="right" vertical="center"/>
    </xf>
    <xf numFmtId="167" fontId="122" fillId="15" borderId="0">
      <alignment horizontal="right" vertical="center"/>
    </xf>
    <xf numFmtId="167" fontId="122" fillId="15" borderId="35">
      <alignment horizontal="right" vertical="center"/>
    </xf>
    <xf numFmtId="290" fontId="30" fillId="15" borderId="34">
      <alignment horizontal="right" vertical="center"/>
    </xf>
    <xf numFmtId="258" fontId="40" fillId="15" borderId="0">
      <alignment horizontal="right" vertical="center"/>
    </xf>
    <xf numFmtId="4" fontId="40" fillId="15" borderId="0">
      <alignment horizontal="right" vertical="center"/>
    </xf>
    <xf numFmtId="258" fontId="30" fillId="15" borderId="23">
      <alignment horizontal="right" vertical="center"/>
    </xf>
    <xf numFmtId="290" fontId="30" fillId="15" borderId="23">
      <alignment horizontal="right" vertical="center"/>
    </xf>
    <xf numFmtId="290" fontId="36" fillId="15" borderId="0">
      <alignment horizontal="right" vertical="center"/>
    </xf>
    <xf numFmtId="291" fontId="30" fillId="15" borderId="0">
      <alignment horizontal="right" vertical="center"/>
    </xf>
    <xf numFmtId="172" fontId="113" fillId="0" borderId="0">
      <alignment vertical="center"/>
    </xf>
    <xf numFmtId="172" fontId="123" fillId="15" borderId="23" applyBorder="0">
      <alignment horizontal="left" vertical="center"/>
    </xf>
    <xf numFmtId="172" fontId="124" fillId="15" borderId="0">
      <alignment horizontal="left" vertical="center"/>
    </xf>
    <xf numFmtId="172" fontId="123" fillId="15" borderId="36">
      <alignment horizontal="left"/>
    </xf>
    <xf numFmtId="172" fontId="47" fillId="15" borderId="37">
      <alignment vertical="center"/>
    </xf>
    <xf numFmtId="172" fontId="47" fillId="15" borderId="38">
      <alignment vertical="center"/>
    </xf>
    <xf numFmtId="172" fontId="47" fillId="15" borderId="35">
      <alignment vertical="center"/>
    </xf>
    <xf numFmtId="172" fontId="117" fillId="15" borderId="39">
      <alignment horizontal="center" vertical="center"/>
    </xf>
    <xf numFmtId="172" fontId="23" fillId="0" borderId="0">
      <alignment vertical="center"/>
    </xf>
    <xf numFmtId="172" fontId="23" fillId="0" borderId="0">
      <alignment vertical="center"/>
    </xf>
    <xf numFmtId="172" fontId="23" fillId="0" borderId="0">
      <alignment vertical="center"/>
    </xf>
    <xf numFmtId="237" fontId="28" fillId="0" borderId="0" applyFont="0" applyFill="0" applyBorder="0" applyAlignment="0" applyProtection="0"/>
    <xf numFmtId="0" fontId="28" fillId="0" borderId="0" applyFont="0" applyFill="0" applyBorder="0" applyAlignment="0" applyProtection="0"/>
    <xf numFmtId="235" fontId="28" fillId="0" borderId="0" applyFont="0" applyFill="0" applyAlignment="0" applyProtection="0"/>
    <xf numFmtId="237" fontId="28" fillId="0" borderId="0" applyFont="0" applyFill="0" applyBorder="0" applyAlignment="0" applyProtection="0"/>
    <xf numFmtId="0" fontId="73" fillId="0" borderId="0" applyFill="0" applyBorder="0" applyAlignment="0"/>
    <xf numFmtId="0" fontId="73" fillId="0" borderId="0" applyFill="0" applyBorder="0" applyAlignment="0"/>
    <xf numFmtId="0" fontId="73" fillId="0" borderId="0" applyFill="0" applyBorder="0" applyAlignment="0"/>
    <xf numFmtId="0" fontId="73" fillId="0" borderId="0" applyFill="0" applyBorder="0" applyAlignment="0"/>
    <xf numFmtId="0" fontId="73" fillId="0" borderId="0" applyFill="0" applyBorder="0" applyAlignment="0"/>
    <xf numFmtId="0" fontId="125" fillId="0" borderId="0" applyNumberFormat="0" applyAlignment="0">
      <alignment horizontal="left"/>
    </xf>
    <xf numFmtId="9" fontId="126" fillId="0" borderId="8" applyNumberFormat="0" applyBorder="0" applyAlignment="0">
      <protection locked="0"/>
    </xf>
    <xf numFmtId="292" fontId="30" fillId="0" borderId="40" applyBorder="0">
      <alignment vertical="top"/>
    </xf>
    <xf numFmtId="293" fontId="27" fillId="0" borderId="0"/>
    <xf numFmtId="0" fontId="102" fillId="0" borderId="0"/>
    <xf numFmtId="0" fontId="27" fillId="0" borderId="0"/>
    <xf numFmtId="0" fontId="27" fillId="0" borderId="0"/>
    <xf numFmtId="0" fontId="27" fillId="0" borderId="0"/>
    <xf numFmtId="294" fontId="22" fillId="0" borderId="0" applyFont="0" applyFill="0" applyBorder="0" applyAlignment="0" applyProtection="0"/>
    <xf numFmtId="0" fontId="28" fillId="0" borderId="8"/>
    <xf numFmtId="295" fontId="47" fillId="19" borderId="35" applyNumberFormat="0" applyFont="0" applyBorder="0" applyAlignment="0" applyProtection="0">
      <alignment horizontal="right"/>
    </xf>
    <xf numFmtId="0" fontId="22" fillId="0" borderId="0">
      <protection locked="0"/>
    </xf>
    <xf numFmtId="0" fontId="22" fillId="0" borderId="0">
      <protection locked="0"/>
    </xf>
    <xf numFmtId="0" fontId="22" fillId="0" borderId="0">
      <protection locked="0"/>
    </xf>
    <xf numFmtId="0" fontId="22" fillId="0" borderId="0">
      <protection locked="0"/>
    </xf>
    <xf numFmtId="0" fontId="22" fillId="0" borderId="0">
      <protection locked="0"/>
    </xf>
    <xf numFmtId="0" fontId="22" fillId="0" borderId="0">
      <protection locked="0"/>
    </xf>
    <xf numFmtId="0" fontId="22" fillId="0" borderId="0">
      <protection locked="0"/>
    </xf>
    <xf numFmtId="0" fontId="36" fillId="0" borderId="4" applyFont="0" applyFill="0" applyBorder="0" applyAlignment="0" applyProtection="0">
      <alignment horizontal="center"/>
    </xf>
    <xf numFmtId="1" fontId="64" fillId="0" borderId="0" applyFont="0" applyFill="0" applyBorder="0" applyAlignment="0" applyProtection="0"/>
    <xf numFmtId="0" fontId="99" fillId="0" borderId="0" applyFill="0" applyBorder="0" applyProtection="0"/>
    <xf numFmtId="0" fontId="127" fillId="0" borderId="0">
      <alignment horizontal="left"/>
    </xf>
    <xf numFmtId="0" fontId="128" fillId="0" borderId="0">
      <alignment horizontal="left"/>
    </xf>
    <xf numFmtId="0" fontId="129" fillId="0" borderId="0" applyFill="0" applyBorder="0" applyProtection="0">
      <alignment horizontal="left"/>
    </xf>
    <xf numFmtId="0" fontId="129" fillId="0" borderId="0" applyNumberFormat="0" applyFill="0" applyBorder="0" applyProtection="0">
      <alignment horizontal="left"/>
    </xf>
    <xf numFmtId="0" fontId="130" fillId="0" borderId="0" applyNumberFormat="0" applyFill="0" applyBorder="0" applyProtection="0">
      <alignment horizontal="left" vertical="center"/>
    </xf>
    <xf numFmtId="0" fontId="131" fillId="0" borderId="0" applyNumberFormat="0" applyFill="0" applyBorder="0" applyAlignment="0" applyProtection="0"/>
    <xf numFmtId="240" fontId="22" fillId="0" borderId="0" applyNumberFormat="0" applyFill="0" applyBorder="0" applyAlignment="0" applyProtection="0"/>
    <xf numFmtId="1" fontId="47" fillId="0" borderId="0" applyNumberFormat="0" applyBorder="0" applyAlignment="0" applyProtection="0"/>
    <xf numFmtId="37" fontId="67" fillId="0" borderId="0" applyBorder="0">
      <alignment horizontal="right" vertical="center"/>
    </xf>
    <xf numFmtId="37" fontId="132" fillId="0" borderId="0" applyBorder="0">
      <alignment horizontal="right" vertical="center"/>
    </xf>
    <xf numFmtId="296" fontId="133" fillId="0" borderId="0"/>
    <xf numFmtId="297" fontId="133" fillId="0" borderId="0"/>
    <xf numFmtId="296" fontId="133" fillId="0" borderId="0"/>
    <xf numFmtId="297" fontId="133" fillId="0" borderId="0"/>
    <xf numFmtId="296" fontId="133" fillId="0" borderId="0"/>
    <xf numFmtId="298" fontId="133" fillId="0" borderId="0"/>
    <xf numFmtId="297" fontId="133" fillId="0" borderId="0"/>
    <xf numFmtId="298" fontId="133" fillId="0" borderId="0"/>
    <xf numFmtId="296" fontId="133" fillId="0" borderId="0"/>
    <xf numFmtId="297" fontId="133" fillId="0" borderId="0"/>
    <xf numFmtId="297" fontId="133" fillId="0" borderId="0"/>
    <xf numFmtId="298" fontId="133" fillId="0" borderId="0"/>
    <xf numFmtId="298" fontId="133" fillId="0" borderId="0"/>
    <xf numFmtId="296" fontId="133" fillId="0" borderId="0"/>
    <xf numFmtId="297" fontId="133" fillId="0" borderId="0"/>
    <xf numFmtId="297" fontId="133" fillId="0" borderId="0"/>
    <xf numFmtId="297" fontId="133" fillId="0" borderId="0"/>
    <xf numFmtId="297" fontId="133" fillId="0" borderId="0"/>
    <xf numFmtId="296" fontId="133" fillId="0" borderId="0"/>
    <xf numFmtId="296" fontId="133" fillId="0" borderId="0"/>
    <xf numFmtId="296" fontId="133" fillId="0" borderId="0"/>
    <xf numFmtId="297" fontId="133" fillId="0" borderId="0"/>
    <xf numFmtId="296" fontId="133" fillId="0" borderId="0"/>
    <xf numFmtId="298" fontId="133" fillId="0" borderId="0"/>
    <xf numFmtId="299" fontId="133" fillId="0" borderId="0"/>
    <xf numFmtId="300" fontId="133" fillId="0" borderId="0"/>
    <xf numFmtId="301" fontId="133" fillId="0" borderId="0"/>
    <xf numFmtId="300" fontId="133" fillId="0" borderId="0"/>
    <xf numFmtId="301" fontId="133" fillId="0" borderId="0"/>
    <xf numFmtId="301" fontId="133" fillId="0" borderId="0"/>
    <xf numFmtId="301" fontId="133" fillId="0" borderId="0"/>
    <xf numFmtId="300" fontId="133" fillId="0" borderId="0"/>
    <xf numFmtId="300" fontId="133" fillId="0" borderId="0"/>
    <xf numFmtId="301" fontId="133" fillId="0" borderId="0"/>
    <xf numFmtId="301" fontId="133" fillId="0" borderId="0"/>
    <xf numFmtId="300" fontId="133" fillId="0" borderId="0"/>
    <xf numFmtId="301" fontId="133" fillId="0" borderId="0"/>
    <xf numFmtId="300" fontId="133" fillId="0" borderId="0"/>
    <xf numFmtId="302" fontId="47" fillId="0" borderId="0" applyFont="0" applyFill="0" applyBorder="0" applyProtection="0">
      <alignment horizontal="right"/>
    </xf>
    <xf numFmtId="303" fontId="32" fillId="0" borderId="0" applyFont="0" applyFill="0" applyBorder="0" applyAlignment="0">
      <alignment horizontal="center"/>
    </xf>
    <xf numFmtId="244" fontId="22" fillId="0" borderId="41" applyFont="0" applyFill="0" applyBorder="0" applyAlignment="0" applyProtection="0"/>
    <xf numFmtId="261" fontId="32" fillId="0" borderId="16" applyFont="0" applyFill="0" applyBorder="0" applyAlignment="0" applyProtection="0"/>
    <xf numFmtId="258" fontId="32" fillId="0" borderId="0" applyFont="0" applyFill="0" applyBorder="0" applyAlignment="0" applyProtection="0"/>
    <xf numFmtId="304" fontId="63" fillId="0" borderId="0" applyFont="0" applyFill="0" applyBorder="0" applyAlignment="0" applyProtection="0"/>
    <xf numFmtId="290" fontId="32" fillId="0" borderId="0" applyFont="0" applyFill="0" applyBorder="0" applyAlignment="0" applyProtection="0"/>
    <xf numFmtId="0" fontId="63" fillId="0" borderId="0" applyFont="0" applyFill="0" applyBorder="0" applyAlignment="0" applyProtection="0"/>
    <xf numFmtId="293" fontId="27" fillId="0" borderId="42"/>
    <xf numFmtId="164" fontId="134" fillId="0" borderId="0" applyNumberFormat="0" applyFill="0" applyBorder="0" applyAlignment="0" applyProtection="0"/>
    <xf numFmtId="305" fontId="104" fillId="16" borderId="3">
      <alignment horizontal="right"/>
    </xf>
    <xf numFmtId="0" fontId="27" fillId="16" borderId="3">
      <alignment horizontal="right"/>
    </xf>
    <xf numFmtId="0" fontId="27" fillId="16" borderId="3">
      <alignment horizontal="right"/>
    </xf>
    <xf numFmtId="306" fontId="104" fillId="16" borderId="3">
      <alignment horizontal="right"/>
    </xf>
    <xf numFmtId="0" fontId="27" fillId="16" borderId="3">
      <alignment horizontal="right"/>
    </xf>
    <xf numFmtId="0" fontId="27" fillId="16" borderId="3">
      <alignment horizontal="right"/>
    </xf>
    <xf numFmtId="0" fontId="27" fillId="16" borderId="3">
      <alignment horizontal="right"/>
    </xf>
    <xf numFmtId="307" fontId="105" fillId="16" borderId="3">
      <alignment horizontal="right"/>
    </xf>
    <xf numFmtId="306" fontId="104" fillId="16" borderId="3">
      <alignment horizontal="right"/>
    </xf>
    <xf numFmtId="308" fontId="135" fillId="0" borderId="0">
      <alignment vertical="center"/>
    </xf>
    <xf numFmtId="169" fontId="22" fillId="0" borderId="41" applyFont="0" applyFill="0" applyBorder="0" applyAlignment="0" applyProtection="0"/>
    <xf numFmtId="167" fontId="64" fillId="0" borderId="0" applyFont="0" applyFill="0" applyBorder="0" applyAlignment="0" applyProtection="0"/>
    <xf numFmtId="169" fontId="22" fillId="0" borderId="16" applyFont="0" applyFill="0" applyBorder="0" applyAlignment="0" applyProtection="0"/>
    <xf numFmtId="0" fontId="47" fillId="0" borderId="0" applyFont="0" applyFill="0" applyBorder="0" applyAlignment="0" applyProtection="0"/>
    <xf numFmtId="165" fontId="47" fillId="0" borderId="43" applyNumberFormat="0" applyFont="0" applyFill="0" applyAlignment="0" applyProtection="0">
      <alignment horizontal="right"/>
    </xf>
    <xf numFmtId="0" fontId="47" fillId="0" borderId="0" applyNumberFormat="0" applyFill="0" applyBorder="0" applyProtection="0">
      <alignment wrapText="1"/>
    </xf>
    <xf numFmtId="0" fontId="136" fillId="0" borderId="0" applyNumberFormat="0" applyFill="0" applyBorder="0" applyProtection="0">
      <alignment wrapText="1"/>
    </xf>
    <xf numFmtId="0" fontId="134" fillId="0" borderId="0" applyNumberFormat="0" applyFill="0" applyBorder="0" applyAlignment="0" applyProtection="0"/>
    <xf numFmtId="38" fontId="47" fillId="16" borderId="0" applyNumberFormat="0" applyBorder="0" applyAlignment="0" applyProtection="0"/>
    <xf numFmtId="1" fontId="21" fillId="16" borderId="20">
      <alignment horizontal="center" vertical="center"/>
    </xf>
    <xf numFmtId="38" fontId="47" fillId="15" borderId="0" applyNumberFormat="0" applyBorder="0" applyAlignment="0" applyProtection="0"/>
    <xf numFmtId="49" fontId="137" fillId="0" borderId="0">
      <alignment horizontal="right"/>
    </xf>
    <xf numFmtId="49" fontId="138" fillId="0" borderId="0">
      <alignment horizontal="right"/>
    </xf>
    <xf numFmtId="308" fontId="139" fillId="0" borderId="0">
      <alignment vertical="center"/>
    </xf>
    <xf numFmtId="239" fontId="32" fillId="13" borderId="8" applyNumberFormat="0" applyFont="0" applyAlignment="0"/>
    <xf numFmtId="309" fontId="86" fillId="0" borderId="0" applyFont="0" applyFill="0" applyBorder="0" applyAlignment="0" applyProtection="0">
      <alignment horizontal="right"/>
    </xf>
    <xf numFmtId="0" fontId="140" fillId="0" borderId="0" applyProtection="0">
      <alignment horizontal="right"/>
    </xf>
    <xf numFmtId="0" fontId="141" fillId="0" borderId="0">
      <alignment horizontal="left"/>
    </xf>
    <xf numFmtId="0" fontId="142" fillId="0" borderId="0" applyNumberFormat="0" applyFill="0" applyBorder="0" applyAlignment="0" applyProtection="0"/>
    <xf numFmtId="0" fontId="20" fillId="0" borderId="40" applyNumberFormat="0" applyAlignment="0" applyProtection="0">
      <alignment horizontal="left" vertical="center"/>
    </xf>
    <xf numFmtId="0" fontId="20" fillId="0" borderId="4">
      <alignment horizontal="left" vertical="center"/>
    </xf>
    <xf numFmtId="0" fontId="143" fillId="0" borderId="0">
      <alignment horizontal="center"/>
    </xf>
    <xf numFmtId="0" fontId="88" fillId="20" borderId="0"/>
    <xf numFmtId="0" fontId="144" fillId="0" borderId="0"/>
    <xf numFmtId="0" fontId="145" fillId="0" borderId="23">
      <alignment horizontal="center"/>
    </xf>
    <xf numFmtId="0" fontId="146" fillId="0" borderId="0">
      <alignment horizontal="left"/>
    </xf>
    <xf numFmtId="0" fontId="147" fillId="0" borderId="44">
      <alignment horizontal="left" vertical="top"/>
    </xf>
    <xf numFmtId="0" fontId="46" fillId="0" borderId="0">
      <alignment horizontal="left"/>
    </xf>
    <xf numFmtId="0" fontId="148" fillId="0" borderId="44">
      <alignment horizontal="left" vertical="top"/>
    </xf>
    <xf numFmtId="0" fontId="149" fillId="0" borderId="0">
      <alignment horizontal="left"/>
    </xf>
    <xf numFmtId="0" fontId="23" fillId="0" borderId="0" applyFill="0" applyAlignment="0" applyProtection="0">
      <protection locked="0"/>
    </xf>
    <xf numFmtId="0" fontId="150" fillId="0" borderId="0"/>
    <xf numFmtId="0" fontId="36" fillId="0" borderId="23" applyFill="0" applyAlignment="0" applyProtection="0">
      <protection locked="0"/>
    </xf>
    <xf numFmtId="0" fontId="20" fillId="0" borderId="0"/>
    <xf numFmtId="0" fontId="151" fillId="0" borderId="0" applyProtection="0">
      <alignment horizontal="left"/>
    </xf>
    <xf numFmtId="0" fontId="152" fillId="0" borderId="0">
      <alignment horizontal="left"/>
    </xf>
    <xf numFmtId="0" fontId="153" fillId="0" borderId="0">
      <alignment horizontal="left"/>
    </xf>
    <xf numFmtId="0" fontId="154" fillId="0" borderId="0">
      <alignment horizontal="left"/>
    </xf>
    <xf numFmtId="0" fontId="155" fillId="9" borderId="45" applyNumberFormat="0" applyProtection="0">
      <alignment horizontal="centerContinuous" vertical="center"/>
      <protection locked="0"/>
    </xf>
    <xf numFmtId="0" fontId="23" fillId="0" borderId="23">
      <alignment horizontal="centerContinuous" vertical="center"/>
    </xf>
    <xf numFmtId="0" fontId="156" fillId="0" borderId="0" applyNumberFormat="0" applyFill="0" applyBorder="0" applyAlignment="0">
      <protection hidden="1"/>
    </xf>
    <xf numFmtId="0" fontId="157" fillId="21" borderId="0" applyNumberFormat="0" applyFont="0" applyBorder="0" applyAlignment="0" applyProtection="0"/>
    <xf numFmtId="310" fontId="32" fillId="0" borderId="0" applyNumberFormat="0" applyFill="0" applyBorder="0" applyAlignment="0" applyProtection="0"/>
    <xf numFmtId="0" fontId="97" fillId="22" borderId="8" applyNumberFormat="0" applyAlignment="0" applyProtection="0"/>
    <xf numFmtId="10" fontId="47" fillId="13" borderId="8" applyNumberFormat="0" applyBorder="0" applyAlignment="0" applyProtection="0"/>
    <xf numFmtId="167" fontId="89" fillId="0" borderId="8" applyNumberFormat="0" applyFill="0" applyAlignment="0" applyProtection="0"/>
    <xf numFmtId="0" fontId="45" fillId="23" borderId="0" applyNumberFormat="0" applyFont="0" applyBorder="0" applyAlignment="0" applyProtection="0"/>
    <xf numFmtId="311" fontId="32" fillId="13" borderId="0" applyBorder="0" applyAlignment="0" applyProtection="0"/>
    <xf numFmtId="312" fontId="158" fillId="0" borderId="0" applyFill="0" applyBorder="0" applyProtection="0"/>
    <xf numFmtId="313" fontId="158" fillId="0" borderId="0" applyFill="0" applyBorder="0" applyProtection="0"/>
    <xf numFmtId="314" fontId="32" fillId="0" borderId="0" applyFill="0" applyBorder="0" applyProtection="0"/>
    <xf numFmtId="244" fontId="159" fillId="13" borderId="0"/>
    <xf numFmtId="311" fontId="32" fillId="0" borderId="0" applyFill="0" applyBorder="0" applyAlignment="0" applyProtection="0"/>
    <xf numFmtId="315" fontId="32" fillId="13" borderId="0" applyFont="0" applyBorder="0" applyProtection="0"/>
    <xf numFmtId="316" fontId="158" fillId="0" borderId="0" applyFill="0" applyBorder="0" applyProtection="0"/>
    <xf numFmtId="0" fontId="160" fillId="13" borderId="0"/>
    <xf numFmtId="317" fontId="158" fillId="0" borderId="0" applyFill="0" applyBorder="0" applyProtection="0"/>
    <xf numFmtId="0" fontId="161" fillId="13" borderId="0">
      <alignment horizontal="left"/>
    </xf>
    <xf numFmtId="318" fontId="32" fillId="13" borderId="0" applyBorder="0" applyAlignment="0" applyProtection="0"/>
    <xf numFmtId="319" fontId="32" fillId="13" borderId="0" applyBorder="0" applyProtection="0"/>
    <xf numFmtId="274" fontId="22" fillId="0" borderId="0"/>
    <xf numFmtId="320" fontId="162" fillId="0" borderId="0" applyFill="0" applyBorder="0" applyProtection="0">
      <alignment vertical="center"/>
    </xf>
    <xf numFmtId="270" fontId="162" fillId="0" borderId="0" applyFill="0" applyBorder="0" applyProtection="0">
      <alignment vertical="center"/>
    </xf>
    <xf numFmtId="321" fontId="158" fillId="0" borderId="0" applyFont="0" applyFill="0" applyBorder="0" applyAlignment="0">
      <protection locked="0"/>
    </xf>
    <xf numFmtId="166" fontId="158" fillId="0" borderId="0" applyFont="0" applyFill="0" applyBorder="0" applyAlignment="0">
      <protection locked="0"/>
    </xf>
    <xf numFmtId="322" fontId="162" fillId="0" borderId="0" applyFill="0" applyBorder="0" applyProtection="0">
      <alignment vertical="center"/>
    </xf>
    <xf numFmtId="274" fontId="22" fillId="0" borderId="0"/>
    <xf numFmtId="171" fontId="162" fillId="0" borderId="0" applyFill="0" applyBorder="0" applyProtection="0">
      <alignment vertical="center"/>
    </xf>
    <xf numFmtId="38" fontId="96" fillId="0" borderId="0" applyNumberFormat="0" applyFill="0" applyBorder="0" applyAlignment="0">
      <protection locked="0"/>
    </xf>
    <xf numFmtId="169" fontId="158" fillId="0" borderId="23" applyFill="0"/>
    <xf numFmtId="0" fontId="45" fillId="0" borderId="0" applyFill="0" applyBorder="0">
      <alignment horizontal="right"/>
      <protection locked="0"/>
    </xf>
    <xf numFmtId="0" fontId="111" fillId="0" borderId="0"/>
    <xf numFmtId="0" fontId="47" fillId="0" borderId="0" applyFill="0" applyBorder="0">
      <alignment horizontal="right"/>
      <protection locked="0"/>
    </xf>
    <xf numFmtId="240" fontId="22" fillId="0" borderId="0" applyNumberFormat="0" applyFill="0" applyBorder="0" applyAlignment="0" applyProtection="0"/>
    <xf numFmtId="240" fontId="22" fillId="0" borderId="0" applyNumberFormat="0" applyFill="0" applyBorder="0" applyAlignment="0" applyProtection="0"/>
    <xf numFmtId="240" fontId="22" fillId="0" borderId="0" applyNumberFormat="0" applyFill="0" applyBorder="0" applyAlignment="0" applyProtection="0"/>
    <xf numFmtId="0" fontId="47" fillId="0" borderId="0" applyFill="0" applyBorder="0">
      <alignment horizontal="right"/>
      <protection locked="0"/>
    </xf>
    <xf numFmtId="0" fontId="163" fillId="24" borderId="28">
      <alignment horizontal="left" vertical="center" wrapText="1"/>
    </xf>
    <xf numFmtId="258" fontId="32" fillId="0" borderId="0" applyFont="0" applyFill="0" applyBorder="0" applyAlignment="0" applyProtection="0"/>
    <xf numFmtId="222" fontId="32" fillId="0" borderId="0" applyFont="0" applyFill="0" applyBorder="0" applyAlignment="0" applyProtection="0"/>
    <xf numFmtId="0" fontId="164" fillId="0" borderId="0" applyNumberFormat="0" applyFill="0" applyBorder="0" applyProtection="0">
      <alignment horizontal="left" vertical="center"/>
    </xf>
    <xf numFmtId="166" fontId="32" fillId="0" borderId="0" applyFont="0" applyFill="0" applyBorder="0" applyAlignment="0" applyProtection="0">
      <alignment horizontal="left"/>
    </xf>
    <xf numFmtId="169" fontId="32" fillId="0" borderId="0" applyFont="0" applyFill="0" applyBorder="0" applyAlignment="0" applyProtection="0">
      <alignment horizontal="right"/>
    </xf>
    <xf numFmtId="261" fontId="70" fillId="0" borderId="0" applyFont="0" applyFill="0" applyBorder="0" applyAlignment="0" applyProtection="0">
      <alignment horizontal="right"/>
    </xf>
    <xf numFmtId="0" fontId="70" fillId="0" borderId="0"/>
    <xf numFmtId="0" fontId="165" fillId="24" borderId="28"/>
    <xf numFmtId="0" fontId="157" fillId="0" borderId="44" applyNumberFormat="0" applyFont="0" applyFill="0" applyAlignment="0" applyProtection="0"/>
    <xf numFmtId="38" fontId="22" fillId="0" borderId="46" applyNumberFormat="0" applyFont="0" applyFill="0" applyAlignment="0" applyProtection="0"/>
    <xf numFmtId="0" fontId="47" fillId="0" borderId="0" applyNumberFormat="0" applyFill="0" applyBorder="0" applyProtection="0">
      <alignment horizontal="left"/>
    </xf>
    <xf numFmtId="0" fontId="81" fillId="0" borderId="0" applyNumberFormat="0" applyFill="0" applyBorder="0" applyProtection="0">
      <alignment horizontal="left"/>
    </xf>
    <xf numFmtId="0" fontId="166" fillId="0" borderId="0"/>
    <xf numFmtId="169" fontId="28" fillId="0" borderId="0" applyFont="0" applyFill="0" applyBorder="0" applyAlignment="0" applyProtection="0"/>
    <xf numFmtId="0" fontId="167" fillId="0" borderId="0" applyFill="0" applyBorder="0" applyAlignment="0" applyProtection="0"/>
    <xf numFmtId="0" fontId="73" fillId="0" borderId="0" applyFill="0" applyBorder="0" applyAlignment="0"/>
    <xf numFmtId="0" fontId="73" fillId="0" borderId="0" applyFill="0" applyBorder="0" applyAlignment="0"/>
    <xf numFmtId="0" fontId="73" fillId="0" borderId="0" applyFill="0" applyBorder="0" applyAlignment="0"/>
    <xf numFmtId="0" fontId="73" fillId="0" borderId="0" applyFill="0" applyBorder="0" applyAlignment="0"/>
    <xf numFmtId="0" fontId="73" fillId="0" borderId="0" applyFill="0" applyBorder="0" applyAlignment="0"/>
    <xf numFmtId="323" fontId="167" fillId="0" borderId="0" applyFill="0" applyBorder="0" applyAlignment="0" applyProtection="0"/>
    <xf numFmtId="0" fontId="22" fillId="0" borderId="0">
      <alignment horizontal="left"/>
    </xf>
    <xf numFmtId="324" fontId="104" fillId="0" borderId="0">
      <alignment horizontal="right"/>
    </xf>
    <xf numFmtId="325" fontId="27" fillId="0" borderId="0">
      <alignment horizontal="right"/>
    </xf>
    <xf numFmtId="14" fontId="81" fillId="0" borderId="23" applyFont="0" applyFill="0" applyBorder="0" applyAlignment="0" applyProtection="0"/>
    <xf numFmtId="0" fontId="102" fillId="0" borderId="0">
      <alignment horizontal="right"/>
    </xf>
    <xf numFmtId="0" fontId="168" fillId="0" borderId="0">
      <alignment horizontal="right"/>
    </xf>
    <xf numFmtId="0" fontId="168" fillId="0" borderId="0">
      <alignment horizontal="right"/>
    </xf>
    <xf numFmtId="0" fontId="102" fillId="0" borderId="0">
      <alignment horizontal="right"/>
    </xf>
    <xf numFmtId="326" fontId="104" fillId="0" borderId="0">
      <alignment horizontal="right"/>
    </xf>
    <xf numFmtId="0" fontId="27" fillId="0" borderId="0">
      <alignment horizontal="right"/>
    </xf>
    <xf numFmtId="0" fontId="27" fillId="0" borderId="0">
      <alignment horizontal="right"/>
    </xf>
    <xf numFmtId="0" fontId="102" fillId="0" borderId="0">
      <alignment horizontal="right"/>
    </xf>
    <xf numFmtId="327" fontId="105" fillId="0" borderId="0">
      <alignment horizontal="right"/>
    </xf>
    <xf numFmtId="0" fontId="27" fillId="0" borderId="0">
      <alignment horizontal="right"/>
    </xf>
    <xf numFmtId="0" fontId="102" fillId="0" borderId="0">
      <alignment horizontal="right"/>
    </xf>
    <xf numFmtId="0" fontId="102" fillId="0" borderId="0">
      <alignment horizontal="right"/>
    </xf>
    <xf numFmtId="0" fontId="102" fillId="0" borderId="0">
      <alignment horizontal="right"/>
    </xf>
    <xf numFmtId="326" fontId="104" fillId="0" borderId="0">
      <alignment horizontal="right"/>
    </xf>
    <xf numFmtId="268" fontId="22" fillId="0" borderId="0" applyFont="0" applyFill="0" applyBorder="0" applyAlignment="0" applyProtection="0"/>
    <xf numFmtId="328" fontId="32" fillId="0" borderId="0" applyFont="0" applyFill="0" applyBorder="0" applyAlignment="0" applyProtection="0">
      <alignment horizontal="right"/>
    </xf>
    <xf numFmtId="329" fontId="22" fillId="0" borderId="0" applyFont="0" applyFill="0" applyBorder="0" applyAlignment="0" applyProtection="0"/>
    <xf numFmtId="314" fontId="22" fillId="0" borderId="0" applyFont="0" applyFill="0" applyBorder="0" applyAlignment="0" applyProtection="0"/>
    <xf numFmtId="310" fontId="22" fillId="0" borderId="0" applyFont="0" applyFill="0" applyBorder="0" applyAlignment="0" applyProtection="0"/>
    <xf numFmtId="0" fontId="114" fillId="0" borderId="0"/>
    <xf numFmtId="0" fontId="28" fillId="0" borderId="0" applyNumberFormat="0" applyFill="0" applyBorder="0" applyAlignment="0" applyProtection="0"/>
    <xf numFmtId="0" fontId="28" fillId="0" borderId="0" applyNumberFormat="0" applyFill="0" applyBorder="0" applyAlignment="0" applyProtection="0"/>
    <xf numFmtId="0" fontId="169" fillId="0" borderId="0" applyNumberFormat="0" applyFill="0" applyBorder="0" applyAlignment="0" applyProtection="0"/>
    <xf numFmtId="0" fontId="170" fillId="0" borderId="0" applyFill="0" applyBorder="0">
      <alignment horizontal="left" indent="1"/>
    </xf>
    <xf numFmtId="0" fontId="22" fillId="0" borderId="0" applyFont="0" applyFill="0" applyBorder="0" applyAlignment="0" applyProtection="0"/>
    <xf numFmtId="0" fontId="22" fillId="0" borderId="0" applyFont="0" applyFill="0" applyBorder="0" applyAlignment="0" applyProtection="0"/>
    <xf numFmtId="0" fontId="47" fillId="10" borderId="0" applyFont="0" applyFill="0" applyBorder="0" applyAlignment="0" applyProtection="0">
      <alignment horizontal="center"/>
    </xf>
    <xf numFmtId="0" fontId="22" fillId="10" borderId="0" applyFont="0" applyFill="0" applyBorder="0" applyAlignment="0" applyProtection="0">
      <alignment horizontal="center"/>
    </xf>
    <xf numFmtId="0" fontId="171" fillId="0" borderId="0">
      <protection locked="0"/>
    </xf>
    <xf numFmtId="41" fontId="22" fillId="0" borderId="0" applyFont="0" applyFill="0" applyBorder="0" applyAlignment="0" applyProtection="0"/>
    <xf numFmtId="43" fontId="22" fillId="0" borderId="0" applyFont="0" applyFill="0" applyBorder="0" applyAlignment="0" applyProtection="0"/>
    <xf numFmtId="38" fontId="45" fillId="0" borderId="0" applyFont="0" applyFill="0" applyBorder="0" applyAlignment="0" applyProtection="0"/>
    <xf numFmtId="0" fontId="22" fillId="0" borderId="0" applyFont="0" applyFill="0" applyBorder="0" applyAlignment="0" applyProtection="0"/>
    <xf numFmtId="0" fontId="72" fillId="0" borderId="0" applyNumberFormat="0" applyFont="0" applyBorder="0" applyAlignment="0"/>
    <xf numFmtId="330" fontId="45" fillId="0" borderId="0">
      <alignment horizontal="right"/>
    </xf>
    <xf numFmtId="0" fontId="172" fillId="0" borderId="7"/>
    <xf numFmtId="212" fontId="32" fillId="0" borderId="0" applyFont="0" applyFill="0" applyBorder="0" applyAlignment="0" applyProtection="0"/>
    <xf numFmtId="331" fontId="22" fillId="0" borderId="0" applyFont="0" applyFill="0" applyBorder="0" applyAlignment="0" applyProtection="0"/>
    <xf numFmtId="0" fontId="171" fillId="0" borderId="0">
      <protection locked="0"/>
    </xf>
    <xf numFmtId="42" fontId="22" fillId="0" borderId="0" applyFont="0" applyFill="0" applyBorder="0" applyAlignment="0" applyProtection="0"/>
    <xf numFmtId="274" fontId="32" fillId="0" borderId="0" applyFont="0" applyFill="0" applyBorder="0" applyAlignment="0" applyProtection="0"/>
    <xf numFmtId="0" fontId="45" fillId="0" borderId="0" applyFont="0" applyFill="0" applyBorder="0" applyAlignment="0" applyProtection="0"/>
    <xf numFmtId="0" fontId="45" fillId="0" borderId="0" applyFont="0" applyFill="0" applyBorder="0" applyAlignment="0" applyProtection="0"/>
    <xf numFmtId="275" fontId="47" fillId="0" borderId="0" applyFont="0" applyFill="0" applyBorder="0" applyProtection="0">
      <alignment horizontal="right"/>
    </xf>
    <xf numFmtId="332" fontId="28" fillId="0" borderId="0"/>
    <xf numFmtId="17" fontId="46" fillId="0" borderId="0" applyFont="0" applyFill="0" applyBorder="0" applyAlignment="0" applyProtection="0">
      <alignment horizontal="center"/>
    </xf>
    <xf numFmtId="0" fontId="173" fillId="0" borderId="0"/>
    <xf numFmtId="315" fontId="32" fillId="0" borderId="0" applyFont="0" applyFill="0" applyBorder="0" applyAlignment="0" applyProtection="0">
      <alignment horizontal="right"/>
    </xf>
    <xf numFmtId="277" fontId="28" fillId="0" borderId="23" applyFont="0" applyFill="0" applyBorder="0" applyProtection="0"/>
    <xf numFmtId="276" fontId="28" fillId="0" borderId="23" applyFont="0" applyFill="0" applyBorder="0" applyAlignment="0" applyProtection="0"/>
    <xf numFmtId="169" fontId="99" fillId="0" borderId="0" applyFont="0" applyFill="0" applyBorder="0" applyAlignment="0" applyProtection="0">
      <alignment horizontal="right"/>
    </xf>
    <xf numFmtId="277" fontId="28" fillId="0" borderId="0" applyFont="0" applyFill="0" applyBorder="0" applyAlignment="0" applyProtection="0"/>
    <xf numFmtId="276" fontId="28" fillId="0" borderId="0" applyFont="0" applyFill="0" applyBorder="0" applyAlignment="0" applyProtection="0"/>
    <xf numFmtId="333" fontId="31" fillId="0" borderId="0" applyFont="0" applyFill="0" applyBorder="0" applyAlignment="0" applyProtection="0"/>
    <xf numFmtId="322" fontId="86" fillId="0" borderId="0" applyFill="0" applyBorder="0" applyProtection="0">
      <alignment vertical="center"/>
    </xf>
    <xf numFmtId="334" fontId="99" fillId="0" borderId="0" applyFont="0"/>
    <xf numFmtId="203" fontId="174" fillId="0" borderId="0"/>
    <xf numFmtId="0" fontId="22" fillId="0" borderId="0"/>
    <xf numFmtId="0" fontId="133" fillId="0" borderId="0"/>
    <xf numFmtId="0" fontId="133" fillId="0" borderId="0"/>
    <xf numFmtId="0" fontId="22" fillId="0" borderId="0"/>
    <xf numFmtId="0" fontId="133" fillId="0" borderId="0"/>
    <xf numFmtId="0" fontId="22" fillId="0" borderId="0"/>
    <xf numFmtId="0" fontId="133" fillId="0" borderId="0"/>
    <xf numFmtId="0" fontId="22" fillId="0" borderId="0"/>
    <xf numFmtId="0" fontId="133" fillId="0" borderId="0"/>
    <xf numFmtId="0" fontId="133" fillId="0" borderId="0"/>
    <xf numFmtId="0" fontId="32" fillId="0" borderId="0"/>
    <xf numFmtId="0" fontId="22" fillId="0" borderId="0"/>
    <xf numFmtId="0" fontId="22" fillId="0" borderId="0"/>
    <xf numFmtId="0" fontId="64" fillId="0" borderId="0"/>
    <xf numFmtId="0" fontId="22" fillId="0" borderId="0"/>
    <xf numFmtId="0" fontId="28" fillId="0" borderId="0"/>
    <xf numFmtId="0" fontId="133" fillId="0" borderId="0"/>
    <xf numFmtId="0" fontId="22" fillId="0" borderId="0"/>
    <xf numFmtId="0" fontId="133" fillId="0" borderId="0"/>
    <xf numFmtId="2" fontId="45" fillId="0" borderId="0" applyBorder="0" applyProtection="0"/>
    <xf numFmtId="335" fontId="99" fillId="0" borderId="35"/>
    <xf numFmtId="336" fontId="86" fillId="0" borderId="0" applyFill="0" applyBorder="0" applyProtection="0">
      <alignment vertical="center"/>
    </xf>
    <xf numFmtId="0" fontId="46" fillId="0" borderId="0"/>
    <xf numFmtId="337" fontId="22" fillId="0" borderId="0"/>
    <xf numFmtId="0" fontId="152" fillId="0" borderId="0" applyNumberFormat="0" applyFill="0" applyBorder="0">
      <alignment horizontal="left"/>
    </xf>
    <xf numFmtId="1" fontId="175" fillId="0" borderId="0" applyProtection="0">
      <alignment horizontal="right" vertical="center"/>
    </xf>
    <xf numFmtId="164" fontId="31" fillId="0" borderId="0"/>
    <xf numFmtId="10"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88" fillId="0" borderId="0" applyFont="0" applyFill="0" applyBorder="0" applyAlignment="0" applyProtection="0"/>
    <xf numFmtId="9" fontId="22" fillId="0" borderId="0" applyFont="0" applyFill="0" applyBorder="0" applyAlignment="0" applyProtection="0"/>
    <xf numFmtId="9" fontId="31" fillId="0" borderId="0" applyFont="0" applyFill="0" applyBorder="0" applyAlignment="0" applyProtection="0"/>
    <xf numFmtId="338" fontId="99" fillId="0" borderId="35"/>
    <xf numFmtId="167" fontId="35" fillId="0" borderId="0"/>
    <xf numFmtId="339" fontId="52" fillId="0" borderId="0"/>
    <xf numFmtId="167" fontId="28" fillId="0" borderId="0" applyProtection="0"/>
    <xf numFmtId="10" fontId="28" fillId="0" borderId="0" applyProtection="0"/>
    <xf numFmtId="0" fontId="47" fillId="0" borderId="0"/>
    <xf numFmtId="340" fontId="47" fillId="0" borderId="0"/>
    <xf numFmtId="0" fontId="176" fillId="0" borderId="0"/>
    <xf numFmtId="1" fontId="36" fillId="0" borderId="23">
      <alignment horizontal="center" vertical="top"/>
    </xf>
    <xf numFmtId="341" fontId="22" fillId="0" borderId="0" applyFill="0" applyBorder="0"/>
    <xf numFmtId="0" fontId="26" fillId="0" borderId="3" applyNumberFormat="0" applyBorder="0" applyAlignment="0"/>
    <xf numFmtId="172" fontId="45" fillId="25" borderId="47" applyNumberFormat="0" applyFont="0" applyBorder="0" applyAlignment="0" applyProtection="0">
      <alignment horizontal="center"/>
    </xf>
    <xf numFmtId="285" fontId="177" fillId="0" borderId="0">
      <alignment horizontal="right"/>
    </xf>
    <xf numFmtId="0" fontId="30" fillId="0" borderId="0" applyFill="0">
      <alignment vertical="top"/>
    </xf>
    <xf numFmtId="43" fontId="9" fillId="0" borderId="0" applyFont="0" applyFill="0" applyBorder="0" applyAlignment="0" applyProtection="0"/>
    <xf numFmtId="9" fontId="9" fillId="0" borderId="0" applyFont="0" applyFill="0" applyBorder="0" applyAlignment="0" applyProtection="0"/>
  </cellStyleXfs>
  <cellXfs count="673">
    <xf numFmtId="0" fontId="0" fillId="0" borderId="0" xfId="0"/>
    <xf numFmtId="164" fontId="11" fillId="0" borderId="0" xfId="0" applyNumberFormat="1" applyFont="1"/>
    <xf numFmtId="164" fontId="14" fillId="0" borderId="0" xfId="0" applyNumberFormat="1" applyFont="1"/>
    <xf numFmtId="0" fontId="11" fillId="0" borderId="0" xfId="0" applyFont="1"/>
    <xf numFmtId="165" fontId="11" fillId="0" borderId="0" xfId="0" applyNumberFormat="1" applyFont="1"/>
    <xf numFmtId="165" fontId="17" fillId="0" borderId="0" xfId="0" applyNumberFormat="1" applyFont="1"/>
    <xf numFmtId="164" fontId="17" fillId="0" borderId="0" xfId="0" applyNumberFormat="1" applyFont="1"/>
    <xf numFmtId="0" fontId="19" fillId="0" borderId="0" xfId="0" applyFont="1" applyAlignment="1">
      <alignment vertical="top"/>
    </xf>
    <xf numFmtId="0" fontId="179" fillId="0" borderId="0" xfId="0" applyFont="1" applyAlignment="1">
      <alignment vertical="top"/>
    </xf>
    <xf numFmtId="164" fontId="18" fillId="0" borderId="0" xfId="0" applyNumberFormat="1" applyFont="1" applyAlignment="1">
      <alignment horizontal="left"/>
    </xf>
    <xf numFmtId="164" fontId="11" fillId="0" borderId="0" xfId="0" applyNumberFormat="1" applyFont="1" applyAlignment="1">
      <alignment horizontal="left"/>
    </xf>
    <xf numFmtId="164" fontId="180" fillId="0" borderId="0" xfId="0" applyNumberFormat="1" applyFont="1"/>
    <xf numFmtId="0" fontId="19" fillId="0" borderId="2" xfId="0" applyFont="1" applyBorder="1" applyAlignment="1">
      <alignment vertical="top"/>
    </xf>
    <xf numFmtId="342" fontId="181" fillId="0" borderId="0" xfId="0" applyNumberFormat="1" applyFont="1"/>
    <xf numFmtId="165" fontId="14" fillId="0" borderId="0" xfId="0" applyNumberFormat="1" applyFont="1"/>
    <xf numFmtId="165" fontId="18" fillId="0" borderId="0" xfId="0" applyNumberFormat="1" applyFont="1"/>
    <xf numFmtId="164" fontId="15" fillId="0" borderId="0" xfId="0" applyNumberFormat="1" applyFont="1"/>
    <xf numFmtId="164" fontId="18" fillId="0" borderId="0" xfId="0" applyNumberFormat="1" applyFont="1"/>
    <xf numFmtId="0" fontId="18" fillId="0" borderId="0" xfId="0" applyFont="1"/>
    <xf numFmtId="0" fontId="180" fillId="0" borderId="0" xfId="0" applyFont="1"/>
    <xf numFmtId="164" fontId="192" fillId="0" borderId="0" xfId="0" applyNumberFormat="1" applyFont="1"/>
    <xf numFmtId="0" fontId="191" fillId="0" borderId="0" xfId="0" applyFont="1" applyAlignment="1">
      <alignment vertical="top"/>
    </xf>
    <xf numFmtId="0" fontId="193" fillId="0" borderId="0" xfId="0" applyFont="1" applyAlignment="1">
      <alignment vertical="top"/>
    </xf>
    <xf numFmtId="164" fontId="194" fillId="0" borderId="0" xfId="0" applyNumberFormat="1" applyFont="1"/>
    <xf numFmtId="0" fontId="15" fillId="0" borderId="0" xfId="0" applyFont="1"/>
    <xf numFmtId="343" fontId="183" fillId="0" borderId="0" xfId="0" applyNumberFormat="1" applyFont="1"/>
    <xf numFmtId="164" fontId="183" fillId="0" borderId="0" xfId="0" applyNumberFormat="1" applyFont="1"/>
    <xf numFmtId="164" fontId="186" fillId="0" borderId="0" xfId="0" applyNumberFormat="1" applyFont="1"/>
    <xf numFmtId="164" fontId="18" fillId="0" borderId="0" xfId="0" applyNumberFormat="1" applyFont="1" applyAlignment="1">
      <alignment horizontal="left" indent="1"/>
    </xf>
    <xf numFmtId="164" fontId="11" fillId="0" borderId="0" xfId="0" applyNumberFormat="1" applyFont="1" applyAlignment="1">
      <alignment horizontal="left" indent="1"/>
    </xf>
    <xf numFmtId="164" fontId="14" fillId="0" borderId="0" xfId="0" applyNumberFormat="1" applyFont="1" applyAlignment="1">
      <alignment horizontal="left" indent="1"/>
    </xf>
    <xf numFmtId="0" fontId="193" fillId="0" borderId="0" xfId="0" applyFont="1" applyAlignment="1">
      <alignment horizontal="left" vertical="top" indent="1"/>
    </xf>
    <xf numFmtId="164" fontId="16" fillId="0" borderId="0" xfId="0" applyNumberFormat="1" applyFont="1"/>
    <xf numFmtId="342" fontId="11" fillId="0" borderId="0" xfId="0" applyNumberFormat="1" applyFont="1"/>
    <xf numFmtId="0" fontId="18" fillId="0" borderId="0" xfId="0" applyFont="1" applyAlignment="1">
      <alignment horizontal="left" indent="1"/>
    </xf>
    <xf numFmtId="167" fontId="17" fillId="0" borderId="0" xfId="0" applyNumberFormat="1" applyFont="1" applyAlignment="1">
      <alignment horizontal="right"/>
    </xf>
    <xf numFmtId="165" fontId="17" fillId="0" borderId="0" xfId="0" applyNumberFormat="1" applyFont="1" applyAlignment="1">
      <alignment horizontal="right"/>
    </xf>
    <xf numFmtId="167" fontId="17" fillId="0" borderId="0" xfId="0" applyNumberFormat="1" applyFont="1" applyAlignment="1">
      <alignment horizontal="center"/>
    </xf>
    <xf numFmtId="164" fontId="15" fillId="0" borderId="0" xfId="0" applyNumberFormat="1" applyFont="1" applyAlignment="1">
      <alignment horizontal="left" indent="1"/>
    </xf>
    <xf numFmtId="164" fontId="191" fillId="0" borderId="0" xfId="0" applyNumberFormat="1" applyFont="1" applyAlignment="1">
      <alignment vertical="top"/>
    </xf>
    <xf numFmtId="164" fontId="191" fillId="0" borderId="0" xfId="0" applyNumberFormat="1" applyFont="1" applyAlignment="1">
      <alignment horizontal="left" vertical="top" indent="1"/>
    </xf>
    <xf numFmtId="164" fontId="15" fillId="0" borderId="0" xfId="0" applyNumberFormat="1" applyFont="1" applyAlignment="1">
      <alignment horizontal="left"/>
    </xf>
    <xf numFmtId="344" fontId="192" fillId="0" borderId="0" xfId="0" applyNumberFormat="1" applyFont="1"/>
    <xf numFmtId="37" fontId="11" fillId="0" borderId="0" xfId="0" applyNumberFormat="1" applyFont="1" applyAlignment="1">
      <alignment horizontal="left"/>
    </xf>
    <xf numFmtId="10" fontId="11" fillId="0" borderId="0" xfId="0" applyNumberFormat="1" applyFont="1"/>
    <xf numFmtId="10" fontId="17" fillId="0" borderId="50" xfId="0" applyNumberFormat="1" applyFont="1" applyBorder="1"/>
    <xf numFmtId="10" fontId="15" fillId="0" borderId="0" xfId="0" applyNumberFormat="1" applyFont="1"/>
    <xf numFmtId="10" fontId="14" fillId="0" borderId="0" xfId="0" applyNumberFormat="1" applyFont="1"/>
    <xf numFmtId="0" fontId="14" fillId="0" borderId="0" xfId="0" applyFont="1"/>
    <xf numFmtId="165" fontId="15" fillId="0" borderId="0" xfId="0" applyNumberFormat="1" applyFont="1"/>
    <xf numFmtId="165" fontId="14" fillId="0" borderId="0" xfId="0" applyNumberFormat="1" applyFont="1" applyAlignment="1">
      <alignment horizontal="left" indent="1"/>
    </xf>
    <xf numFmtId="0" fontId="14" fillId="0" borderId="0" xfId="0" applyFont="1" applyAlignment="1">
      <alignment horizontal="left" indent="1"/>
    </xf>
    <xf numFmtId="0" fontId="179" fillId="0" borderId="0" xfId="0" applyFont="1" applyAlignment="1">
      <alignment horizontal="left" vertical="top" indent="1"/>
    </xf>
    <xf numFmtId="164" fontId="13" fillId="5" borderId="0" xfId="0" applyNumberFormat="1" applyFont="1" applyFill="1" applyAlignment="1">
      <alignment horizontal="centerContinuous"/>
    </xf>
    <xf numFmtId="164" fontId="11" fillId="0" borderId="5" xfId="0" applyNumberFormat="1" applyFont="1" applyBorder="1"/>
    <xf numFmtId="345" fontId="11" fillId="0" borderId="0" xfId="0" applyNumberFormat="1" applyFont="1"/>
    <xf numFmtId="164" fontId="187" fillId="0" borderId="0" xfId="0" applyNumberFormat="1" applyFont="1"/>
    <xf numFmtId="164" fontId="178" fillId="0" borderId="0" xfId="0" applyNumberFormat="1" applyFont="1"/>
    <xf numFmtId="165" fontId="18" fillId="0" borderId="49" xfId="0" applyNumberFormat="1" applyFont="1" applyBorder="1"/>
    <xf numFmtId="164" fontId="208" fillId="0" borderId="0" xfId="0" applyNumberFormat="1" applyFont="1" applyAlignment="1">
      <alignment horizontal="left" indent="1"/>
    </xf>
    <xf numFmtId="165" fontId="208" fillId="0" borderId="0" xfId="0" applyNumberFormat="1" applyFont="1"/>
    <xf numFmtId="164" fontId="209" fillId="0" borderId="0" xfId="0" applyNumberFormat="1" applyFont="1"/>
    <xf numFmtId="164" fontId="11" fillId="26" borderId="59" xfId="0" applyNumberFormat="1" applyFont="1" applyFill="1" applyBorder="1"/>
    <xf numFmtId="164" fontId="11" fillId="26" borderId="0" xfId="0" applyNumberFormat="1" applyFont="1" applyFill="1"/>
    <xf numFmtId="165" fontId="14" fillId="26" borderId="59" xfId="0" applyNumberFormat="1" applyFont="1" applyFill="1" applyBorder="1"/>
    <xf numFmtId="165" fontId="14" fillId="26" borderId="0" xfId="0" applyNumberFormat="1" applyFont="1" applyFill="1"/>
    <xf numFmtId="165" fontId="14" fillId="26" borderId="60" xfId="0" applyNumberFormat="1" applyFont="1" applyFill="1" applyBorder="1"/>
    <xf numFmtId="164" fontId="17" fillId="26" borderId="59" xfId="0" applyNumberFormat="1" applyFont="1" applyFill="1" applyBorder="1"/>
    <xf numFmtId="164" fontId="17" fillId="26" borderId="0" xfId="0" applyNumberFormat="1" applyFont="1" applyFill="1"/>
    <xf numFmtId="165" fontId="18" fillId="26" borderId="61" xfId="0" applyNumberFormat="1" applyFont="1" applyFill="1" applyBorder="1"/>
    <xf numFmtId="165" fontId="18" fillId="26" borderId="49" xfId="0" applyNumberFormat="1" applyFont="1" applyFill="1" applyBorder="1"/>
    <xf numFmtId="164" fontId="18" fillId="26" borderId="59" xfId="0" applyNumberFormat="1" applyFont="1" applyFill="1" applyBorder="1" applyAlignment="1">
      <alignment horizontal="center"/>
    </xf>
    <xf numFmtId="164" fontId="18" fillId="26" borderId="0" xfId="0" applyNumberFormat="1" applyFont="1" applyFill="1" applyAlignment="1">
      <alignment horizontal="center"/>
    </xf>
    <xf numFmtId="165" fontId="11" fillId="26" borderId="59" xfId="0" applyNumberFormat="1" applyFont="1" applyFill="1" applyBorder="1"/>
    <xf numFmtId="165" fontId="11" fillId="26" borderId="0" xfId="0" applyNumberFormat="1" applyFont="1" applyFill="1"/>
    <xf numFmtId="165" fontId="18" fillId="26" borderId="60" xfId="0" applyNumberFormat="1" applyFont="1" applyFill="1" applyBorder="1"/>
    <xf numFmtId="165" fontId="18" fillId="26" borderId="59" xfId="0" applyNumberFormat="1" applyFont="1" applyFill="1" applyBorder="1"/>
    <xf numFmtId="165" fontId="18" fillId="26" borderId="0" xfId="0" applyNumberFormat="1" applyFont="1" applyFill="1"/>
    <xf numFmtId="164" fontId="15" fillId="26" borderId="59" xfId="0" applyNumberFormat="1" applyFont="1" applyFill="1" applyBorder="1"/>
    <xf numFmtId="164" fontId="15" fillId="26" borderId="0" xfId="0" applyNumberFormat="1" applyFont="1" applyFill="1"/>
    <xf numFmtId="165" fontId="15" fillId="26" borderId="59" xfId="0" applyNumberFormat="1" applyFont="1" applyFill="1" applyBorder="1"/>
    <xf numFmtId="165" fontId="15" fillId="26" borderId="0" xfId="0" applyNumberFormat="1" applyFont="1" applyFill="1"/>
    <xf numFmtId="0" fontId="11" fillId="26" borderId="59" xfId="0" applyFont="1" applyFill="1" applyBorder="1"/>
    <xf numFmtId="0" fontId="11" fillId="26" borderId="0" xfId="0" applyFont="1" applyFill="1"/>
    <xf numFmtId="0" fontId="18" fillId="26" borderId="59" xfId="0" applyFont="1" applyFill="1" applyBorder="1"/>
    <xf numFmtId="0" fontId="18" fillId="26" borderId="0" xfId="0" applyFont="1" applyFill="1"/>
    <xf numFmtId="167" fontId="11" fillId="26" borderId="59" xfId="0" applyNumberFormat="1" applyFont="1" applyFill="1" applyBorder="1"/>
    <xf numFmtId="167" fontId="11" fillId="26" borderId="0" xfId="0" applyNumberFormat="1" applyFont="1" applyFill="1"/>
    <xf numFmtId="343" fontId="183" fillId="26" borderId="59" xfId="0" applyNumberFormat="1" applyFont="1" applyFill="1" applyBorder="1"/>
    <xf numFmtId="343" fontId="183" fillId="26" borderId="0" xfId="0" applyNumberFormat="1" applyFont="1" applyFill="1"/>
    <xf numFmtId="164" fontId="18" fillId="26" borderId="0" xfId="0" applyNumberFormat="1" applyFont="1" applyFill="1"/>
    <xf numFmtId="164" fontId="11" fillId="26" borderId="62" xfId="0" applyNumberFormat="1" applyFont="1" applyFill="1" applyBorder="1"/>
    <xf numFmtId="342" fontId="181" fillId="0" borderId="59" xfId="0" applyNumberFormat="1" applyFont="1" applyBorder="1"/>
    <xf numFmtId="164" fontId="13" fillId="27" borderId="0" xfId="0" applyNumberFormat="1" applyFont="1" applyFill="1" applyAlignment="1">
      <alignment horizontal="centerContinuous"/>
    </xf>
    <xf numFmtId="164" fontId="200" fillId="26" borderId="0" xfId="0" applyNumberFormat="1" applyFont="1" applyFill="1"/>
    <xf numFmtId="164" fontId="11" fillId="0" borderId="59" xfId="0" applyNumberFormat="1" applyFont="1" applyBorder="1"/>
    <xf numFmtId="342" fontId="210" fillId="0" borderId="0" xfId="0" applyNumberFormat="1" applyFont="1"/>
    <xf numFmtId="164" fontId="15" fillId="0" borderId="59" xfId="0" applyNumberFormat="1" applyFont="1" applyBorder="1"/>
    <xf numFmtId="0" fontId="211" fillId="0" borderId="0" xfId="0" applyFont="1"/>
    <xf numFmtId="164" fontId="200" fillId="0" borderId="0" xfId="0" applyNumberFormat="1" applyFont="1"/>
    <xf numFmtId="346" fontId="18" fillId="0" borderId="0" xfId="0" applyNumberFormat="1" applyFont="1" applyAlignment="1">
      <alignment horizontal="left"/>
    </xf>
    <xf numFmtId="164" fontId="14" fillId="0" borderId="59" xfId="0" applyNumberFormat="1" applyFont="1" applyBorder="1"/>
    <xf numFmtId="165" fontId="14" fillId="0" borderId="0" xfId="0" applyNumberFormat="1" applyFont="1" applyAlignment="1">
      <alignment horizontal="left"/>
    </xf>
    <xf numFmtId="10" fontId="17" fillId="0" borderId="0" xfId="0" applyNumberFormat="1" applyFont="1" applyAlignment="1">
      <alignment horizontal="right"/>
    </xf>
    <xf numFmtId="164" fontId="207" fillId="0" borderId="0" xfId="0" applyNumberFormat="1" applyFont="1"/>
    <xf numFmtId="347" fontId="183" fillId="26" borderId="60" xfId="0" applyNumberFormat="1" applyFont="1" applyFill="1" applyBorder="1"/>
    <xf numFmtId="165" fontId="11" fillId="0" borderId="0" xfId="0" applyNumberFormat="1" applyFont="1" applyAlignment="1">
      <alignment horizontal="left" indent="1"/>
    </xf>
    <xf numFmtId="165" fontId="15" fillId="0" borderId="0" xfId="0" applyNumberFormat="1" applyFont="1" applyAlignment="1">
      <alignment horizontal="left" indent="1"/>
    </xf>
    <xf numFmtId="165" fontId="183" fillId="0" borderId="0" xfId="0" applyNumberFormat="1" applyFont="1"/>
    <xf numFmtId="347" fontId="186" fillId="0" borderId="0" xfId="0" applyNumberFormat="1" applyFont="1"/>
    <xf numFmtId="164" fontId="195" fillId="0" borderId="0" xfId="0" applyNumberFormat="1" applyFont="1"/>
    <xf numFmtId="343" fontId="183" fillId="0" borderId="59" xfId="0" applyNumberFormat="1" applyFont="1" applyBorder="1"/>
    <xf numFmtId="164" fontId="186" fillId="0" borderId="59" xfId="0" applyNumberFormat="1" applyFont="1" applyBorder="1"/>
    <xf numFmtId="164" fontId="183" fillId="0" borderId="59" xfId="0" applyNumberFormat="1" applyFont="1" applyBorder="1"/>
    <xf numFmtId="165" fontId="183" fillId="0" borderId="59" xfId="0" applyNumberFormat="1" applyFont="1" applyBorder="1"/>
    <xf numFmtId="232" fontId="15" fillId="0" borderId="0" xfId="0" applyNumberFormat="1" applyFont="1"/>
    <xf numFmtId="0" fontId="182" fillId="0" borderId="0" xfId="0" applyFont="1" applyAlignment="1">
      <alignment vertical="top"/>
    </xf>
    <xf numFmtId="164" fontId="211" fillId="0" borderId="0" xfId="0" applyNumberFormat="1" applyFont="1"/>
    <xf numFmtId="0" fontId="212" fillId="0" borderId="2" xfId="0" applyFont="1" applyBorder="1" applyAlignment="1">
      <alignment vertical="top"/>
    </xf>
    <xf numFmtId="0" fontId="211" fillId="0" borderId="2" xfId="0" applyFont="1" applyBorder="1"/>
    <xf numFmtId="165" fontId="211" fillId="0" borderId="0" xfId="0" applyNumberFormat="1" applyFont="1"/>
    <xf numFmtId="0" fontId="213" fillId="2" borderId="0" xfId="0" applyFont="1" applyFill="1" applyAlignment="1">
      <alignment horizontal="centerContinuous"/>
    </xf>
    <xf numFmtId="164" fontId="213" fillId="2" borderId="0" xfId="0" applyNumberFormat="1" applyFont="1" applyFill="1" applyAlignment="1">
      <alignment horizontal="centerContinuous"/>
    </xf>
    <xf numFmtId="0" fontId="204" fillId="0" borderId="0" xfId="0" applyFont="1" applyAlignment="1">
      <alignment horizontal="center"/>
    </xf>
    <xf numFmtId="0" fontId="204" fillId="0" borderId="57" xfId="0" applyFont="1" applyBorder="1" applyAlignment="1">
      <alignment horizontal="centerContinuous"/>
    </xf>
    <xf numFmtId="0" fontId="204" fillId="0" borderId="48" xfId="0" applyFont="1" applyBorder="1" applyAlignment="1">
      <alignment horizontal="centerContinuous"/>
    </xf>
    <xf numFmtId="0" fontId="204" fillId="0" borderId="50" xfId="0" applyFont="1" applyBorder="1" applyAlignment="1">
      <alignment horizontal="centerContinuous"/>
    </xf>
    <xf numFmtId="0" fontId="179" fillId="28" borderId="0" xfId="0" applyFont="1" applyFill="1" applyAlignment="1">
      <alignment horizontal="centerContinuous" vertical="top"/>
    </xf>
    <xf numFmtId="14" fontId="204" fillId="0" borderId="2" xfId="0" applyNumberFormat="1" applyFont="1" applyBorder="1" applyAlignment="1">
      <alignment horizontal="center"/>
    </xf>
    <xf numFmtId="164" fontId="204" fillId="0" borderId="52" xfId="0" applyNumberFormat="1" applyFont="1" applyBorder="1" applyAlignment="1">
      <alignment horizontal="center"/>
    </xf>
    <xf numFmtId="164" fontId="204" fillId="0" borderId="0" xfId="0" applyNumberFormat="1" applyFont="1" applyAlignment="1">
      <alignment horizontal="center"/>
    </xf>
    <xf numFmtId="164" fontId="204" fillId="0" borderId="53" xfId="0" applyNumberFormat="1" applyFont="1" applyBorder="1" applyAlignment="1">
      <alignment horizontal="center"/>
    </xf>
    <xf numFmtId="165" fontId="199" fillId="0" borderId="0" xfId="0" applyNumberFormat="1" applyFont="1" applyAlignment="1">
      <alignment vertical="top"/>
    </xf>
    <xf numFmtId="164" fontId="214" fillId="0" borderId="0" xfId="0" applyNumberFormat="1" applyFont="1"/>
    <xf numFmtId="164" fontId="211" fillId="0" borderId="5" xfId="0" applyNumberFormat="1" applyFont="1" applyBorder="1"/>
    <xf numFmtId="164" fontId="211" fillId="0" borderId="51" xfId="0" applyNumberFormat="1" applyFont="1" applyBorder="1"/>
    <xf numFmtId="164" fontId="19" fillId="0" borderId="0" xfId="0" applyNumberFormat="1" applyFont="1" applyAlignment="1">
      <alignment vertical="top"/>
    </xf>
    <xf numFmtId="165" fontId="211" fillId="0" borderId="51" xfId="0" applyNumberFormat="1" applyFont="1" applyBorder="1"/>
    <xf numFmtId="164" fontId="204" fillId="0" borderId="0" xfId="0" applyNumberFormat="1" applyFont="1" applyAlignment="1">
      <alignment horizontal="left" indent="1"/>
    </xf>
    <xf numFmtId="304" fontId="211" fillId="0" borderId="0" xfId="1253" applyNumberFormat="1" applyFont="1"/>
    <xf numFmtId="218" fontId="211" fillId="0" borderId="5" xfId="1253" applyNumberFormat="1" applyFont="1" applyBorder="1"/>
    <xf numFmtId="304" fontId="211" fillId="0" borderId="0" xfId="1253" applyNumberFormat="1" applyFont="1" applyBorder="1"/>
    <xf numFmtId="218" fontId="211" fillId="0" borderId="51" xfId="1253" applyNumberFormat="1" applyFont="1" applyBorder="1"/>
    <xf numFmtId="218" fontId="211" fillId="0" borderId="0" xfId="1253" applyNumberFormat="1" applyFont="1"/>
    <xf numFmtId="164" fontId="204" fillId="0" borderId="0" xfId="0" applyNumberFormat="1" applyFont="1"/>
    <xf numFmtId="165" fontId="204" fillId="0" borderId="0" xfId="0" applyNumberFormat="1" applyFont="1"/>
    <xf numFmtId="218" fontId="204" fillId="0" borderId="5" xfId="0" applyNumberFormat="1" applyFont="1" applyBorder="1"/>
    <xf numFmtId="218" fontId="204" fillId="0" borderId="51" xfId="0" applyNumberFormat="1" applyFont="1" applyBorder="1"/>
    <xf numFmtId="218" fontId="211" fillId="0" borderId="5" xfId="0" applyNumberFormat="1" applyFont="1" applyBorder="1"/>
    <xf numFmtId="218" fontId="211" fillId="0" borderId="51" xfId="0" applyNumberFormat="1" applyFont="1" applyBorder="1"/>
    <xf numFmtId="164" fontId="211" fillId="0" borderId="0" xfId="0" applyNumberFormat="1" applyFont="1" applyAlignment="1">
      <alignment horizontal="left"/>
    </xf>
    <xf numFmtId="0" fontId="215" fillId="0" borderId="0" xfId="0" applyFont="1"/>
    <xf numFmtId="0" fontId="179" fillId="0" borderId="0" xfId="0" applyFont="1" applyAlignment="1">
      <alignment horizontal="centerContinuous" vertical="top"/>
    </xf>
    <xf numFmtId="304" fontId="199" fillId="0" borderId="0" xfId="1253" applyNumberFormat="1" applyFont="1" applyBorder="1"/>
    <xf numFmtId="304" fontId="19" fillId="0" borderId="0" xfId="1253" applyNumberFormat="1" applyFont="1" applyBorder="1"/>
    <xf numFmtId="209" fontId="216" fillId="0" borderId="0" xfId="0" applyNumberFormat="1" applyFont="1"/>
    <xf numFmtId="165" fontId="204" fillId="0" borderId="0" xfId="0" applyNumberFormat="1" applyFont="1" applyAlignment="1">
      <alignment horizontal="left" indent="1"/>
    </xf>
    <xf numFmtId="164" fontId="204" fillId="0" borderId="2" xfId="0" applyNumberFormat="1" applyFont="1" applyBorder="1"/>
    <xf numFmtId="164" fontId="211" fillId="0" borderId="2" xfId="0" applyNumberFormat="1" applyFont="1" applyBorder="1"/>
    <xf numFmtId="164" fontId="204" fillId="0" borderId="2" xfId="0" applyNumberFormat="1" applyFont="1" applyBorder="1" applyAlignment="1">
      <alignment horizontal="center"/>
    </xf>
    <xf numFmtId="218" fontId="211" fillId="0" borderId="0" xfId="0" applyNumberFormat="1" applyFont="1"/>
    <xf numFmtId="348" fontId="211" fillId="0" borderId="0" xfId="1254" applyNumberFormat="1" applyFont="1" applyBorder="1" applyAlignment="1">
      <alignment horizontal="right"/>
    </xf>
    <xf numFmtId="165" fontId="204" fillId="0" borderId="49" xfId="0" applyNumberFormat="1" applyFont="1" applyBorder="1"/>
    <xf numFmtId="344" fontId="216" fillId="0" borderId="0" xfId="0" applyNumberFormat="1" applyFont="1"/>
    <xf numFmtId="164" fontId="217" fillId="0" borderId="0" xfId="0" applyNumberFormat="1" applyFont="1"/>
    <xf numFmtId="304" fontId="211" fillId="0" borderId="0" xfId="1253" applyNumberFormat="1" applyFont="1" applyBorder="1" applyAlignment="1"/>
    <xf numFmtId="304" fontId="211" fillId="0" borderId="51" xfId="1253" applyNumberFormat="1" applyFont="1" applyBorder="1" applyAlignment="1"/>
    <xf numFmtId="218" fontId="211" fillId="0" borderId="0" xfId="1253" applyNumberFormat="1" applyFont="1" applyAlignment="1"/>
    <xf numFmtId="164" fontId="204" fillId="0" borderId="5" xfId="0" applyNumberFormat="1" applyFont="1" applyBorder="1"/>
    <xf numFmtId="165" fontId="204" fillId="0" borderId="52" xfId="0" applyNumberFormat="1" applyFont="1" applyBorder="1"/>
    <xf numFmtId="165" fontId="204" fillId="0" borderId="2" xfId="0" applyNumberFormat="1" applyFont="1" applyBorder="1"/>
    <xf numFmtId="165" fontId="204" fillId="0" borderId="53" xfId="0" applyNumberFormat="1" applyFont="1" applyBorder="1"/>
    <xf numFmtId="218" fontId="204" fillId="0" borderId="49" xfId="0" applyNumberFormat="1" applyFont="1" applyBorder="1"/>
    <xf numFmtId="164" fontId="211" fillId="0" borderId="58" xfId="0" applyNumberFormat="1" applyFont="1" applyBorder="1"/>
    <xf numFmtId="0" fontId="188" fillId="0" borderId="2" xfId="0" applyFont="1" applyBorder="1" applyAlignment="1">
      <alignment vertical="top"/>
    </xf>
    <xf numFmtId="164" fontId="187" fillId="0" borderId="59" xfId="0" applyNumberFormat="1" applyFont="1" applyBorder="1"/>
    <xf numFmtId="165" fontId="14" fillId="0" borderId="60" xfId="0" applyNumberFormat="1" applyFont="1" applyBorder="1"/>
    <xf numFmtId="0" fontId="14" fillId="0" borderId="0" xfId="0" applyFont="1" applyAlignment="1">
      <alignment horizontal="center"/>
    </xf>
    <xf numFmtId="164" fontId="17" fillId="0" borderId="59" xfId="0" applyNumberFormat="1" applyFont="1" applyBorder="1"/>
    <xf numFmtId="164" fontId="178" fillId="0" borderId="59" xfId="0" applyNumberFormat="1" applyFont="1" applyBorder="1"/>
    <xf numFmtId="165" fontId="18" fillId="0" borderId="61" xfId="0" applyNumberFormat="1" applyFont="1" applyBorder="1"/>
    <xf numFmtId="165" fontId="219" fillId="0" borderId="0" xfId="0" applyNumberFormat="1" applyFont="1"/>
    <xf numFmtId="218" fontId="219" fillId="0" borderId="0" xfId="1253" applyNumberFormat="1" applyFont="1"/>
    <xf numFmtId="218" fontId="219" fillId="0" borderId="0" xfId="1253" applyNumberFormat="1" applyFont="1" applyBorder="1"/>
    <xf numFmtId="165" fontId="11" fillId="0" borderId="59" xfId="0" applyNumberFormat="1" applyFont="1" applyBorder="1"/>
    <xf numFmtId="164" fontId="11" fillId="0" borderId="60" xfId="0" applyNumberFormat="1" applyFont="1" applyBorder="1"/>
    <xf numFmtId="166" fontId="11" fillId="0" borderId="59" xfId="1254" applyNumberFormat="1" applyFont="1" applyFill="1" applyBorder="1"/>
    <xf numFmtId="0" fontId="11" fillId="0" borderId="59" xfId="0" applyFont="1" applyBorder="1"/>
    <xf numFmtId="275" fontId="14" fillId="0" borderId="59" xfId="0" applyNumberFormat="1" applyFont="1" applyBorder="1" applyAlignment="1">
      <alignment horizontal="center"/>
    </xf>
    <xf numFmtId="275" fontId="14" fillId="0" borderId="0" xfId="0" applyNumberFormat="1" applyFont="1" applyAlignment="1">
      <alignment horizontal="center"/>
    </xf>
    <xf numFmtId="166" fontId="194" fillId="0" borderId="0" xfId="0" applyNumberFormat="1" applyFont="1" applyAlignment="1">
      <alignment horizontal="right"/>
    </xf>
    <xf numFmtId="166" fontId="194" fillId="0" borderId="59" xfId="0" applyNumberFormat="1" applyFont="1" applyBorder="1" applyAlignment="1">
      <alignment horizontal="right"/>
    </xf>
    <xf numFmtId="164" fontId="11" fillId="26" borderId="56" xfId="0" applyNumberFormat="1" applyFont="1" applyFill="1" applyBorder="1"/>
    <xf numFmtId="164" fontId="14" fillId="0" borderId="56" xfId="0" applyNumberFormat="1" applyFont="1" applyBorder="1"/>
    <xf numFmtId="164" fontId="11" fillId="0" borderId="56" xfId="0" applyNumberFormat="1" applyFont="1" applyBorder="1"/>
    <xf numFmtId="164" fontId="17" fillId="0" borderId="56" xfId="0" applyNumberFormat="1" applyFont="1" applyBorder="1"/>
    <xf numFmtId="164" fontId="15" fillId="0" borderId="56" xfId="0" applyNumberFormat="1" applyFont="1" applyBorder="1"/>
    <xf numFmtId="165" fontId="14" fillId="0" borderId="56" xfId="0" applyNumberFormat="1" applyFont="1" applyBorder="1"/>
    <xf numFmtId="164" fontId="178" fillId="0" borderId="56" xfId="0" applyNumberFormat="1" applyFont="1" applyBorder="1"/>
    <xf numFmtId="164" fontId="195" fillId="0" borderId="56" xfId="0" applyNumberFormat="1" applyFont="1" applyBorder="1"/>
    <xf numFmtId="165" fontId="18" fillId="0" borderId="63" xfId="0" applyNumberFormat="1" applyFont="1" applyBorder="1"/>
    <xf numFmtId="165" fontId="18" fillId="0" borderId="56" xfId="0" applyNumberFormat="1" applyFont="1" applyBorder="1"/>
    <xf numFmtId="164" fontId="17" fillId="0" borderId="5" xfId="0" applyNumberFormat="1" applyFont="1" applyBorder="1"/>
    <xf numFmtId="164" fontId="178" fillId="0" borderId="5" xfId="0" applyNumberFormat="1" applyFont="1" applyBorder="1"/>
    <xf numFmtId="165" fontId="18" fillId="0" borderId="64" xfId="0" applyNumberFormat="1" applyFont="1" applyBorder="1"/>
    <xf numFmtId="165" fontId="18" fillId="0" borderId="5" xfId="0" applyNumberFormat="1" applyFont="1" applyBorder="1"/>
    <xf numFmtId="164" fontId="11" fillId="26" borderId="65" xfId="0" applyNumberFormat="1" applyFont="1" applyFill="1" applyBorder="1"/>
    <xf numFmtId="164" fontId="11" fillId="0" borderId="65" xfId="0" applyNumberFormat="1" applyFont="1" applyBorder="1"/>
    <xf numFmtId="165" fontId="14" fillId="0" borderId="66" xfId="0" applyNumberFormat="1" applyFont="1" applyBorder="1"/>
    <xf numFmtId="164" fontId="187" fillId="0" borderId="65" xfId="0" applyNumberFormat="1" applyFont="1" applyBorder="1"/>
    <xf numFmtId="165" fontId="18" fillId="0" borderId="67" xfId="0" applyNumberFormat="1" applyFont="1" applyBorder="1"/>
    <xf numFmtId="165" fontId="18" fillId="0" borderId="65" xfId="0" applyNumberFormat="1" applyFont="1" applyBorder="1"/>
    <xf numFmtId="165" fontId="18" fillId="0" borderId="59" xfId="0" applyNumberFormat="1" applyFont="1" applyBorder="1"/>
    <xf numFmtId="166" fontId="194" fillId="0" borderId="56" xfId="0" applyNumberFormat="1" applyFont="1" applyBorder="1" applyAlignment="1">
      <alignment horizontal="right"/>
    </xf>
    <xf numFmtId="166" fontId="194" fillId="0" borderId="68" xfId="0" applyNumberFormat="1" applyFont="1" applyBorder="1" applyAlignment="1">
      <alignment horizontal="right"/>
    </xf>
    <xf numFmtId="279" fontId="14" fillId="0" borderId="56" xfId="0" applyNumberFormat="1" applyFont="1" applyBorder="1" applyAlignment="1">
      <alignment horizontal="center"/>
    </xf>
    <xf numFmtId="279" fontId="14" fillId="0" borderId="68" xfId="0" applyNumberFormat="1" applyFont="1" applyBorder="1" applyAlignment="1">
      <alignment horizontal="center"/>
    </xf>
    <xf numFmtId="164" fontId="17" fillId="0" borderId="68" xfId="0" applyNumberFormat="1" applyFont="1" applyBorder="1"/>
    <xf numFmtId="164" fontId="195" fillId="0" borderId="68" xfId="0" applyNumberFormat="1" applyFont="1" applyBorder="1"/>
    <xf numFmtId="164" fontId="11" fillId="26" borderId="66" xfId="0" applyNumberFormat="1" applyFont="1" applyFill="1" applyBorder="1"/>
    <xf numFmtId="275" fontId="14" fillId="0" borderId="65" xfId="0" applyNumberFormat="1" applyFont="1" applyBorder="1" applyAlignment="1">
      <alignment horizontal="center"/>
    </xf>
    <xf numFmtId="165" fontId="11" fillId="0" borderId="65" xfId="0" applyNumberFormat="1" applyFont="1" applyBorder="1"/>
    <xf numFmtId="164" fontId="11" fillId="0" borderId="66" xfId="0" applyNumberFormat="1" applyFont="1" applyBorder="1"/>
    <xf numFmtId="0" fontId="11" fillId="0" borderId="65" xfId="0" applyFont="1" applyBorder="1"/>
    <xf numFmtId="164" fontId="17" fillId="0" borderId="65" xfId="0" applyNumberFormat="1" applyFont="1" applyBorder="1"/>
    <xf numFmtId="165" fontId="11" fillId="0" borderId="56" xfId="0" applyNumberFormat="1" applyFont="1" applyBorder="1"/>
    <xf numFmtId="0" fontId="11" fillId="0" borderId="56" xfId="0" applyFont="1" applyBorder="1"/>
    <xf numFmtId="164" fontId="11" fillId="0" borderId="54" xfId="0" applyNumberFormat="1" applyFont="1" applyBorder="1"/>
    <xf numFmtId="164" fontId="11" fillId="0" borderId="68" xfId="0" applyNumberFormat="1" applyFont="1" applyBorder="1"/>
    <xf numFmtId="165" fontId="17" fillId="0" borderId="55" xfId="0" applyNumberFormat="1" applyFont="1" applyBorder="1" applyAlignment="1">
      <alignment horizontal="right"/>
    </xf>
    <xf numFmtId="328" fontId="11" fillId="0" borderId="65" xfId="1254" applyNumberFormat="1" applyFont="1" applyFill="1" applyBorder="1"/>
    <xf numFmtId="328" fontId="11" fillId="0" borderId="56" xfId="1254" applyNumberFormat="1" applyFont="1" applyFill="1" applyBorder="1"/>
    <xf numFmtId="328" fontId="11" fillId="0" borderId="68" xfId="1254" applyNumberFormat="1" applyFont="1" applyFill="1" applyBorder="1"/>
    <xf numFmtId="328" fontId="11" fillId="0" borderId="59" xfId="1254" applyNumberFormat="1" applyFont="1" applyFill="1" applyBorder="1"/>
    <xf numFmtId="328" fontId="11" fillId="0" borderId="0" xfId="1254" applyNumberFormat="1" applyFont="1" applyFill="1" applyBorder="1"/>
    <xf numFmtId="10" fontId="17" fillId="0" borderId="54" xfId="0" applyNumberFormat="1" applyFont="1" applyBorder="1" applyAlignment="1">
      <alignment horizontal="right"/>
    </xf>
    <xf numFmtId="165" fontId="18" fillId="0" borderId="69" xfId="0" applyNumberFormat="1" applyFont="1" applyBorder="1"/>
    <xf numFmtId="165" fontId="18" fillId="0" borderId="68" xfId="0" applyNumberFormat="1" applyFont="1" applyBorder="1"/>
    <xf numFmtId="165" fontId="18" fillId="26" borderId="67" xfId="0" applyNumberFormat="1" applyFont="1" applyFill="1" applyBorder="1"/>
    <xf numFmtId="165" fontId="18" fillId="26" borderId="65" xfId="0" applyNumberFormat="1" applyFont="1" applyFill="1" applyBorder="1"/>
    <xf numFmtId="165" fontId="18" fillId="26" borderId="66" xfId="0" applyNumberFormat="1" applyFont="1" applyFill="1" applyBorder="1"/>
    <xf numFmtId="165" fontId="11" fillId="0" borderId="68" xfId="0" applyNumberFormat="1" applyFont="1" applyBorder="1"/>
    <xf numFmtId="165" fontId="17" fillId="0" borderId="56" xfId="0" applyNumberFormat="1" applyFont="1" applyBorder="1"/>
    <xf numFmtId="164" fontId="18" fillId="0" borderId="56" xfId="0" applyNumberFormat="1" applyFont="1" applyBorder="1"/>
    <xf numFmtId="164" fontId="15" fillId="0" borderId="68" xfId="0" applyNumberFormat="1" applyFont="1" applyBorder="1"/>
    <xf numFmtId="164" fontId="194" fillId="0" borderId="56" xfId="0" applyNumberFormat="1" applyFont="1" applyBorder="1"/>
    <xf numFmtId="164" fontId="194" fillId="0" borderId="68" xfId="0" applyNumberFormat="1" applyFont="1" applyBorder="1"/>
    <xf numFmtId="165" fontId="15" fillId="0" borderId="56" xfId="0" applyNumberFormat="1" applyFont="1" applyBorder="1"/>
    <xf numFmtId="164" fontId="18" fillId="26" borderId="65" xfId="0" applyNumberFormat="1" applyFont="1" applyFill="1" applyBorder="1" applyAlignment="1">
      <alignment horizontal="center"/>
    </xf>
    <xf numFmtId="165" fontId="11" fillId="26" borderId="65" xfId="0" applyNumberFormat="1" applyFont="1" applyFill="1" applyBorder="1"/>
    <xf numFmtId="165" fontId="14" fillId="26" borderId="65" xfId="0" applyNumberFormat="1" applyFont="1" applyFill="1" applyBorder="1"/>
    <xf numFmtId="164" fontId="15" fillId="26" borderId="65" xfId="0" applyNumberFormat="1" applyFont="1" applyFill="1" applyBorder="1"/>
    <xf numFmtId="165" fontId="14" fillId="26" borderId="66" xfId="0" applyNumberFormat="1" applyFont="1" applyFill="1" applyBorder="1"/>
    <xf numFmtId="165" fontId="15" fillId="26" borderId="65" xfId="0" applyNumberFormat="1" applyFont="1" applyFill="1" applyBorder="1"/>
    <xf numFmtId="342" fontId="181" fillId="0" borderId="65" xfId="0" applyNumberFormat="1" applyFont="1" applyBorder="1"/>
    <xf numFmtId="0" fontId="11" fillId="26" borderId="65" xfId="0" applyFont="1" applyFill="1" applyBorder="1"/>
    <xf numFmtId="0" fontId="18" fillId="26" borderId="65" xfId="0" applyFont="1" applyFill="1" applyBorder="1"/>
    <xf numFmtId="167" fontId="11" fillId="26" borderId="65" xfId="0" applyNumberFormat="1" applyFont="1" applyFill="1" applyBorder="1"/>
    <xf numFmtId="164" fontId="17" fillId="26" borderId="65" xfId="0" applyNumberFormat="1" applyFont="1" applyFill="1" applyBorder="1"/>
    <xf numFmtId="43" fontId="11" fillId="26" borderId="65" xfId="1253" applyFont="1" applyFill="1" applyBorder="1"/>
    <xf numFmtId="0" fontId="18" fillId="0" borderId="56" xfId="0" applyFont="1" applyBorder="1" applyAlignment="1">
      <alignment horizontal="left" indent="1"/>
    </xf>
    <xf numFmtId="0" fontId="18" fillId="0" borderId="56" xfId="0" applyFont="1" applyBorder="1"/>
    <xf numFmtId="167" fontId="11" fillId="0" borderId="56" xfId="0" applyNumberFormat="1" applyFont="1" applyBorder="1"/>
    <xf numFmtId="164" fontId="198" fillId="0" borderId="56" xfId="0" applyNumberFormat="1" applyFont="1" applyBorder="1"/>
    <xf numFmtId="164" fontId="183" fillId="0" borderId="56" xfId="0" applyNumberFormat="1" applyFont="1" applyBorder="1"/>
    <xf numFmtId="164" fontId="186" fillId="0" borderId="56" xfId="0" applyNumberFormat="1" applyFont="1" applyBorder="1"/>
    <xf numFmtId="343" fontId="183" fillId="0" borderId="56" xfId="0" applyNumberFormat="1" applyFont="1" applyBorder="1"/>
    <xf numFmtId="165" fontId="183" fillId="0" borderId="56" xfId="0" applyNumberFormat="1" applyFont="1" applyBorder="1"/>
    <xf numFmtId="164" fontId="14" fillId="0" borderId="5" xfId="0" applyNumberFormat="1" applyFont="1" applyBorder="1"/>
    <xf numFmtId="165" fontId="196" fillId="0" borderId="0" xfId="0" applyNumberFormat="1" applyFont="1"/>
    <xf numFmtId="0" fontId="11" fillId="0" borderId="68" xfId="0" applyFont="1" applyBorder="1"/>
    <xf numFmtId="0" fontId="18" fillId="0" borderId="68" xfId="0" applyFont="1" applyBorder="1" applyAlignment="1">
      <alignment horizontal="left" indent="1"/>
    </xf>
    <xf numFmtId="0" fontId="18" fillId="0" borderId="68" xfId="0" applyFont="1" applyBorder="1"/>
    <xf numFmtId="164" fontId="11" fillId="0" borderId="70" xfId="0" applyNumberFormat="1" applyFont="1" applyBorder="1"/>
    <xf numFmtId="164" fontId="183" fillId="0" borderId="68" xfId="0" applyNumberFormat="1" applyFont="1" applyBorder="1"/>
    <xf numFmtId="343" fontId="183" fillId="0" borderId="68" xfId="0" applyNumberFormat="1" applyFont="1" applyBorder="1"/>
    <xf numFmtId="347" fontId="186" fillId="0" borderId="56" xfId="0" applyNumberFormat="1" applyFont="1" applyBorder="1"/>
    <xf numFmtId="347" fontId="186" fillId="0" borderId="68" xfId="0" applyNumberFormat="1" applyFont="1" applyBorder="1"/>
    <xf numFmtId="164" fontId="11" fillId="26" borderId="68" xfId="0" applyNumberFormat="1" applyFont="1" applyFill="1" applyBorder="1"/>
    <xf numFmtId="165" fontId="14" fillId="0" borderId="68" xfId="0" applyNumberFormat="1" applyFont="1" applyBorder="1"/>
    <xf numFmtId="165" fontId="15" fillId="0" borderId="68" xfId="0" applyNumberFormat="1" applyFont="1" applyBorder="1"/>
    <xf numFmtId="164" fontId="18" fillId="0" borderId="57" xfId="0" applyNumberFormat="1" applyFont="1" applyBorder="1" applyAlignment="1">
      <alignment horizontal="left"/>
    </xf>
    <xf numFmtId="164" fontId="18" fillId="0" borderId="48" xfId="0" applyNumberFormat="1" applyFont="1" applyBorder="1" applyAlignment="1">
      <alignment horizontal="left" indent="1"/>
    </xf>
    <xf numFmtId="164" fontId="11" fillId="0" borderId="48" xfId="0" applyNumberFormat="1" applyFont="1" applyBorder="1"/>
    <xf numFmtId="165" fontId="18" fillId="0" borderId="55" xfId="0" applyNumberFormat="1" applyFont="1" applyBorder="1"/>
    <xf numFmtId="165" fontId="18" fillId="0" borderId="57" xfId="0" applyNumberFormat="1" applyFont="1" applyBorder="1"/>
    <xf numFmtId="165" fontId="18" fillId="0" borderId="71" xfId="0" applyNumberFormat="1" applyFont="1" applyBorder="1"/>
    <xf numFmtId="165" fontId="18" fillId="0" borderId="48" xfId="0" applyNumberFormat="1" applyFont="1" applyBorder="1"/>
    <xf numFmtId="165" fontId="18" fillId="0" borderId="72" xfId="0" applyNumberFormat="1" applyFont="1" applyBorder="1"/>
    <xf numFmtId="164" fontId="195" fillId="0" borderId="59" xfId="0" applyNumberFormat="1" applyFont="1" applyBorder="1"/>
    <xf numFmtId="164" fontId="206" fillId="26" borderId="0" xfId="0" applyNumberFormat="1" applyFont="1" applyFill="1"/>
    <xf numFmtId="164" fontId="195" fillId="0" borderId="65" xfId="0" applyNumberFormat="1" applyFont="1" applyBorder="1"/>
    <xf numFmtId="218" fontId="11" fillId="26" borderId="65" xfId="0" applyNumberFormat="1" applyFont="1" applyFill="1" applyBorder="1"/>
    <xf numFmtId="218" fontId="11" fillId="26" borderId="65" xfId="1253" applyNumberFormat="1" applyFont="1" applyFill="1" applyBorder="1"/>
    <xf numFmtId="218" fontId="11" fillId="26" borderId="59" xfId="1253" applyNumberFormat="1" applyFont="1" applyFill="1" applyBorder="1" applyAlignment="1">
      <alignment horizontal="right"/>
    </xf>
    <xf numFmtId="218" fontId="11" fillId="26" borderId="0" xfId="1253" applyNumberFormat="1" applyFont="1" applyFill="1" applyBorder="1" applyAlignment="1">
      <alignment horizontal="right"/>
    </xf>
    <xf numFmtId="218" fontId="11" fillId="26" borderId="0" xfId="1253" applyNumberFormat="1" applyFont="1" applyFill="1" applyBorder="1"/>
    <xf numFmtId="218" fontId="11" fillId="0" borderId="56" xfId="0" applyNumberFormat="1" applyFont="1" applyBorder="1"/>
    <xf numFmtId="218" fontId="11" fillId="0" borderId="68" xfId="0" applyNumberFormat="1" applyFont="1" applyBorder="1"/>
    <xf numFmtId="218" fontId="15" fillId="0" borderId="59" xfId="0" applyNumberFormat="1" applyFont="1" applyBorder="1"/>
    <xf numFmtId="218" fontId="15" fillId="0" borderId="0" xfId="0" applyNumberFormat="1" applyFont="1"/>
    <xf numFmtId="218" fontId="196" fillId="0" borderId="56" xfId="0" applyNumberFormat="1" applyFont="1" applyBorder="1"/>
    <xf numFmtId="218" fontId="11" fillId="0" borderId="54" xfId="0" applyNumberFormat="1" applyFont="1" applyBorder="1"/>
    <xf numFmtId="218" fontId="11" fillId="0" borderId="70" xfId="0" applyNumberFormat="1" applyFont="1" applyBorder="1"/>
    <xf numFmtId="164" fontId="195" fillId="0" borderId="5" xfId="0" applyNumberFormat="1" applyFont="1" applyBorder="1"/>
    <xf numFmtId="39" fontId="11" fillId="0" borderId="0" xfId="0" applyNumberFormat="1" applyFont="1"/>
    <xf numFmtId="164" fontId="14" fillId="0" borderId="65" xfId="0" applyNumberFormat="1" applyFont="1" applyBorder="1"/>
    <xf numFmtId="328" fontId="17" fillId="0" borderId="0" xfId="1254" applyNumberFormat="1" applyFont="1" applyFill="1" applyBorder="1"/>
    <xf numFmtId="164" fontId="14" fillId="0" borderId="68" xfId="0" applyNumberFormat="1" applyFont="1" applyBorder="1"/>
    <xf numFmtId="165" fontId="11" fillId="26" borderId="56" xfId="0" applyNumberFormat="1" applyFont="1" applyFill="1" applyBorder="1"/>
    <xf numFmtId="165" fontId="11" fillId="26" borderId="68" xfId="0" applyNumberFormat="1" applyFont="1" applyFill="1" applyBorder="1"/>
    <xf numFmtId="166" fontId="17" fillId="0" borderId="0" xfId="0" applyNumberFormat="1" applyFont="1"/>
    <xf numFmtId="167" fontId="11" fillId="26" borderId="68" xfId="0" applyNumberFormat="1" applyFont="1" applyFill="1" applyBorder="1"/>
    <xf numFmtId="167" fontId="11" fillId="26" borderId="56" xfId="0" applyNumberFormat="1" applyFont="1" applyFill="1" applyBorder="1"/>
    <xf numFmtId="347" fontId="186" fillId="0" borderId="59" xfId="0" applyNumberFormat="1" applyFont="1" applyBorder="1"/>
    <xf numFmtId="343" fontId="183" fillId="26" borderId="65" xfId="0" applyNumberFormat="1" applyFont="1" applyFill="1" applyBorder="1"/>
    <xf numFmtId="347" fontId="183" fillId="26" borderId="65" xfId="0" applyNumberFormat="1" applyFont="1" applyFill="1" applyBorder="1"/>
    <xf numFmtId="347" fontId="183" fillId="26" borderId="66" xfId="0" applyNumberFormat="1" applyFont="1" applyFill="1" applyBorder="1"/>
    <xf numFmtId="343" fontId="183" fillId="0" borderId="65" xfId="0" applyNumberFormat="1" applyFont="1" applyBorder="1"/>
    <xf numFmtId="164" fontId="184" fillId="0" borderId="65" xfId="0" applyNumberFormat="1" applyFont="1" applyBorder="1"/>
    <xf numFmtId="164" fontId="183" fillId="0" borderId="65" xfId="0" applyNumberFormat="1" applyFont="1" applyBorder="1"/>
    <xf numFmtId="166" fontId="11" fillId="0" borderId="56" xfId="0" applyNumberFormat="1" applyFont="1" applyBorder="1"/>
    <xf numFmtId="166" fontId="17" fillId="0" borderId="56" xfId="0" applyNumberFormat="1" applyFont="1" applyBorder="1"/>
    <xf numFmtId="166" fontId="17" fillId="0" borderId="5" xfId="0" applyNumberFormat="1" applyFont="1" applyBorder="1"/>
    <xf numFmtId="166" fontId="17" fillId="0" borderId="59" xfId="0" applyNumberFormat="1" applyFont="1" applyBorder="1"/>
    <xf numFmtId="164" fontId="14" fillId="0" borderId="60" xfId="0" applyNumberFormat="1" applyFont="1" applyBorder="1"/>
    <xf numFmtId="164" fontId="194" fillId="0" borderId="59" xfId="0" applyNumberFormat="1" applyFont="1" applyBorder="1"/>
    <xf numFmtId="164" fontId="14" fillId="0" borderId="66" xfId="0" applyNumberFormat="1" applyFont="1" applyBorder="1"/>
    <xf numFmtId="164" fontId="202" fillId="0" borderId="0" xfId="0" applyNumberFormat="1" applyFont="1"/>
    <xf numFmtId="164" fontId="203" fillId="0" borderId="0" xfId="0" applyNumberFormat="1" applyFont="1"/>
    <xf numFmtId="165" fontId="202" fillId="0" borderId="49" xfId="0" applyNumberFormat="1" applyFont="1" applyBorder="1"/>
    <xf numFmtId="165" fontId="202" fillId="0" borderId="0" xfId="0" applyNumberFormat="1" applyFont="1"/>
    <xf numFmtId="165" fontId="202" fillId="0" borderId="48" xfId="0" applyNumberFormat="1" applyFont="1" applyBorder="1"/>
    <xf numFmtId="165" fontId="14" fillId="0" borderId="5" xfId="0" applyNumberFormat="1" applyFont="1" applyBorder="1"/>
    <xf numFmtId="165" fontId="14" fillId="0" borderId="59" xfId="0" applyNumberFormat="1" applyFont="1" applyBorder="1"/>
    <xf numFmtId="165" fontId="14" fillId="0" borderId="65" xfId="0" applyNumberFormat="1" applyFont="1" applyBorder="1"/>
    <xf numFmtId="170" fontId="17" fillId="0" borderId="56" xfId="0" applyNumberFormat="1" applyFont="1" applyBorder="1"/>
    <xf numFmtId="164" fontId="179" fillId="0" borderId="0" xfId="0" applyNumberFormat="1" applyFont="1" applyAlignment="1">
      <alignment horizontal="left" vertical="top" indent="1"/>
    </xf>
    <xf numFmtId="164" fontId="202" fillId="0" borderId="60" xfId="0" applyNumberFormat="1" applyFont="1" applyBorder="1"/>
    <xf numFmtId="164" fontId="202" fillId="0" borderId="66" xfId="0" applyNumberFormat="1" applyFont="1" applyBorder="1"/>
    <xf numFmtId="164" fontId="17" fillId="0" borderId="54" xfId="0" applyNumberFormat="1" applyFont="1" applyBorder="1"/>
    <xf numFmtId="166" fontId="195" fillId="0" borderId="65" xfId="0" applyNumberFormat="1" applyFont="1" applyBorder="1"/>
    <xf numFmtId="164" fontId="11" fillId="26" borderId="65" xfId="1253" applyNumberFormat="1" applyFont="1" applyFill="1" applyBorder="1"/>
    <xf numFmtId="0" fontId="204" fillId="0" borderId="0" xfId="0" applyFont="1" applyAlignment="1">
      <alignment horizontal="left" indent="1"/>
    </xf>
    <xf numFmtId="0" fontId="15" fillId="0" borderId="0" xfId="0" applyFont="1" applyAlignment="1">
      <alignment horizontal="left"/>
    </xf>
    <xf numFmtId="343" fontId="185" fillId="0" borderId="60" xfId="0" applyNumberFormat="1" applyFont="1" applyBorder="1"/>
    <xf numFmtId="343" fontId="185" fillId="0" borderId="66" xfId="0" applyNumberFormat="1" applyFont="1" applyBorder="1"/>
    <xf numFmtId="164" fontId="186" fillId="0" borderId="68" xfId="0" applyNumberFormat="1" applyFont="1" applyBorder="1"/>
    <xf numFmtId="164" fontId="184" fillId="0" borderId="0" xfId="0" applyNumberFormat="1" applyFont="1"/>
    <xf numFmtId="218" fontId="195" fillId="0" borderId="56" xfId="0" applyNumberFormat="1" applyFont="1" applyBorder="1"/>
    <xf numFmtId="218" fontId="195" fillId="0" borderId="68" xfId="0" applyNumberFormat="1" applyFont="1" applyBorder="1"/>
    <xf numFmtId="279" fontId="14" fillId="0" borderId="5" xfId="0" applyNumberFormat="1" applyFont="1" applyBorder="1" applyAlignment="1">
      <alignment horizontal="center"/>
    </xf>
    <xf numFmtId="349" fontId="14" fillId="0" borderId="59" xfId="0" applyNumberFormat="1" applyFont="1" applyBorder="1" applyAlignment="1">
      <alignment horizontal="center"/>
    </xf>
    <xf numFmtId="349" fontId="14" fillId="0" borderId="0" xfId="0" applyNumberFormat="1" applyFont="1" applyAlignment="1">
      <alignment horizontal="center"/>
    </xf>
    <xf numFmtId="350" fontId="14" fillId="0" borderId="0" xfId="0" applyNumberFormat="1" applyFont="1" applyAlignment="1">
      <alignment horizontal="center"/>
    </xf>
    <xf numFmtId="279" fontId="14" fillId="0" borderId="65" xfId="0" applyNumberFormat="1" applyFont="1" applyBorder="1" applyAlignment="1">
      <alignment horizontal="center"/>
    </xf>
    <xf numFmtId="218" fontId="15" fillId="0" borderId="68" xfId="0" applyNumberFormat="1" applyFont="1" applyBorder="1"/>
    <xf numFmtId="164" fontId="195" fillId="26" borderId="65" xfId="0" applyNumberFormat="1" applyFont="1" applyFill="1" applyBorder="1"/>
    <xf numFmtId="164" fontId="195" fillId="26" borderId="59" xfId="0" applyNumberFormat="1" applyFont="1" applyFill="1" applyBorder="1"/>
    <xf numFmtId="164" fontId="195" fillId="26" borderId="0" xfId="0" applyNumberFormat="1" applyFont="1" applyFill="1"/>
    <xf numFmtId="165" fontId="185" fillId="0" borderId="60" xfId="0" applyNumberFormat="1" applyFont="1" applyBorder="1"/>
    <xf numFmtId="165" fontId="185" fillId="0" borderId="66" xfId="0" applyNumberFormat="1" applyFont="1" applyBorder="1"/>
    <xf numFmtId="164" fontId="200" fillId="0" borderId="0" xfId="0" applyNumberFormat="1" applyFont="1" applyAlignment="1">
      <alignment horizontal="left" indent="1"/>
    </xf>
    <xf numFmtId="164" fontId="221" fillId="0" borderId="56" xfId="0" applyNumberFormat="1" applyFont="1" applyBorder="1"/>
    <xf numFmtId="164" fontId="221" fillId="0" borderId="68" xfId="0" applyNumberFormat="1" applyFont="1" applyBorder="1"/>
    <xf numFmtId="164" fontId="221" fillId="0" borderId="59" xfId="0" applyNumberFormat="1" applyFont="1" applyBorder="1"/>
    <xf numFmtId="164" fontId="221" fillId="0" borderId="0" xfId="0" applyNumberFormat="1" applyFont="1"/>
    <xf numFmtId="164" fontId="221" fillId="0" borderId="65" xfId="0" applyNumberFormat="1" applyFont="1" applyBorder="1"/>
    <xf numFmtId="164" fontId="200" fillId="0" borderId="0" xfId="0" applyNumberFormat="1" applyFont="1" applyAlignment="1">
      <alignment horizontal="left"/>
    </xf>
    <xf numFmtId="345" fontId="200" fillId="0" borderId="0" xfId="0" applyNumberFormat="1" applyFont="1"/>
    <xf numFmtId="166" fontId="222" fillId="0" borderId="55" xfId="0" applyNumberFormat="1" applyFont="1" applyBorder="1"/>
    <xf numFmtId="166" fontId="222" fillId="0" borderId="57" xfId="0" applyNumberFormat="1" applyFont="1" applyBorder="1"/>
    <xf numFmtId="166" fontId="222" fillId="0" borderId="71" xfId="0" applyNumberFormat="1" applyFont="1" applyBorder="1"/>
    <xf numFmtId="166" fontId="222" fillId="0" borderId="48" xfId="0" applyNumberFormat="1" applyFont="1" applyBorder="1"/>
    <xf numFmtId="166" fontId="222" fillId="0" borderId="72" xfId="0" applyNumberFormat="1" applyFont="1" applyBorder="1"/>
    <xf numFmtId="351" fontId="11" fillId="26" borderId="62" xfId="0" applyNumberFormat="1" applyFont="1" applyFill="1" applyBorder="1"/>
    <xf numFmtId="166" fontId="222" fillId="0" borderId="0" xfId="0" applyNumberFormat="1" applyFont="1"/>
    <xf numFmtId="209" fontId="11" fillId="0" borderId="0" xfId="0" applyNumberFormat="1" applyFont="1"/>
    <xf numFmtId="218" fontId="211" fillId="0" borderId="0" xfId="1253" applyNumberFormat="1" applyFont="1" applyFill="1"/>
    <xf numFmtId="165" fontId="14" fillId="0" borderId="57" xfId="0" applyNumberFormat="1" applyFont="1" applyBorder="1"/>
    <xf numFmtId="165" fontId="14" fillId="0" borderId="48" xfId="0" applyNumberFormat="1" applyFont="1" applyBorder="1"/>
    <xf numFmtId="165" fontId="185" fillId="0" borderId="55" xfId="0" applyNumberFormat="1" applyFont="1" applyBorder="1"/>
    <xf numFmtId="165" fontId="185" fillId="0" borderId="73" xfId="0" applyNumberFormat="1" applyFont="1" applyBorder="1"/>
    <xf numFmtId="165" fontId="185" fillId="0" borderId="71" xfId="0" applyNumberFormat="1" applyFont="1" applyBorder="1"/>
    <xf numFmtId="165" fontId="185" fillId="0" borderId="48" xfId="0" applyNumberFormat="1" applyFont="1" applyBorder="1"/>
    <xf numFmtId="165" fontId="185" fillId="0" borderId="72" xfId="0" applyNumberFormat="1" applyFont="1" applyBorder="1"/>
    <xf numFmtId="166" fontId="11" fillId="0" borderId="0" xfId="0" applyNumberFormat="1" applyFont="1"/>
    <xf numFmtId="9" fontId="11" fillId="0" borderId="0" xfId="0" applyNumberFormat="1" applyFont="1"/>
    <xf numFmtId="10" fontId="11" fillId="0" borderId="65" xfId="0" applyNumberFormat="1" applyFont="1" applyBorder="1"/>
    <xf numFmtId="167" fontId="11" fillId="26" borderId="5" xfId="0" applyNumberFormat="1" applyFont="1" applyFill="1" applyBorder="1"/>
    <xf numFmtId="167" fontId="11" fillId="0" borderId="5" xfId="0" applyNumberFormat="1" applyFont="1" applyBorder="1"/>
    <xf numFmtId="165" fontId="196" fillId="0" borderId="56" xfId="0" applyNumberFormat="1" applyFont="1" applyBorder="1"/>
    <xf numFmtId="165" fontId="196" fillId="0" borderId="5" xfId="0" applyNumberFormat="1" applyFont="1" applyBorder="1"/>
    <xf numFmtId="165" fontId="196" fillId="0" borderId="59" xfId="0" applyNumberFormat="1" applyFont="1" applyBorder="1"/>
    <xf numFmtId="165" fontId="202" fillId="0" borderId="65" xfId="0" applyNumberFormat="1" applyFont="1" applyBorder="1"/>
    <xf numFmtId="10" fontId="19" fillId="0" borderId="0" xfId="0" applyNumberFormat="1" applyFont="1" applyAlignment="1">
      <alignment vertical="top"/>
    </xf>
    <xf numFmtId="166" fontId="203" fillId="0" borderId="65" xfId="0" applyNumberFormat="1" applyFont="1" applyBorder="1" applyAlignment="1">
      <alignment horizontal="right"/>
    </xf>
    <xf numFmtId="166" fontId="199" fillId="0" borderId="0" xfId="1254" applyNumberFormat="1" applyFont="1" applyBorder="1" applyAlignment="1">
      <alignment horizontal="right"/>
    </xf>
    <xf numFmtId="166" fontId="17" fillId="0" borderId="55" xfId="0" applyNumberFormat="1" applyFont="1" applyBorder="1" applyAlignment="1">
      <alignment horizontal="right"/>
    </xf>
    <xf numFmtId="218" fontId="219" fillId="0" borderId="51" xfId="1253" applyNumberFormat="1" applyFont="1" applyBorder="1"/>
    <xf numFmtId="165" fontId="195" fillId="0" borderId="55" xfId="0" applyNumberFormat="1" applyFont="1" applyBorder="1" applyAlignment="1">
      <alignment horizontal="right"/>
    </xf>
    <xf numFmtId="344" fontId="11" fillId="0" borderId="0" xfId="0" applyNumberFormat="1" applyFont="1"/>
    <xf numFmtId="343" fontId="183" fillId="0" borderId="74" xfId="0" applyNumberFormat="1" applyFont="1" applyBorder="1"/>
    <xf numFmtId="347" fontId="183" fillId="0" borderId="74" xfId="0" applyNumberFormat="1" applyFont="1" applyBorder="1"/>
    <xf numFmtId="347" fontId="183" fillId="0" borderId="75" xfId="0" applyNumberFormat="1" applyFont="1" applyBorder="1"/>
    <xf numFmtId="164" fontId="186" fillId="0" borderId="74" xfId="0" applyNumberFormat="1" applyFont="1" applyBorder="1"/>
    <xf numFmtId="343" fontId="185" fillId="0" borderId="75" xfId="0" applyNumberFormat="1" applyFont="1" applyBorder="1"/>
    <xf numFmtId="164" fontId="184" fillId="0" borderId="74" xfId="0" applyNumberFormat="1" applyFont="1" applyBorder="1"/>
    <xf numFmtId="164" fontId="183" fillId="0" borderId="74" xfId="0" applyNumberFormat="1" applyFont="1" applyBorder="1"/>
    <xf numFmtId="164" fontId="221" fillId="0" borderId="74" xfId="0" applyNumberFormat="1" applyFont="1" applyBorder="1"/>
    <xf numFmtId="165" fontId="185" fillId="0" borderId="75" xfId="0" applyNumberFormat="1" applyFont="1" applyBorder="1"/>
    <xf numFmtId="165" fontId="225" fillId="0" borderId="76" xfId="0" applyNumberFormat="1" applyFont="1" applyBorder="1"/>
    <xf numFmtId="165" fontId="183" fillId="0" borderId="74" xfId="0" applyNumberFormat="1" applyFont="1" applyBorder="1"/>
    <xf numFmtId="165" fontId="220" fillId="0" borderId="75" xfId="0" applyNumberFormat="1" applyFont="1" applyBorder="1"/>
    <xf numFmtId="165" fontId="223" fillId="0" borderId="75" xfId="0" applyNumberFormat="1" applyFont="1" applyBorder="1"/>
    <xf numFmtId="347" fontId="184" fillId="0" borderId="74" xfId="0" applyNumberFormat="1" applyFont="1" applyBorder="1"/>
    <xf numFmtId="165" fontId="220" fillId="0" borderId="76" xfId="0" applyNumberFormat="1" applyFont="1" applyBorder="1"/>
    <xf numFmtId="0" fontId="11" fillId="0" borderId="74" xfId="0" applyFont="1" applyBorder="1"/>
    <xf numFmtId="164" fontId="15" fillId="0" borderId="74" xfId="0" applyNumberFormat="1" applyFont="1" applyBorder="1"/>
    <xf numFmtId="165" fontId="14" fillId="0" borderId="75" xfId="0" applyNumberFormat="1" applyFont="1" applyBorder="1"/>
    <xf numFmtId="0" fontId="18" fillId="0" borderId="74" xfId="0" applyFont="1" applyBorder="1"/>
    <xf numFmtId="164" fontId="11" fillId="0" borderId="74" xfId="0" applyNumberFormat="1" applyFont="1" applyBorder="1"/>
    <xf numFmtId="167" fontId="11" fillId="0" borderId="74" xfId="0" applyNumberFormat="1" applyFont="1" applyBorder="1"/>
    <xf numFmtId="165" fontId="11" fillId="0" borderId="74" xfId="0" applyNumberFormat="1" applyFont="1" applyBorder="1"/>
    <xf numFmtId="164" fontId="194" fillId="0" borderId="74" xfId="0" applyNumberFormat="1" applyFont="1" applyBorder="1"/>
    <xf numFmtId="164" fontId="198" fillId="0" borderId="74" xfId="0" applyNumberFormat="1" applyFont="1" applyBorder="1"/>
    <xf numFmtId="164" fontId="14" fillId="0" borderId="74" xfId="0" applyNumberFormat="1" applyFont="1" applyBorder="1" applyAlignment="1">
      <alignment horizontal="center"/>
    </xf>
    <xf numFmtId="164" fontId="17" fillId="0" borderId="74" xfId="0" applyNumberFormat="1" applyFont="1" applyBorder="1"/>
    <xf numFmtId="275" fontId="14" fillId="0" borderId="74" xfId="0" applyNumberFormat="1" applyFont="1" applyBorder="1" applyAlignment="1">
      <alignment horizontal="center"/>
    </xf>
    <xf numFmtId="218" fontId="11" fillId="0" borderId="74" xfId="1253" applyNumberFormat="1" applyFont="1" applyFill="1" applyBorder="1" applyAlignment="1">
      <alignment horizontal="right"/>
    </xf>
    <xf numFmtId="218" fontId="15" fillId="0" borderId="74" xfId="0" applyNumberFormat="1" applyFont="1" applyBorder="1"/>
    <xf numFmtId="164" fontId="195" fillId="0" borderId="74" xfId="0" applyNumberFormat="1" applyFont="1" applyBorder="1"/>
    <xf numFmtId="166" fontId="17" fillId="0" borderId="74" xfId="0" applyNumberFormat="1" applyFont="1" applyBorder="1"/>
    <xf numFmtId="165" fontId="14" fillId="0" borderId="74" xfId="0" applyNumberFormat="1" applyFont="1" applyBorder="1"/>
    <xf numFmtId="164" fontId="14" fillId="0" borderId="75" xfId="0" applyNumberFormat="1" applyFont="1" applyBorder="1"/>
    <xf numFmtId="164" fontId="11" fillId="0" borderId="75" xfId="0" applyNumberFormat="1" applyFont="1" applyBorder="1"/>
    <xf numFmtId="164" fontId="202" fillId="0" borderId="75" xfId="0" applyNumberFormat="1" applyFont="1" applyBorder="1"/>
    <xf numFmtId="166" fontId="194" fillId="0" borderId="74" xfId="0" applyNumberFormat="1" applyFont="1" applyBorder="1" applyAlignment="1">
      <alignment horizontal="right"/>
    </xf>
    <xf numFmtId="328" fontId="11" fillId="0" borderId="74" xfId="1254" applyNumberFormat="1" applyFont="1" applyFill="1" applyBorder="1"/>
    <xf numFmtId="165" fontId="18" fillId="0" borderId="74" xfId="0" applyNumberFormat="1" applyFont="1" applyBorder="1"/>
    <xf numFmtId="165" fontId="18" fillId="0" borderId="75" xfId="0" applyNumberFormat="1" applyFont="1" applyBorder="1"/>
    <xf numFmtId="164" fontId="14" fillId="0" borderId="74" xfId="0" applyNumberFormat="1" applyFont="1" applyBorder="1"/>
    <xf numFmtId="166" fontId="11" fillId="0" borderId="74" xfId="1254" applyNumberFormat="1" applyFont="1" applyFill="1" applyBorder="1"/>
    <xf numFmtId="164" fontId="201" fillId="0" borderId="74" xfId="0" applyNumberFormat="1" applyFont="1" applyBorder="1"/>
    <xf numFmtId="164" fontId="205" fillId="0" borderId="74" xfId="0" applyNumberFormat="1" applyFont="1" applyBorder="1"/>
    <xf numFmtId="342" fontId="181" fillId="0" borderId="74" xfId="0" applyNumberFormat="1" applyFont="1" applyBorder="1"/>
    <xf numFmtId="164" fontId="11" fillId="0" borderId="77" xfId="0" applyNumberFormat="1" applyFont="1" applyBorder="1"/>
    <xf numFmtId="164" fontId="18" fillId="0" borderId="74" xfId="0" applyNumberFormat="1" applyFont="1" applyBorder="1" applyAlignment="1">
      <alignment horizontal="center"/>
    </xf>
    <xf numFmtId="165" fontId="15" fillId="0" borderId="74" xfId="0" applyNumberFormat="1" applyFont="1" applyBorder="1"/>
    <xf numFmtId="218" fontId="11" fillId="0" borderId="74" xfId="0" applyNumberFormat="1" applyFont="1" applyBorder="1"/>
    <xf numFmtId="165" fontId="218" fillId="0" borderId="74" xfId="0" applyNumberFormat="1" applyFont="1" applyBorder="1"/>
    <xf numFmtId="164" fontId="187" fillId="0" borderId="74" xfId="0" applyNumberFormat="1" applyFont="1" applyBorder="1"/>
    <xf numFmtId="165" fontId="18" fillId="0" borderId="78" xfId="0" applyNumberFormat="1" applyFont="1" applyBorder="1"/>
    <xf numFmtId="165" fontId="197" fillId="0" borderId="76" xfId="0" applyNumberFormat="1" applyFont="1" applyBorder="1"/>
    <xf numFmtId="165" fontId="196" fillId="0" borderId="74" xfId="0" applyNumberFormat="1" applyFont="1" applyBorder="1"/>
    <xf numFmtId="164" fontId="178" fillId="0" borderId="74" xfId="0" applyNumberFormat="1" applyFont="1" applyBorder="1"/>
    <xf numFmtId="166" fontId="222" fillId="0" borderId="76" xfId="0" applyNumberFormat="1" applyFont="1" applyBorder="1"/>
    <xf numFmtId="304" fontId="219" fillId="0" borderId="0" xfId="1253" applyNumberFormat="1" applyFont="1" applyFill="1" applyBorder="1" applyAlignment="1"/>
    <xf numFmtId="164" fontId="19" fillId="26" borderId="0" xfId="0" applyNumberFormat="1" applyFont="1" applyFill="1" applyAlignment="1">
      <alignment vertical="top"/>
    </xf>
    <xf numFmtId="0" fontId="226" fillId="0" borderId="0" xfId="0" applyFont="1"/>
    <xf numFmtId="0" fontId="227" fillId="0" borderId="0" xfId="0" applyFont="1"/>
    <xf numFmtId="0" fontId="227" fillId="0" borderId="0" xfId="0" quotePrefix="1" applyFont="1"/>
    <xf numFmtId="0" fontId="228" fillId="0" borderId="0" xfId="0" applyFont="1"/>
    <xf numFmtId="0" fontId="229" fillId="0" borderId="0" xfId="0" applyFont="1"/>
    <xf numFmtId="164" fontId="229" fillId="0" borderId="0" xfId="0" applyNumberFormat="1" applyFont="1"/>
    <xf numFmtId="0" fontId="106" fillId="0" borderId="0" xfId="0" applyFont="1" applyAlignment="1">
      <alignment vertical="top"/>
    </xf>
    <xf numFmtId="0" fontId="230" fillId="0" borderId="0" xfId="0" applyFont="1" applyAlignment="1">
      <alignment vertical="top"/>
    </xf>
    <xf numFmtId="0" fontId="183" fillId="26" borderId="0" xfId="0" applyFont="1" applyFill="1"/>
    <xf numFmtId="164" fontId="183" fillId="26" borderId="0" xfId="0" applyNumberFormat="1" applyFont="1" applyFill="1"/>
    <xf numFmtId="209" fontId="183" fillId="26" borderId="0" xfId="0" applyNumberFormat="1" applyFont="1" applyFill="1"/>
    <xf numFmtId="49" fontId="233" fillId="26" borderId="0" xfId="0" applyNumberFormat="1" applyFont="1" applyFill="1" applyProtection="1">
      <protection locked="0" hidden="1"/>
    </xf>
    <xf numFmtId="164" fontId="234" fillId="26" borderId="0" xfId="0" applyNumberFormat="1" applyFont="1" applyFill="1" applyProtection="1">
      <protection locked="0" hidden="1"/>
    </xf>
    <xf numFmtId="0" fontId="184" fillId="26" borderId="0" xfId="0" applyFont="1" applyFill="1" applyProtection="1">
      <protection locked="0" hidden="1"/>
    </xf>
    <xf numFmtId="49" fontId="184" fillId="26" borderId="0" xfId="0" applyNumberFormat="1" applyFont="1" applyFill="1" applyProtection="1">
      <protection locked="0" hidden="1"/>
    </xf>
    <xf numFmtId="342" fontId="183" fillId="26" borderId="0" xfId="0" applyNumberFormat="1" applyFont="1" applyFill="1"/>
    <xf numFmtId="353" fontId="183" fillId="26" borderId="0" xfId="0" applyNumberFormat="1" applyFont="1" applyFill="1"/>
    <xf numFmtId="0" fontId="235" fillId="26" borderId="0" xfId="0" applyFont="1" applyFill="1" applyProtection="1">
      <protection locked="0" hidden="1"/>
    </xf>
    <xf numFmtId="0" fontId="233" fillId="26" borderId="0" xfId="0" applyFont="1" applyFill="1" applyProtection="1">
      <protection locked="0" hidden="1"/>
    </xf>
    <xf numFmtId="352" fontId="231" fillId="26" borderId="0" xfId="0" applyNumberFormat="1" applyFont="1" applyFill="1" applyProtection="1">
      <protection locked="0" hidden="1"/>
    </xf>
    <xf numFmtId="0" fontId="220" fillId="26" borderId="0" xfId="0" applyFont="1" applyFill="1" applyProtection="1">
      <protection locked="0" hidden="1"/>
    </xf>
    <xf numFmtId="172" fontId="184" fillId="26" borderId="0" xfId="0" applyNumberFormat="1" applyFont="1" applyFill="1" applyProtection="1">
      <protection locked="0" hidden="1"/>
    </xf>
    <xf numFmtId="0" fontId="238" fillId="26" borderId="0" xfId="0" applyFont="1" applyFill="1" applyAlignment="1" applyProtection="1">
      <alignment horizontal="center"/>
      <protection locked="0" hidden="1"/>
    </xf>
    <xf numFmtId="0" fontId="184" fillId="26" borderId="0" xfId="0" applyFont="1" applyFill="1" applyAlignment="1" applyProtection="1">
      <alignment horizontal="centerContinuous"/>
      <protection locked="0" hidden="1"/>
    </xf>
    <xf numFmtId="0" fontId="238" fillId="26" borderId="0" xfId="0" applyFont="1" applyFill="1" applyAlignment="1" applyProtection="1">
      <alignment horizontal="centerContinuous"/>
      <protection locked="0" hidden="1"/>
    </xf>
    <xf numFmtId="0" fontId="238" fillId="26" borderId="0" xfId="0" applyFont="1" applyFill="1" applyProtection="1">
      <protection locked="0" hidden="1"/>
    </xf>
    <xf numFmtId="164" fontId="234" fillId="26" borderId="0" xfId="0" quotePrefix="1" applyNumberFormat="1" applyFont="1" applyFill="1" applyProtection="1">
      <protection locked="0" hidden="1"/>
    </xf>
    <xf numFmtId="43" fontId="211" fillId="0" borderId="5" xfId="0" applyNumberFormat="1" applyFont="1" applyBorder="1"/>
    <xf numFmtId="164" fontId="187" fillId="26" borderId="74" xfId="0" applyNumberFormat="1" applyFont="1" applyFill="1" applyBorder="1"/>
    <xf numFmtId="354" fontId="216" fillId="0" borderId="0" xfId="0" applyNumberFormat="1" applyFont="1"/>
    <xf numFmtId="164" fontId="241" fillId="26" borderId="0" xfId="0" applyNumberFormat="1" applyFont="1" applyFill="1" applyProtection="1">
      <protection locked="0" hidden="1"/>
    </xf>
    <xf numFmtId="164" fontId="241" fillId="26" borderId="0" xfId="0" quotePrefix="1" applyNumberFormat="1" applyFont="1" applyFill="1" applyProtection="1">
      <protection locked="0" hidden="1"/>
    </xf>
    <xf numFmtId="0" fontId="240" fillId="2" borderId="79" xfId="0" applyFont="1" applyFill="1" applyBorder="1" applyAlignment="1">
      <alignment horizontal="centerContinuous"/>
    </xf>
    <xf numFmtId="0" fontId="240" fillId="2" borderId="80" xfId="0" applyFont="1" applyFill="1" applyBorder="1" applyAlignment="1">
      <alignment horizontal="centerContinuous"/>
    </xf>
    <xf numFmtId="0" fontId="184" fillId="26" borderId="81" xfId="0" applyFont="1" applyFill="1" applyBorder="1" applyProtection="1">
      <protection locked="0" hidden="1"/>
    </xf>
    <xf numFmtId="0" fontId="184" fillId="26" borderId="30" xfId="0" applyFont="1" applyFill="1" applyBorder="1" applyProtection="1">
      <protection locked="0" hidden="1"/>
    </xf>
    <xf numFmtId="0" fontId="221" fillId="26" borderId="0" xfId="0" applyFont="1" applyFill="1"/>
    <xf numFmtId="0" fontId="183" fillId="26" borderId="0" xfId="0" applyFont="1" applyFill="1" applyAlignment="1">
      <alignment horizontal="left" indent="2"/>
    </xf>
    <xf numFmtId="0" fontId="236" fillId="26" borderId="0" xfId="0" applyFont="1" applyFill="1"/>
    <xf numFmtId="352" fontId="233" fillId="26" borderId="30" xfId="0" applyNumberFormat="1" applyFont="1" applyFill="1" applyBorder="1" applyProtection="1">
      <protection locked="0" hidden="1"/>
    </xf>
    <xf numFmtId="0" fontId="235" fillId="26" borderId="81" xfId="0" applyFont="1" applyFill="1" applyBorder="1" applyProtection="1">
      <protection locked="0" hidden="1"/>
    </xf>
    <xf numFmtId="0" fontId="236" fillId="26" borderId="0" xfId="0" applyFont="1" applyFill="1" applyAlignment="1">
      <alignment horizontal="left" indent="2"/>
    </xf>
    <xf numFmtId="0" fontId="183" fillId="26" borderId="30" xfId="0" applyFont="1" applyFill="1" applyBorder="1"/>
    <xf numFmtId="164" fontId="234" fillId="26" borderId="30" xfId="0" applyNumberFormat="1" applyFont="1" applyFill="1" applyBorder="1" applyProtection="1">
      <protection locked="0" hidden="1"/>
    </xf>
    <xf numFmtId="164" fontId="241" fillId="26" borderId="30" xfId="0" applyNumberFormat="1" applyFont="1" applyFill="1" applyBorder="1" applyProtection="1">
      <protection locked="0" hidden="1"/>
    </xf>
    <xf numFmtId="0" fontId="184" fillId="26" borderId="82" xfId="0" applyFont="1" applyFill="1" applyBorder="1" applyProtection="1">
      <protection locked="0" hidden="1"/>
    </xf>
    <xf numFmtId="0" fontId="184" fillId="26" borderId="7" xfId="0" applyFont="1" applyFill="1" applyBorder="1" applyProtection="1">
      <protection locked="0" hidden="1"/>
    </xf>
    <xf numFmtId="352" fontId="231" fillId="26" borderId="7" xfId="0" applyNumberFormat="1" applyFont="1" applyFill="1" applyBorder="1" applyProtection="1">
      <protection locked="0" hidden="1"/>
    </xf>
    <xf numFmtId="49" fontId="184" fillId="26" borderId="7" xfId="0" applyNumberFormat="1" applyFont="1" applyFill="1" applyBorder="1" applyProtection="1">
      <protection locked="0" hidden="1"/>
    </xf>
    <xf numFmtId="0" fontId="184" fillId="26" borderId="83" xfId="0" applyFont="1" applyFill="1" applyBorder="1" applyProtection="1">
      <protection locked="0" hidden="1"/>
    </xf>
    <xf numFmtId="164" fontId="204" fillId="26" borderId="0" xfId="0" applyNumberFormat="1" applyFont="1" applyFill="1" applyAlignment="1">
      <alignment vertical="top"/>
    </xf>
    <xf numFmtId="172" fontId="231" fillId="26" borderId="7" xfId="0" applyNumberFormat="1" applyFont="1" applyFill="1" applyBorder="1" applyProtection="1">
      <protection locked="0" hidden="1"/>
    </xf>
    <xf numFmtId="172" fontId="232" fillId="26" borderId="7" xfId="0" applyNumberFormat="1" applyFont="1" applyFill="1" applyBorder="1" applyProtection="1">
      <protection locked="0" hidden="1"/>
    </xf>
    <xf numFmtId="172" fontId="184" fillId="26" borderId="7" xfId="0" applyNumberFormat="1" applyFont="1" applyFill="1" applyBorder="1" applyProtection="1">
      <protection locked="0" hidden="1"/>
    </xf>
    <xf numFmtId="172" fontId="231" fillId="26" borderId="0" xfId="0" applyNumberFormat="1" applyFont="1" applyFill="1" applyProtection="1">
      <protection locked="0" hidden="1"/>
    </xf>
    <xf numFmtId="0" fontId="240" fillId="2" borderId="26" xfId="0" applyFont="1" applyFill="1" applyBorder="1" applyAlignment="1">
      <alignment horizontal="centerContinuous"/>
    </xf>
    <xf numFmtId="165" fontId="204" fillId="0" borderId="5" xfId="1253" applyNumberFormat="1" applyFont="1" applyBorder="1"/>
    <xf numFmtId="348" fontId="204" fillId="0" borderId="0" xfId="1254" applyNumberFormat="1" applyFont="1" applyBorder="1" applyAlignment="1">
      <alignment horizontal="right"/>
    </xf>
    <xf numFmtId="172" fontId="211" fillId="0" borderId="0" xfId="0" applyNumberFormat="1" applyFont="1"/>
    <xf numFmtId="172" fontId="204" fillId="0" borderId="0" xfId="0" applyNumberFormat="1" applyFont="1"/>
    <xf numFmtId="172" fontId="19" fillId="0" borderId="51" xfId="1253" applyNumberFormat="1" applyFont="1" applyBorder="1" applyAlignment="1">
      <alignment vertical="top"/>
    </xf>
    <xf numFmtId="172" fontId="179" fillId="0" borderId="51" xfId="1253" applyNumberFormat="1" applyFont="1" applyBorder="1" applyAlignment="1">
      <alignment vertical="top"/>
    </xf>
    <xf numFmtId="164" fontId="204" fillId="0" borderId="49" xfId="0" applyNumberFormat="1" applyFont="1" applyBorder="1" applyAlignment="1">
      <alignment horizontal="left" indent="1"/>
    </xf>
    <xf numFmtId="164" fontId="211" fillId="0" borderId="49" xfId="0" applyNumberFormat="1" applyFont="1" applyBorder="1"/>
    <xf numFmtId="165" fontId="211" fillId="0" borderId="49" xfId="0" applyNumberFormat="1" applyFont="1" applyBorder="1"/>
    <xf numFmtId="165" fontId="179" fillId="0" borderId="84" xfId="1253" applyNumberFormat="1" applyFont="1" applyBorder="1" applyAlignment="1">
      <alignment vertical="top"/>
    </xf>
    <xf numFmtId="165" fontId="204" fillId="0" borderId="64" xfId="1253" applyNumberFormat="1" applyFont="1" applyBorder="1"/>
    <xf numFmtId="348" fontId="204" fillId="0" borderId="49" xfId="1254" applyNumberFormat="1" applyFont="1" applyBorder="1" applyAlignment="1">
      <alignment horizontal="right"/>
    </xf>
    <xf numFmtId="343" fontId="183" fillId="0" borderId="55" xfId="0" applyNumberFormat="1" applyFont="1" applyBorder="1"/>
    <xf numFmtId="343" fontId="185" fillId="0" borderId="55" xfId="0" applyNumberFormat="1" applyFont="1" applyBorder="1"/>
    <xf numFmtId="343" fontId="185" fillId="0" borderId="73" xfId="0" applyNumberFormat="1" applyFont="1" applyBorder="1"/>
    <xf numFmtId="343" fontId="185" fillId="0" borderId="71" xfId="0" applyNumberFormat="1" applyFont="1" applyBorder="1"/>
    <xf numFmtId="343" fontId="185" fillId="0" borderId="48" xfId="0" applyNumberFormat="1" applyFont="1" applyBorder="1"/>
    <xf numFmtId="343" fontId="185" fillId="0" borderId="76" xfId="0" applyNumberFormat="1" applyFont="1" applyBorder="1"/>
    <xf numFmtId="343" fontId="185" fillId="0" borderId="72" xfId="0" applyNumberFormat="1" applyFont="1" applyBorder="1"/>
    <xf numFmtId="164" fontId="195" fillId="29" borderId="74" xfId="0" applyNumberFormat="1" applyFont="1" applyFill="1" applyBorder="1"/>
    <xf numFmtId="164" fontId="11" fillId="29" borderId="74" xfId="0" applyNumberFormat="1" applyFont="1" applyFill="1" applyBorder="1"/>
    <xf numFmtId="164" fontId="15" fillId="29" borderId="74" xfId="0" applyNumberFormat="1" applyFont="1" applyFill="1" applyBorder="1"/>
    <xf numFmtId="164" fontId="201" fillId="29" borderId="74" xfId="0" applyNumberFormat="1" applyFont="1" applyFill="1" applyBorder="1"/>
    <xf numFmtId="164" fontId="211" fillId="29" borderId="0" xfId="0" applyNumberFormat="1" applyFont="1" applyFill="1" applyAlignment="1">
      <alignment vertical="top"/>
    </xf>
    <xf numFmtId="165" fontId="211" fillId="29" borderId="5" xfId="0" applyNumberFormat="1" applyFont="1" applyFill="1" applyBorder="1"/>
    <xf numFmtId="218" fontId="211" fillId="29" borderId="5" xfId="1253" applyNumberFormat="1" applyFont="1" applyFill="1" applyBorder="1"/>
    <xf numFmtId="218" fontId="224" fillId="29" borderId="5" xfId="1253" applyNumberFormat="1" applyFont="1" applyFill="1" applyBorder="1"/>
    <xf numFmtId="218" fontId="211" fillId="29" borderId="5" xfId="0" applyNumberFormat="1" applyFont="1" applyFill="1" applyBorder="1"/>
    <xf numFmtId="218" fontId="211" fillId="29" borderId="51" xfId="0" applyNumberFormat="1" applyFont="1" applyFill="1" applyBorder="1"/>
    <xf numFmtId="164" fontId="199" fillId="29" borderId="0" xfId="0" applyNumberFormat="1" applyFont="1" applyFill="1"/>
    <xf numFmtId="164" fontId="19" fillId="29" borderId="0" xfId="0" applyNumberFormat="1" applyFont="1" applyFill="1"/>
    <xf numFmtId="164" fontId="19" fillId="29" borderId="0" xfId="0" applyNumberFormat="1" applyFont="1" applyFill="1" applyAlignment="1">
      <alignment vertical="top"/>
    </xf>
    <xf numFmtId="164" fontId="211" fillId="29" borderId="0" xfId="0" applyNumberFormat="1" applyFont="1" applyFill="1"/>
    <xf numFmtId="164" fontId="211" fillId="29" borderId="2" xfId="0" applyNumberFormat="1" applyFont="1" applyFill="1" applyBorder="1"/>
    <xf numFmtId="165" fontId="199" fillId="29" borderId="0" xfId="0" applyNumberFormat="1" applyFont="1" applyFill="1" applyAlignment="1">
      <alignment vertical="top"/>
    </xf>
    <xf numFmtId="164" fontId="199" fillId="29" borderId="0" xfId="0" applyNumberFormat="1" applyFont="1" applyFill="1" applyAlignment="1">
      <alignment vertical="top"/>
    </xf>
    <xf numFmtId="172" fontId="211" fillId="29" borderId="0" xfId="0" applyNumberFormat="1" applyFont="1" applyFill="1"/>
    <xf numFmtId="172" fontId="211" fillId="29" borderId="0" xfId="1253" applyNumberFormat="1" applyFont="1" applyFill="1" applyBorder="1"/>
    <xf numFmtId="172" fontId="19" fillId="29" borderId="51" xfId="1253" applyNumberFormat="1" applyFont="1" applyFill="1" applyBorder="1" applyAlignment="1">
      <alignment vertical="top"/>
    </xf>
    <xf numFmtId="172" fontId="219" fillId="29" borderId="0" xfId="0" applyNumberFormat="1" applyFont="1" applyFill="1" applyAlignment="1">
      <alignment vertical="top"/>
    </xf>
    <xf numFmtId="172" fontId="19" fillId="29" borderId="0" xfId="0" applyNumberFormat="1" applyFont="1" applyFill="1" applyAlignment="1">
      <alignment vertical="top"/>
    </xf>
    <xf numFmtId="172" fontId="199" fillId="29" borderId="0" xfId="1253" applyNumberFormat="1" applyFont="1" applyFill="1" applyBorder="1"/>
    <xf numFmtId="172" fontId="199" fillId="29" borderId="51" xfId="1253" applyNumberFormat="1" applyFont="1" applyFill="1" applyBorder="1"/>
    <xf numFmtId="0" fontId="244" fillId="0" borderId="2" xfId="0" applyFont="1" applyBorder="1"/>
    <xf numFmtId="0" fontId="0" fillId="0" borderId="2" xfId="0" applyBorder="1"/>
    <xf numFmtId="0" fontId="0" fillId="0" borderId="2" xfId="0" quotePrefix="1" applyBorder="1"/>
    <xf numFmtId="0" fontId="0" fillId="0" borderId="0" xfId="0" applyAlignment="1">
      <alignment horizontal="left" indent="1"/>
    </xf>
    <xf numFmtId="164" fontId="0" fillId="0" borderId="0" xfId="0" applyNumberFormat="1"/>
    <xf numFmtId="164" fontId="0" fillId="30" borderId="0" xfId="0" applyNumberFormat="1" applyFill="1"/>
    <xf numFmtId="164" fontId="0" fillId="30" borderId="2" xfId="0" applyNumberFormat="1" applyFill="1" applyBorder="1"/>
    <xf numFmtId="0" fontId="0" fillId="0" borderId="0" xfId="0" applyAlignment="1">
      <alignment horizontal="left"/>
    </xf>
    <xf numFmtId="0" fontId="246" fillId="0" borderId="0" xfId="0" applyFont="1"/>
    <xf numFmtId="172" fontId="245" fillId="26" borderId="0" xfId="0" applyNumberFormat="1" applyFont="1" applyFill="1" applyProtection="1">
      <protection hidden="1"/>
    </xf>
    <xf numFmtId="164" fontId="234" fillId="26" borderId="0" xfId="0" applyNumberFormat="1" applyFont="1" applyFill="1" applyProtection="1">
      <protection hidden="1"/>
    </xf>
    <xf numFmtId="164" fontId="245" fillId="26" borderId="0" xfId="0" applyNumberFormat="1" applyFont="1" applyFill="1" applyProtection="1">
      <protection hidden="1"/>
    </xf>
    <xf numFmtId="166" fontId="199" fillId="0" borderId="0" xfId="1254" applyNumberFormat="1" applyFont="1" applyAlignment="1">
      <alignment horizontal="right"/>
    </xf>
    <xf numFmtId="164" fontId="183" fillId="26" borderId="0" xfId="0" applyNumberFormat="1" applyFont="1" applyFill="1" applyProtection="1">
      <protection locked="0" hidden="1"/>
    </xf>
    <xf numFmtId="172" fontId="183" fillId="26" borderId="0" xfId="0" applyNumberFormat="1" applyFont="1" applyFill="1" applyProtection="1">
      <protection hidden="1"/>
    </xf>
    <xf numFmtId="0" fontId="220" fillId="26" borderId="0" xfId="0" applyFont="1" applyFill="1" applyProtection="1">
      <protection hidden="1"/>
    </xf>
    <xf numFmtId="352" fontId="237" fillId="26" borderId="0" xfId="0" applyNumberFormat="1" applyFont="1" applyFill="1" applyProtection="1">
      <protection hidden="1"/>
    </xf>
    <xf numFmtId="0" fontId="245" fillId="26" borderId="0" xfId="0" applyFont="1" applyFill="1" applyProtection="1">
      <protection hidden="1"/>
    </xf>
    <xf numFmtId="0" fontId="184" fillId="26" borderId="0" xfId="0" applyFont="1" applyFill="1" applyProtection="1">
      <protection hidden="1"/>
    </xf>
    <xf numFmtId="164" fontId="184" fillId="26" borderId="0" xfId="0" applyNumberFormat="1" applyFont="1" applyFill="1" applyProtection="1">
      <protection hidden="1"/>
    </xf>
    <xf numFmtId="164" fontId="232" fillId="26" borderId="0" xfId="0" applyNumberFormat="1" applyFont="1" applyFill="1" applyProtection="1">
      <protection hidden="1"/>
    </xf>
    <xf numFmtId="164" fontId="183" fillId="26" borderId="0" xfId="0" applyNumberFormat="1" applyFont="1" applyFill="1" applyProtection="1">
      <protection hidden="1"/>
    </xf>
    <xf numFmtId="165" fontId="219" fillId="29" borderId="0" xfId="0" applyNumberFormat="1" applyFont="1" applyFill="1" applyAlignment="1">
      <alignment vertical="top"/>
    </xf>
    <xf numFmtId="164" fontId="219" fillId="29" borderId="0" xfId="0" applyNumberFormat="1" applyFont="1" applyFill="1" applyAlignment="1">
      <alignment vertical="top"/>
    </xf>
    <xf numFmtId="2" fontId="233" fillId="26" borderId="0" xfId="0" applyNumberFormat="1" applyFont="1" applyFill="1" applyProtection="1">
      <protection locked="0" hidden="1"/>
    </xf>
    <xf numFmtId="172" fontId="199" fillId="29" borderId="51" xfId="1253" applyNumberFormat="1" applyFont="1" applyFill="1" applyBorder="1" applyAlignment="1">
      <alignment vertical="top"/>
    </xf>
    <xf numFmtId="167" fontId="247" fillId="30" borderId="2" xfId="0" applyNumberFormat="1" applyFont="1" applyFill="1" applyBorder="1"/>
    <xf numFmtId="164" fontId="19" fillId="0" borderId="0" xfId="0" applyNumberFormat="1" applyFont="1"/>
    <xf numFmtId="218" fontId="219" fillId="29" borderId="5" xfId="1253" applyNumberFormat="1" applyFont="1" applyFill="1" applyBorder="1"/>
    <xf numFmtId="165" fontId="201" fillId="0" borderId="74" xfId="0" applyNumberFormat="1" applyFont="1" applyBorder="1"/>
    <xf numFmtId="218" fontId="219" fillId="29" borderId="51" xfId="0" applyNumberFormat="1" applyFont="1" applyFill="1" applyBorder="1"/>
    <xf numFmtId="304" fontId="219" fillId="29" borderId="5" xfId="1253" applyNumberFormat="1" applyFont="1" applyFill="1" applyBorder="1" applyAlignment="1"/>
    <xf numFmtId="218" fontId="201" fillId="29" borderId="77" xfId="0" applyNumberFormat="1" applyFont="1" applyFill="1" applyBorder="1"/>
    <xf numFmtId="164" fontId="247" fillId="30" borderId="0" xfId="0" applyNumberFormat="1" applyFont="1" applyFill="1"/>
    <xf numFmtId="164" fontId="248" fillId="0" borderId="0" xfId="0" applyNumberFormat="1" applyFont="1"/>
    <xf numFmtId="164" fontId="247" fillId="30" borderId="2" xfId="0" applyNumberFormat="1" applyFont="1" applyFill="1" applyBorder="1"/>
    <xf numFmtId="172" fontId="199" fillId="29" borderId="0" xfId="1253" applyNumberFormat="1" applyFont="1" applyFill="1"/>
    <xf numFmtId="172" fontId="184" fillId="26" borderId="0" xfId="0" applyNumberFormat="1" applyFont="1" applyFill="1" applyProtection="1">
      <protection hidden="1"/>
    </xf>
    <xf numFmtId="172" fontId="234" fillId="26" borderId="0" xfId="0" applyNumberFormat="1" applyFont="1" applyFill="1" applyProtection="1">
      <protection hidden="1"/>
    </xf>
    <xf numFmtId="172" fontId="183" fillId="26" borderId="0" xfId="0" applyNumberFormat="1" applyFont="1" applyFill="1"/>
    <xf numFmtId="172" fontId="220" fillId="26" borderId="0" xfId="0" applyNumberFormat="1" applyFont="1" applyFill="1" applyProtection="1">
      <protection hidden="1"/>
    </xf>
    <xf numFmtId="172" fontId="237" fillId="26" borderId="0" xfId="0" applyNumberFormat="1" applyFont="1" applyFill="1" applyProtection="1">
      <protection hidden="1"/>
    </xf>
    <xf numFmtId="0" fontId="184" fillId="26" borderId="7" xfId="0" applyFont="1" applyFill="1" applyBorder="1" applyProtection="1">
      <protection hidden="1"/>
    </xf>
    <xf numFmtId="164" fontId="232" fillId="26" borderId="7" xfId="0" applyNumberFormat="1" applyFont="1" applyFill="1" applyBorder="1" applyProtection="1">
      <protection hidden="1"/>
    </xf>
    <xf numFmtId="164" fontId="198" fillId="29" borderId="74" xfId="0" applyNumberFormat="1" applyFont="1" applyFill="1" applyBorder="1"/>
    <xf numFmtId="164" fontId="17" fillId="29" borderId="74" xfId="0" applyNumberFormat="1" applyFont="1" applyFill="1" applyBorder="1"/>
    <xf numFmtId="279" fontId="14" fillId="0" borderId="85" xfId="0" applyNumberFormat="1" applyFont="1" applyBorder="1" applyAlignment="1">
      <alignment horizontal="center"/>
    </xf>
    <xf numFmtId="279" fontId="14" fillId="0" borderId="86" xfId="0" applyNumberFormat="1" applyFont="1" applyBorder="1" applyAlignment="1">
      <alignment horizontal="center"/>
    </xf>
    <xf numFmtId="349" fontId="14" fillId="0" borderId="87" xfId="0" applyNumberFormat="1" applyFont="1" applyBorder="1" applyAlignment="1">
      <alignment horizontal="center"/>
    </xf>
    <xf numFmtId="349" fontId="14" fillId="0" borderId="88" xfId="0" applyNumberFormat="1" applyFont="1" applyBorder="1" applyAlignment="1">
      <alignment horizontal="center"/>
    </xf>
    <xf numFmtId="275" fontId="14" fillId="0" borderId="89" xfId="0" applyNumberFormat="1" applyFont="1" applyBorder="1" applyAlignment="1">
      <alignment horizontal="center"/>
    </xf>
    <xf numFmtId="350" fontId="14" fillId="0" borderId="88" xfId="0" applyNumberFormat="1" applyFont="1" applyBorder="1" applyAlignment="1">
      <alignment horizontal="center"/>
    </xf>
    <xf numFmtId="164" fontId="14" fillId="0" borderId="89" xfId="0" applyNumberFormat="1" applyFont="1" applyBorder="1" applyAlignment="1">
      <alignment horizontal="center"/>
    </xf>
    <xf numFmtId="279" fontId="14" fillId="0" borderId="90" xfId="0" applyNumberFormat="1" applyFont="1" applyBorder="1" applyAlignment="1">
      <alignment horizontal="center"/>
    </xf>
    <xf numFmtId="164" fontId="15" fillId="0" borderId="57" xfId="0" applyNumberFormat="1" applyFont="1" applyBorder="1"/>
    <xf numFmtId="0" fontId="179" fillId="28" borderId="0" xfId="0" applyFont="1" applyFill="1" applyAlignment="1">
      <alignment horizontal="left" vertical="top"/>
    </xf>
    <xf numFmtId="0" fontId="239" fillId="26" borderId="91" xfId="0" applyFont="1" applyFill="1" applyBorder="1" applyProtection="1">
      <protection locked="0" hidden="1"/>
    </xf>
    <xf numFmtId="0" fontId="239" fillId="26" borderId="1" xfId="0" applyFont="1" applyFill="1" applyBorder="1" applyProtection="1">
      <protection locked="0" hidden="1"/>
    </xf>
    <xf numFmtId="0" fontId="184" fillId="26" borderId="1" xfId="0" applyFont="1" applyFill="1" applyBorder="1" applyProtection="1">
      <protection locked="0" hidden="1"/>
    </xf>
    <xf numFmtId="49" fontId="184" fillId="26" borderId="1" xfId="0" applyNumberFormat="1" applyFont="1" applyFill="1" applyBorder="1" applyProtection="1">
      <protection locked="0" hidden="1"/>
    </xf>
    <xf numFmtId="0" fontId="184" fillId="26" borderId="92" xfId="0" applyFont="1" applyFill="1" applyBorder="1" applyProtection="1">
      <protection locked="0" hidden="1"/>
    </xf>
    <xf numFmtId="165" fontId="14" fillId="0" borderId="93" xfId="0" applyNumberFormat="1" applyFont="1" applyBorder="1"/>
    <xf numFmtId="165" fontId="14" fillId="0" borderId="94" xfId="0" applyNumberFormat="1" applyFont="1" applyBorder="1"/>
    <xf numFmtId="165" fontId="14" fillId="0" borderId="1" xfId="0" applyNumberFormat="1" applyFont="1" applyBorder="1"/>
    <xf numFmtId="165" fontId="202" fillId="0" borderId="1" xfId="0" applyNumberFormat="1" applyFont="1" applyBorder="1"/>
    <xf numFmtId="165" fontId="18" fillId="0" borderId="93" xfId="0" applyNumberFormat="1" applyFont="1" applyBorder="1"/>
    <xf numFmtId="165" fontId="18" fillId="0" borderId="95" xfId="0" applyNumberFormat="1" applyFont="1" applyBorder="1"/>
    <xf numFmtId="165" fontId="18" fillId="26" borderId="1" xfId="0" applyNumberFormat="1" applyFont="1" applyFill="1" applyBorder="1"/>
    <xf numFmtId="165" fontId="14" fillId="0" borderId="95" xfId="0" applyNumberFormat="1" applyFont="1" applyBorder="1"/>
    <xf numFmtId="165" fontId="14" fillId="26" borderId="1" xfId="0" applyNumberFormat="1" applyFont="1" applyFill="1" applyBorder="1"/>
    <xf numFmtId="164" fontId="11" fillId="26" borderId="93" xfId="0" applyNumberFormat="1" applyFont="1" applyFill="1" applyBorder="1"/>
    <xf numFmtId="164" fontId="11" fillId="26" borderId="95" xfId="0" applyNumberFormat="1" applyFont="1" applyFill="1" applyBorder="1"/>
    <xf numFmtId="164" fontId="195" fillId="0" borderId="93" xfId="0" applyNumberFormat="1" applyFont="1" applyBorder="1"/>
    <xf numFmtId="164" fontId="195" fillId="0" borderId="95" xfId="0" applyNumberFormat="1" applyFont="1" applyBorder="1"/>
    <xf numFmtId="164" fontId="11" fillId="0" borderId="1" xfId="0" applyNumberFormat="1" applyFont="1" applyBorder="1"/>
    <xf numFmtId="10" fontId="17" fillId="0" borderId="93" xfId="0" applyNumberFormat="1" applyFont="1" applyBorder="1" applyAlignment="1">
      <alignment horizontal="right"/>
    </xf>
    <xf numFmtId="164" fontId="17" fillId="0" borderId="93" xfId="0" applyNumberFormat="1" applyFont="1" applyBorder="1"/>
    <xf numFmtId="164" fontId="11" fillId="0" borderId="93" xfId="0" applyNumberFormat="1" applyFont="1" applyBorder="1"/>
    <xf numFmtId="164" fontId="11" fillId="0" borderId="95" xfId="0" applyNumberFormat="1" applyFont="1" applyBorder="1"/>
    <xf numFmtId="164" fontId="11" fillId="26" borderId="94" xfId="0" applyNumberFormat="1" applyFont="1" applyFill="1" applyBorder="1"/>
    <xf numFmtId="166" fontId="17" fillId="0" borderId="93" xfId="0" applyNumberFormat="1" applyFont="1" applyBorder="1" applyAlignment="1">
      <alignment horizontal="right"/>
    </xf>
    <xf numFmtId="166" fontId="201" fillId="0" borderId="93" xfId="0" applyNumberFormat="1" applyFont="1" applyBorder="1" applyAlignment="1">
      <alignment horizontal="right"/>
    </xf>
    <xf numFmtId="164" fontId="202" fillId="0" borderId="93" xfId="0" applyNumberFormat="1" applyFont="1" applyBorder="1"/>
    <xf numFmtId="164" fontId="202" fillId="0" borderId="95" xfId="0" applyNumberFormat="1" applyFont="1" applyBorder="1"/>
    <xf numFmtId="164" fontId="202" fillId="0" borderId="1" xfId="0" applyNumberFormat="1" applyFont="1" applyBorder="1"/>
    <xf numFmtId="164" fontId="14" fillId="0" borderId="93" xfId="0" applyNumberFormat="1" applyFont="1" applyBorder="1"/>
    <xf numFmtId="164" fontId="14" fillId="0" borderId="94" xfId="0" applyNumberFormat="1" applyFont="1" applyBorder="1"/>
    <xf numFmtId="164" fontId="14" fillId="0" borderId="1" xfId="0" applyNumberFormat="1" applyFont="1" applyBorder="1"/>
    <xf numFmtId="165" fontId="197" fillId="0" borderId="93" xfId="0" applyNumberFormat="1" applyFont="1" applyBorder="1"/>
    <xf numFmtId="9" fontId="11" fillId="0" borderId="1" xfId="0" applyNumberFormat="1" applyFont="1" applyBorder="1"/>
    <xf numFmtId="165" fontId="196" fillId="0" borderId="93" xfId="0" applyNumberFormat="1" applyFont="1" applyBorder="1"/>
    <xf numFmtId="165" fontId="202" fillId="0" borderId="93" xfId="0" applyNumberFormat="1" applyFont="1" applyBorder="1"/>
    <xf numFmtId="165" fontId="14" fillId="26" borderId="93" xfId="0" applyNumberFormat="1" applyFont="1" applyFill="1" applyBorder="1"/>
    <xf numFmtId="165" fontId="14" fillId="26" borderId="95" xfId="0" applyNumberFormat="1" applyFont="1" applyFill="1" applyBorder="1"/>
    <xf numFmtId="347" fontId="183" fillId="0" borderId="93" xfId="0" applyNumberFormat="1" applyFont="1" applyBorder="1"/>
    <xf numFmtId="347" fontId="183" fillId="0" borderId="95" xfId="0" applyNumberFormat="1" applyFont="1" applyBorder="1"/>
    <xf numFmtId="347" fontId="183" fillId="26" borderId="1" xfId="0" applyNumberFormat="1" applyFont="1" applyFill="1" applyBorder="1"/>
    <xf numFmtId="343" fontId="183" fillId="0" borderId="93" xfId="0" applyNumberFormat="1" applyFont="1" applyBorder="1"/>
    <xf numFmtId="343" fontId="185" fillId="0" borderId="93" xfId="0" applyNumberFormat="1" applyFont="1" applyBorder="1"/>
    <xf numFmtId="343" fontId="185" fillId="0" borderId="95" xfId="0" applyNumberFormat="1" applyFont="1" applyBorder="1"/>
    <xf numFmtId="343" fontId="185" fillId="0" borderId="1" xfId="0" applyNumberFormat="1" applyFont="1" applyBorder="1"/>
    <xf numFmtId="165" fontId="223" fillId="0" borderId="93" xfId="0" applyNumberFormat="1" applyFont="1" applyBorder="1"/>
    <xf numFmtId="165" fontId="185" fillId="0" borderId="93" xfId="0" applyNumberFormat="1" applyFont="1" applyBorder="1"/>
    <xf numFmtId="165" fontId="185" fillId="0" borderId="95" xfId="0" applyNumberFormat="1" applyFont="1" applyBorder="1"/>
    <xf numFmtId="165" fontId="185" fillId="0" borderId="1" xfId="0" applyNumberFormat="1" applyFont="1" applyBorder="1"/>
    <xf numFmtId="343" fontId="220" fillId="0" borderId="93" xfId="0" applyNumberFormat="1" applyFont="1" applyBorder="1"/>
    <xf numFmtId="165" fontId="179" fillId="0" borderId="1" xfId="0" applyNumberFormat="1" applyFont="1" applyBorder="1" applyAlignment="1">
      <alignment vertical="top"/>
    </xf>
    <xf numFmtId="165" fontId="204" fillId="0" borderId="1" xfId="0" applyNumberFormat="1" applyFont="1" applyBorder="1"/>
    <xf numFmtId="165" fontId="204" fillId="0" borderId="1" xfId="0" applyNumberFormat="1" applyFont="1" applyBorder="1" applyAlignment="1">
      <alignment vertical="top"/>
    </xf>
    <xf numFmtId="172" fontId="204" fillId="0" borderId="1" xfId="0" applyNumberFormat="1" applyFont="1" applyBorder="1"/>
    <xf numFmtId="172" fontId="204" fillId="0" borderId="96" xfId="0" applyNumberFormat="1" applyFont="1" applyBorder="1"/>
    <xf numFmtId="165" fontId="204" fillId="0" borderId="94" xfId="0" applyNumberFormat="1" applyFont="1" applyBorder="1"/>
    <xf numFmtId="348" fontId="204" fillId="0" borderId="1" xfId="1254" applyNumberFormat="1" applyFont="1" applyBorder="1" applyAlignment="1">
      <alignment horizontal="right"/>
    </xf>
    <xf numFmtId="172" fontId="179" fillId="0" borderId="96" xfId="1253" applyNumberFormat="1" applyFont="1" applyBorder="1" applyAlignment="1">
      <alignment vertical="top"/>
    </xf>
    <xf numFmtId="165" fontId="204" fillId="0" borderId="94" xfId="1253" applyNumberFormat="1" applyFont="1" applyBorder="1"/>
  </cellXfs>
  <cellStyles count="1255">
    <cellStyle name="_x000d__x000a_JournalTemplate=C:\COMFO\CTALK\JOURSTD.TPL_x000d__x000a_LbStateAddress=3 3 0 251 1 89 2 311_x000d__x000a_LbStateJou" xfId="17" xr:uid="{00000000-0005-0000-0000-000000000000}"/>
    <cellStyle name="$" xfId="18" xr:uid="{00000000-0005-0000-0000-000001000000}"/>
    <cellStyle name="$0.0;($0.0)" xfId="19" xr:uid="{00000000-0005-0000-0000-000002000000}"/>
    <cellStyle name="$0.00;($0.00)" xfId="20" xr:uid="{00000000-0005-0000-0000-000003000000}"/>
    <cellStyle name="$m" xfId="21" xr:uid="{00000000-0005-0000-0000-000004000000}"/>
    <cellStyle name="$sign" xfId="22" xr:uid="{00000000-0005-0000-0000-000005000000}"/>
    <cellStyle name="******************************************" xfId="23" xr:uid="{00000000-0005-0000-0000-000006000000}"/>
    <cellStyle name="." xfId="24" xr:uid="{00000000-0005-0000-0000-000007000000}"/>
    <cellStyle name="._221274_11" xfId="25" xr:uid="{00000000-0005-0000-0000-000008000000}"/>
    <cellStyle name="._221274_11_260511_6" xfId="26" xr:uid="{00000000-0005-0000-0000-000009000000}"/>
    <cellStyle name="._221274_11_LBO" xfId="27" xr:uid="{00000000-0005-0000-0000-00000A000000}"/>
    <cellStyle name="._LBO" xfId="28" xr:uid="{00000000-0005-0000-0000-00000B000000}"/>
    <cellStyle name="._LBO_346260_4" xfId="29" xr:uid="{00000000-0005-0000-0000-00000C000000}"/>
    <cellStyle name=".00()" xfId="30" xr:uid="{00000000-0005-0000-0000-00000D000000}"/>
    <cellStyle name=".1" xfId="31" xr:uid="{00000000-0005-0000-0000-00000E000000}"/>
    <cellStyle name=";;;" xfId="32" xr:uid="{00000000-0005-0000-0000-00000F000000}"/>
    <cellStyle name="?? [0]_??" xfId="33" xr:uid="{00000000-0005-0000-0000-000010000000}"/>
    <cellStyle name="??_?.????" xfId="34" xr:uid="{00000000-0005-0000-0000-000011000000}"/>
    <cellStyle name="_x0007_?€" xfId="35" xr:uid="{00000000-0005-0000-0000-000012000000}"/>
    <cellStyle name="\" xfId="36" xr:uid="{00000000-0005-0000-0000-000013000000}"/>
    <cellStyle name="\_rop-062000" xfId="37" xr:uid="{00000000-0005-0000-0000-000014000000}"/>
    <cellStyle name="_ heading$" xfId="38" xr:uid="{00000000-0005-0000-0000-000015000000}"/>
    <cellStyle name="_ heading$_260511_6" xfId="39" xr:uid="{00000000-0005-0000-0000-000016000000}"/>
    <cellStyle name="_ heading$_LBO" xfId="40" xr:uid="{00000000-0005-0000-0000-000017000000}"/>
    <cellStyle name="_ heading$_LBO_346260_4" xfId="41" xr:uid="{00000000-0005-0000-0000-000018000000}"/>
    <cellStyle name="_ heading%" xfId="42" xr:uid="{00000000-0005-0000-0000-000019000000}"/>
    <cellStyle name="_ heading%_260511_6" xfId="43" xr:uid="{00000000-0005-0000-0000-00001A000000}"/>
    <cellStyle name="_ heading%_LBO" xfId="44" xr:uid="{00000000-0005-0000-0000-00001B000000}"/>
    <cellStyle name="_ heading%_LBO_346260_4" xfId="45" xr:uid="{00000000-0005-0000-0000-00001C000000}"/>
    <cellStyle name="_ heading£" xfId="46" xr:uid="{00000000-0005-0000-0000-00001D000000}"/>
    <cellStyle name="_ heading£_260511_6" xfId="47" xr:uid="{00000000-0005-0000-0000-00001E000000}"/>
    <cellStyle name="_ heading£_LBO" xfId="48" xr:uid="{00000000-0005-0000-0000-00001F000000}"/>
    <cellStyle name="_ heading£_LBO_346260_4" xfId="49" xr:uid="{00000000-0005-0000-0000-000020000000}"/>
    <cellStyle name="_ heading¥" xfId="50" xr:uid="{00000000-0005-0000-0000-000021000000}"/>
    <cellStyle name="_ heading¥_260511_6" xfId="51" xr:uid="{00000000-0005-0000-0000-000022000000}"/>
    <cellStyle name="_ heading¥_LBO" xfId="52" xr:uid="{00000000-0005-0000-0000-000023000000}"/>
    <cellStyle name="_ heading¥_LBO_346260_4" xfId="53" xr:uid="{00000000-0005-0000-0000-000024000000}"/>
    <cellStyle name="_ heading€" xfId="54" xr:uid="{00000000-0005-0000-0000-000025000000}"/>
    <cellStyle name="_ heading€_260511_6" xfId="55" xr:uid="{00000000-0005-0000-0000-000026000000}"/>
    <cellStyle name="_ heading€_LBO" xfId="56" xr:uid="{00000000-0005-0000-0000-000027000000}"/>
    <cellStyle name="_ heading€_LBO_346260_4" xfId="57" xr:uid="{00000000-0005-0000-0000-000028000000}"/>
    <cellStyle name="_ headingx" xfId="58" xr:uid="{00000000-0005-0000-0000-000029000000}"/>
    <cellStyle name="_ headingx_260511_6" xfId="59" xr:uid="{00000000-0005-0000-0000-00002A000000}"/>
    <cellStyle name="_ headingx_LBO" xfId="60" xr:uid="{00000000-0005-0000-0000-00002B000000}"/>
    <cellStyle name="_ headingx_LBO_346260_4" xfId="61" xr:uid="{00000000-0005-0000-0000-00002C000000}"/>
    <cellStyle name="_%(SignOnly)" xfId="62" xr:uid="{00000000-0005-0000-0000-00002D000000}"/>
    <cellStyle name="_%(SignOnly)_260511_6" xfId="63" xr:uid="{00000000-0005-0000-0000-00002E000000}"/>
    <cellStyle name="_%(SignOnly)_325195_5" xfId="64" xr:uid="{00000000-0005-0000-0000-00002F000000}"/>
    <cellStyle name="_%(SignOnly)_LBO" xfId="65" xr:uid="{00000000-0005-0000-0000-000030000000}"/>
    <cellStyle name="_%(SignSpaceOnly)" xfId="66" xr:uid="{00000000-0005-0000-0000-000031000000}"/>
    <cellStyle name="_%(SignSpaceOnly)_260511_6" xfId="67" xr:uid="{00000000-0005-0000-0000-000032000000}"/>
    <cellStyle name="_%(SignSpaceOnly)_325195_5" xfId="68" xr:uid="{00000000-0005-0000-0000-000033000000}"/>
    <cellStyle name="_%(SignSpaceOnly)_LBO" xfId="69" xr:uid="{00000000-0005-0000-0000-000034000000}"/>
    <cellStyle name="_0.0[1space]" xfId="70" xr:uid="{00000000-0005-0000-0000-000035000000}"/>
    <cellStyle name="_0.0[1space]_260511_6" xfId="71" xr:uid="{00000000-0005-0000-0000-000036000000}"/>
    <cellStyle name="_0.0[1space]_LBO" xfId="72" xr:uid="{00000000-0005-0000-0000-000037000000}"/>
    <cellStyle name="_0.0[1space]_LBO_346260_4" xfId="73" xr:uid="{00000000-0005-0000-0000-000038000000}"/>
    <cellStyle name="_0.0[2space]" xfId="74" xr:uid="{00000000-0005-0000-0000-000039000000}"/>
    <cellStyle name="_0.0[2space]_260511_6" xfId="75" xr:uid="{00000000-0005-0000-0000-00003A000000}"/>
    <cellStyle name="_0.0[2space]_LBO" xfId="76" xr:uid="{00000000-0005-0000-0000-00003B000000}"/>
    <cellStyle name="_0.0[2space]_LBO_346260_4" xfId="77" xr:uid="{00000000-0005-0000-0000-00003C000000}"/>
    <cellStyle name="_0.0[3space]" xfId="78" xr:uid="{00000000-0005-0000-0000-00003D000000}"/>
    <cellStyle name="_0.0[3space]_260511_6" xfId="79" xr:uid="{00000000-0005-0000-0000-00003E000000}"/>
    <cellStyle name="_0.0[3space]_LBO" xfId="80" xr:uid="{00000000-0005-0000-0000-00003F000000}"/>
    <cellStyle name="_0.0[4space]" xfId="81" xr:uid="{00000000-0005-0000-0000-000040000000}"/>
    <cellStyle name="_0.0[4space]_260511_6" xfId="82" xr:uid="{00000000-0005-0000-0000-000041000000}"/>
    <cellStyle name="_0.0[4space]_LBO" xfId="83" xr:uid="{00000000-0005-0000-0000-000042000000}"/>
    <cellStyle name="_0.00[1space]" xfId="84" xr:uid="{00000000-0005-0000-0000-000043000000}"/>
    <cellStyle name="_0.00[1space]_260511_6" xfId="85" xr:uid="{00000000-0005-0000-0000-000044000000}"/>
    <cellStyle name="_0.00[1space]_LBO" xfId="86" xr:uid="{00000000-0005-0000-0000-000045000000}"/>
    <cellStyle name="_0.00[1space]_LBO_346260_4" xfId="87" xr:uid="{00000000-0005-0000-0000-000046000000}"/>
    <cellStyle name="_0.00[2space]" xfId="88" xr:uid="{00000000-0005-0000-0000-000047000000}"/>
    <cellStyle name="_0.00[2space]_260511_6" xfId="89" xr:uid="{00000000-0005-0000-0000-000048000000}"/>
    <cellStyle name="_0.00[2space]_LBO" xfId="90" xr:uid="{00000000-0005-0000-0000-000049000000}"/>
    <cellStyle name="_0.00[2space]_LBO_346260_4" xfId="91" xr:uid="{00000000-0005-0000-0000-00004A000000}"/>
    <cellStyle name="_0.00[3space]" xfId="92" xr:uid="{00000000-0005-0000-0000-00004B000000}"/>
    <cellStyle name="_0.00[3space]_260511_6" xfId="93" xr:uid="{00000000-0005-0000-0000-00004C000000}"/>
    <cellStyle name="_0.00[3space]_LBO" xfId="94" xr:uid="{00000000-0005-0000-0000-00004D000000}"/>
    <cellStyle name="_0.00[4space]" xfId="95" xr:uid="{00000000-0005-0000-0000-00004E000000}"/>
    <cellStyle name="_0.00[4space]_260511_6" xfId="96" xr:uid="{00000000-0005-0000-0000-00004F000000}"/>
    <cellStyle name="_0.00[4space]_LBO" xfId="97" xr:uid="{00000000-0005-0000-0000-000050000000}"/>
    <cellStyle name="_0[1space]" xfId="98" xr:uid="{00000000-0005-0000-0000-000051000000}"/>
    <cellStyle name="_0[1space]_260511_6" xfId="99" xr:uid="{00000000-0005-0000-0000-000052000000}"/>
    <cellStyle name="_0[1space]_LBO" xfId="100" xr:uid="{00000000-0005-0000-0000-000053000000}"/>
    <cellStyle name="_0[1space]_LBO_346260_4" xfId="101" xr:uid="{00000000-0005-0000-0000-000054000000}"/>
    <cellStyle name="_0[2space]" xfId="102" xr:uid="{00000000-0005-0000-0000-000055000000}"/>
    <cellStyle name="_0[2space]_260511_6" xfId="103" xr:uid="{00000000-0005-0000-0000-000056000000}"/>
    <cellStyle name="_0[2space]_LBO" xfId="104" xr:uid="{00000000-0005-0000-0000-000057000000}"/>
    <cellStyle name="_0[2space]_LBO_346260_4" xfId="105" xr:uid="{00000000-0005-0000-0000-000058000000}"/>
    <cellStyle name="_0[3space]" xfId="106" xr:uid="{00000000-0005-0000-0000-000059000000}"/>
    <cellStyle name="_0[3space]_260511_6" xfId="107" xr:uid="{00000000-0005-0000-0000-00005A000000}"/>
    <cellStyle name="_0[3space]_LBO" xfId="108" xr:uid="{00000000-0005-0000-0000-00005B000000}"/>
    <cellStyle name="_0[4space]" xfId="109" xr:uid="{00000000-0005-0000-0000-00005C000000}"/>
    <cellStyle name="_0[4space]_260511_6" xfId="110" xr:uid="{00000000-0005-0000-0000-00005D000000}"/>
    <cellStyle name="_0[4space]_LBO" xfId="111" xr:uid="{00000000-0005-0000-0000-00005E000000}"/>
    <cellStyle name="_0[4space]_LBO_339066_24" xfId="112" xr:uid="{00000000-0005-0000-0000-00005F000000}"/>
    <cellStyle name="_0[4space]_LBO_339066_24_346260_4" xfId="113" xr:uid="{00000000-0005-0000-0000-000060000000}"/>
    <cellStyle name="_187792_2" xfId="114" xr:uid="{00000000-0005-0000-0000-000061000000}"/>
    <cellStyle name="_2007 Budget Interest Expense1" xfId="115" xr:uid="{00000000-0005-0000-0000-000062000000}"/>
    <cellStyle name="_2007-2011 Cons financial statement Rev11" xfId="116" xr:uid="{00000000-0005-0000-0000-000063000000}"/>
    <cellStyle name="_2008.8.12 SLS DCF Valuation v4" xfId="117" xr:uid="{00000000-0005-0000-0000-000064000000}"/>
    <cellStyle name="_221274_11" xfId="118" xr:uid="{00000000-0005-0000-0000-000065000000}"/>
    <cellStyle name="_244968_25" xfId="119" xr:uid="{00000000-0005-0000-0000-000066000000}"/>
    <cellStyle name="_260511_6" xfId="120" xr:uid="{00000000-0005-0000-0000-000067000000}"/>
    <cellStyle name="_278260_16" xfId="121" xr:uid="{00000000-0005-0000-0000-000068000000}"/>
    <cellStyle name="_286544_4" xfId="122" xr:uid="{00000000-0005-0000-0000-000069000000}"/>
    <cellStyle name="_286877_5" xfId="123" xr:uid="{00000000-0005-0000-0000-00006A000000}"/>
    <cellStyle name="_325195_5" xfId="124" xr:uid="{00000000-0005-0000-0000-00006B000000}"/>
    <cellStyle name="_BHM Combo Model v3" xfId="125" xr:uid="{00000000-0005-0000-0000-00006C000000}"/>
    <cellStyle name="_Blue shade" xfId="126" xr:uid="{00000000-0005-0000-0000-00006D000000}"/>
    <cellStyle name="_BlueHeading" xfId="127" xr:uid="{00000000-0005-0000-0000-00006E000000}"/>
    <cellStyle name="_Comma" xfId="128" xr:uid="{00000000-0005-0000-0000-00006F000000}"/>
    <cellStyle name="_Comma_Applicazione Multipli" xfId="129" xr:uid="{00000000-0005-0000-0000-000070000000}"/>
    <cellStyle name="_Comma_Atlantic City Valuation" xfId="130" xr:uid="{00000000-0005-0000-0000-000071000000}"/>
    <cellStyle name="_Comma_AVP" xfId="131" xr:uid="{00000000-0005-0000-0000-000072000000}"/>
    <cellStyle name="_Comma_AVP_260511_6" xfId="132" xr:uid="{00000000-0005-0000-0000-000073000000}"/>
    <cellStyle name="_Comma_AVP_LBO" xfId="133" xr:uid="{00000000-0005-0000-0000-000074000000}"/>
    <cellStyle name="_Comma_AZR Model -7-21-05" xfId="134" xr:uid="{00000000-0005-0000-0000-000075000000}"/>
    <cellStyle name="_Comma_bapv" xfId="135" xr:uid="{00000000-0005-0000-0000-000076000000}"/>
    <cellStyle name="_Comma_bapv_260511_6" xfId="136" xr:uid="{00000000-0005-0000-0000-000077000000}"/>
    <cellStyle name="_Comma_bapv_LBO" xfId="137" xr:uid="{00000000-0005-0000-0000-000078000000}"/>
    <cellStyle name="_Comma_bls roic" xfId="138" xr:uid="{00000000-0005-0000-0000-000079000000}"/>
    <cellStyle name="_Comma_capital expenditures 6-18-02" xfId="139" xr:uid="{00000000-0005-0000-0000-00007A000000}"/>
    <cellStyle name="_Comma_FHRmodel" xfId="140" xr:uid="{00000000-0005-0000-0000-00007B000000}"/>
    <cellStyle name="_Comma_HOTmodel" xfId="141" xr:uid="{00000000-0005-0000-0000-00007C000000}"/>
    <cellStyle name="_Comma_IA" xfId="142" xr:uid="{00000000-0005-0000-0000-00007D000000}"/>
    <cellStyle name="_Comma_IT Services M&amp;A Market Trends" xfId="143" xr:uid="{00000000-0005-0000-0000-00007E000000}"/>
    <cellStyle name="_Comma_LVS Model" xfId="144" xr:uid="{00000000-0005-0000-0000-00007F000000}"/>
    <cellStyle name="_Comma_Merger Plan 01" xfId="145" xr:uid="{00000000-0005-0000-0000-000080000000}"/>
    <cellStyle name="_Comma_Ownership structure - UCI" xfId="146" xr:uid="{00000000-0005-0000-0000-000081000000}"/>
    <cellStyle name="_Comma_PNK One Pager v2" xfId="147" xr:uid="{00000000-0005-0000-0000-000082000000}"/>
    <cellStyle name="_Comma_RBOC historicals" xfId="148" xr:uid="{00000000-0005-0000-0000-000083000000}"/>
    <cellStyle name="_Comma_Strategic Activity in the IT Services Sector1" xfId="149" xr:uid="{00000000-0005-0000-0000-000084000000}"/>
    <cellStyle name="_Comma_Summary LR1" xfId="150" xr:uid="{00000000-0005-0000-0000-000085000000}"/>
    <cellStyle name="_Comma_Summary LR1_260511_6" xfId="151" xr:uid="{00000000-0005-0000-0000-000086000000}"/>
    <cellStyle name="_Comma_Summary LR1_LBO" xfId="152" xr:uid="{00000000-0005-0000-0000-000087000000}"/>
    <cellStyle name="_Comma_sumofparts" xfId="153" xr:uid="{00000000-0005-0000-0000-000088000000}"/>
    <cellStyle name="_Comma_T - new" xfId="154" xr:uid="{00000000-0005-0000-0000-000089000000}"/>
    <cellStyle name="_Comma_Valuation Summary" xfId="155" xr:uid="{00000000-0005-0000-0000-00008A000000}"/>
    <cellStyle name="_Comma_Valuation Summary_260511_6" xfId="156" xr:uid="{00000000-0005-0000-0000-00008B000000}"/>
    <cellStyle name="_Comma_Valuation Summary_LBO" xfId="157" xr:uid="{00000000-0005-0000-0000-00008C000000}"/>
    <cellStyle name="_Core Jul Fcst Rev1" xfId="158" xr:uid="{00000000-0005-0000-0000-00008D000000}"/>
    <cellStyle name="_Currency" xfId="159" xr:uid="{00000000-0005-0000-0000-00008E000000}"/>
    <cellStyle name="_Currency_260511_6" xfId="160" xr:uid="{00000000-0005-0000-0000-00008F000000}"/>
    <cellStyle name="_Currency_325195_5" xfId="161" xr:uid="{00000000-0005-0000-0000-000090000000}"/>
    <cellStyle name="_Currency_Applicazione Multipli" xfId="162" xr:uid="{00000000-0005-0000-0000-000091000000}"/>
    <cellStyle name="_Currency_Applicazione Multipli_260511_6" xfId="163" xr:uid="{00000000-0005-0000-0000-000092000000}"/>
    <cellStyle name="_Currency_Applicazione Multipli_LBO" xfId="164" xr:uid="{00000000-0005-0000-0000-000093000000}"/>
    <cellStyle name="_Currency_Applicazione Multipli_LBO_346260_4" xfId="165" xr:uid="{00000000-0005-0000-0000-000094000000}"/>
    <cellStyle name="_Currency_AT" xfId="166" xr:uid="{00000000-0005-0000-0000-000095000000}"/>
    <cellStyle name="_Currency_Atlantic City Valuation" xfId="167" xr:uid="{00000000-0005-0000-0000-000096000000}"/>
    <cellStyle name="_Currency_AVP" xfId="168" xr:uid="{00000000-0005-0000-0000-000097000000}"/>
    <cellStyle name="_Currency_AVP_260511_6" xfId="169" xr:uid="{00000000-0005-0000-0000-000098000000}"/>
    <cellStyle name="_Currency_AVP_LBO" xfId="170" xr:uid="{00000000-0005-0000-0000-000099000000}"/>
    <cellStyle name="_Currency_AWE" xfId="171" xr:uid="{00000000-0005-0000-0000-00009A000000}"/>
    <cellStyle name="_Currency_AZR Model -7-21-05" xfId="172" xr:uid="{00000000-0005-0000-0000-00009B000000}"/>
    <cellStyle name="_Currency_bapv" xfId="173" xr:uid="{00000000-0005-0000-0000-00009C000000}"/>
    <cellStyle name="_Currency_bapv_260511_6" xfId="174" xr:uid="{00000000-0005-0000-0000-00009D000000}"/>
    <cellStyle name="_Currency_bapv_LBO" xfId="175" xr:uid="{00000000-0005-0000-0000-00009E000000}"/>
    <cellStyle name="_Currency_BLS" xfId="176" xr:uid="{00000000-0005-0000-0000-00009F000000}"/>
    <cellStyle name="_Currency_bls roic" xfId="177" xr:uid="{00000000-0005-0000-0000-0000A0000000}"/>
    <cellStyle name="_Currency_Book1" xfId="178" xr:uid="{00000000-0005-0000-0000-0000A1000000}"/>
    <cellStyle name="_Currency_Book1_260511_6" xfId="179" xr:uid="{00000000-0005-0000-0000-0000A2000000}"/>
    <cellStyle name="_Currency_Book1_LBO" xfId="180" xr:uid="{00000000-0005-0000-0000-0000A3000000}"/>
    <cellStyle name="_Currency_Book1_LBO_346260_4" xfId="181" xr:uid="{00000000-0005-0000-0000-0000A4000000}"/>
    <cellStyle name="_Currency_Book1_Merger Plan" xfId="182" xr:uid="{00000000-0005-0000-0000-0000A5000000}"/>
    <cellStyle name="_Currency_Book1_Merger Plan_260511_6" xfId="183" xr:uid="{00000000-0005-0000-0000-0000A6000000}"/>
    <cellStyle name="_Currency_Book1_Merger Plan_LBO" xfId="184" xr:uid="{00000000-0005-0000-0000-0000A7000000}"/>
    <cellStyle name="_Currency_Book1_Merger Plan_LBO_346260_4" xfId="185" xr:uid="{00000000-0005-0000-0000-0000A8000000}"/>
    <cellStyle name="_Currency_Book2" xfId="186" xr:uid="{00000000-0005-0000-0000-0000A9000000}"/>
    <cellStyle name="_Currency_Book2_260511_6" xfId="187" xr:uid="{00000000-0005-0000-0000-0000AA000000}"/>
    <cellStyle name="_Currency_Book2_LBO" xfId="188" xr:uid="{00000000-0005-0000-0000-0000AB000000}"/>
    <cellStyle name="_Currency_Book2_LBO_346260_4" xfId="189" xr:uid="{00000000-0005-0000-0000-0000AC000000}"/>
    <cellStyle name="_Currency_Book2_Merger Plan" xfId="190" xr:uid="{00000000-0005-0000-0000-0000AD000000}"/>
    <cellStyle name="_Currency_Book2_Merger Plan_260511_6" xfId="191" xr:uid="{00000000-0005-0000-0000-0000AE000000}"/>
    <cellStyle name="_Currency_Book2_Merger Plan_LBO" xfId="192" xr:uid="{00000000-0005-0000-0000-0000AF000000}"/>
    <cellStyle name="_Currency_Book2_Merger Plan_LBO_346260_4" xfId="193" xr:uid="{00000000-0005-0000-0000-0000B0000000}"/>
    <cellStyle name="_Currency_Book32" xfId="194" xr:uid="{00000000-0005-0000-0000-0000B1000000}"/>
    <cellStyle name="_Currency_capital expenditures 6-18-02" xfId="195" xr:uid="{00000000-0005-0000-0000-0000B2000000}"/>
    <cellStyle name="_Currency_Cingular" xfId="196" xr:uid="{00000000-0005-0000-0000-0000B3000000}"/>
    <cellStyle name="_Currency_Contribution Analysis" xfId="197" xr:uid="{00000000-0005-0000-0000-0000B4000000}"/>
    <cellStyle name="_Currency_Contribution Analysis_260511_6" xfId="198" xr:uid="{00000000-0005-0000-0000-0000B5000000}"/>
    <cellStyle name="_Currency_Contribution Analysis_LBO" xfId="199" xr:uid="{00000000-0005-0000-0000-0000B6000000}"/>
    <cellStyle name="_Currency_Contribution Analysis_LBO_346260_4" xfId="200" xr:uid="{00000000-0005-0000-0000-0000B7000000}"/>
    <cellStyle name="_Currency_CSC Banche new1" xfId="201" xr:uid="{00000000-0005-0000-0000-0000B8000000}"/>
    <cellStyle name="_Currency_CSC Banche new1_260511_6" xfId="202" xr:uid="{00000000-0005-0000-0000-0000B9000000}"/>
    <cellStyle name="_Currency_CSC Banche new1_LBO" xfId="203" xr:uid="{00000000-0005-0000-0000-0000BA000000}"/>
    <cellStyle name="_Currency_CSC Banche new1_LBO_346260_4" xfId="204" xr:uid="{00000000-0005-0000-0000-0000BB000000}"/>
    <cellStyle name="_Currency_FHRmodel" xfId="205" xr:uid="{00000000-0005-0000-0000-0000BC000000}"/>
    <cellStyle name="_Currency_Financials" xfId="206" xr:uid="{00000000-0005-0000-0000-0000BD000000}"/>
    <cellStyle name="_Currency_Financials_260511_6" xfId="207" xr:uid="{00000000-0005-0000-0000-0000BE000000}"/>
    <cellStyle name="_Currency_Financials_LBO" xfId="208" xr:uid="{00000000-0005-0000-0000-0000BF000000}"/>
    <cellStyle name="_Currency_FON" xfId="209" xr:uid="{00000000-0005-0000-0000-0000C0000000}"/>
    <cellStyle name="_Currency_HOTmodel" xfId="210" xr:uid="{00000000-0005-0000-0000-0000C1000000}"/>
    <cellStyle name="_Currency_IA" xfId="211" xr:uid="{00000000-0005-0000-0000-0000C2000000}"/>
    <cellStyle name="_Currency_IT Services M&amp;A Market Trends" xfId="212" xr:uid="{00000000-0005-0000-0000-0000C3000000}"/>
    <cellStyle name="_Currency_LBO" xfId="213" xr:uid="{00000000-0005-0000-0000-0000C4000000}"/>
    <cellStyle name="_Currency_LBO_346260_4" xfId="214" xr:uid="{00000000-0005-0000-0000-0000C5000000}"/>
    <cellStyle name="_Currency_LVS Model" xfId="215" xr:uid="{00000000-0005-0000-0000-0000C6000000}"/>
    <cellStyle name="_Currency_Merger Plan" xfId="216" xr:uid="{00000000-0005-0000-0000-0000C7000000}"/>
    <cellStyle name="_Currency_Merger Plan 01" xfId="217" xr:uid="{00000000-0005-0000-0000-0000C8000000}"/>
    <cellStyle name="_Currency_Merger Plan 01_260511_6" xfId="218" xr:uid="{00000000-0005-0000-0000-0000C9000000}"/>
    <cellStyle name="_Currency_Merger Plan 01_LBO" xfId="219" xr:uid="{00000000-0005-0000-0000-0000CA000000}"/>
    <cellStyle name="_Currency_Merger Plan A" xfId="220" xr:uid="{00000000-0005-0000-0000-0000CB000000}"/>
    <cellStyle name="_Currency_Merger Plan A_260511_6" xfId="221" xr:uid="{00000000-0005-0000-0000-0000CC000000}"/>
    <cellStyle name="_Currency_Merger Plan A_LBO" xfId="222" xr:uid="{00000000-0005-0000-0000-0000CD000000}"/>
    <cellStyle name="_Currency_Merger Plan A_LBO_346260_4" xfId="223" xr:uid="{00000000-0005-0000-0000-0000CE000000}"/>
    <cellStyle name="_Currency_Merger Plan A_Merger Plan" xfId="224" xr:uid="{00000000-0005-0000-0000-0000CF000000}"/>
    <cellStyle name="_Currency_Merger Plan A_Merger Plan_260511_6" xfId="225" xr:uid="{00000000-0005-0000-0000-0000D0000000}"/>
    <cellStyle name="_Currency_Merger Plan A_Merger Plan_LBO" xfId="226" xr:uid="{00000000-0005-0000-0000-0000D1000000}"/>
    <cellStyle name="_Currency_Merger Plan A_Merger Plan_LBO_346260_4" xfId="227" xr:uid="{00000000-0005-0000-0000-0000D2000000}"/>
    <cellStyle name="_Currency_Merger Plan SP_CA" xfId="228" xr:uid="{00000000-0005-0000-0000-0000D3000000}"/>
    <cellStyle name="_Currency_Merger Plan SP_CA_260511_6" xfId="229" xr:uid="{00000000-0005-0000-0000-0000D4000000}"/>
    <cellStyle name="_Currency_Merger Plan SP_CA_LBO" xfId="230" xr:uid="{00000000-0005-0000-0000-0000D5000000}"/>
    <cellStyle name="_Currency_Merger Plan SP_CA_LBO_346260_4" xfId="231" xr:uid="{00000000-0005-0000-0000-0000D6000000}"/>
    <cellStyle name="_Currency_Merger Plan_260511_6" xfId="232" xr:uid="{00000000-0005-0000-0000-0000D7000000}"/>
    <cellStyle name="_Currency_Merger Plan_LBO" xfId="233" xr:uid="{00000000-0005-0000-0000-0000D8000000}"/>
    <cellStyle name="_Currency_Merger Plan_LBO_346260_4" xfId="234" xr:uid="{00000000-0005-0000-0000-0000D9000000}"/>
    <cellStyle name="_Currency_NXTL" xfId="235" xr:uid="{00000000-0005-0000-0000-0000DA000000}"/>
    <cellStyle name="_Currency_Ownership structure - UCI" xfId="236" xr:uid="{00000000-0005-0000-0000-0000DB000000}"/>
    <cellStyle name="_Currency_Ownership structure - UCI_260511_6" xfId="237" xr:uid="{00000000-0005-0000-0000-0000DC000000}"/>
    <cellStyle name="_Currency_Ownership structure - UCI_LBO" xfId="238" xr:uid="{00000000-0005-0000-0000-0000DD000000}"/>
    <cellStyle name="_Currency_PCS" xfId="239" xr:uid="{00000000-0005-0000-0000-0000DE000000}"/>
    <cellStyle name="_Currency_PNK One Pager v2" xfId="240" xr:uid="{00000000-0005-0000-0000-0000DF000000}"/>
    <cellStyle name="_Currency_Pro Forma AVP" xfId="241" xr:uid="{00000000-0005-0000-0000-0000E0000000}"/>
    <cellStyle name="_Currency_Pro Forma AVP_260511_6" xfId="242" xr:uid="{00000000-0005-0000-0000-0000E1000000}"/>
    <cellStyle name="_Currency_Pro Forma AVP_LBO" xfId="243" xr:uid="{00000000-0005-0000-0000-0000E2000000}"/>
    <cellStyle name="_Currency_Proforma Shareholders" xfId="244" xr:uid="{00000000-0005-0000-0000-0000E3000000}"/>
    <cellStyle name="_Currency_Proforma Shareholders_260511_6" xfId="245" xr:uid="{00000000-0005-0000-0000-0000E4000000}"/>
    <cellStyle name="_Currency_Proforma Shareholders_LBO" xfId="246" xr:uid="{00000000-0005-0000-0000-0000E5000000}"/>
    <cellStyle name="_Currency_Proforma Shareholders_LBO_346260_4" xfId="247" xr:uid="{00000000-0005-0000-0000-0000E6000000}"/>
    <cellStyle name="_Currency_Proforma Shareholders_Merger Plan" xfId="248" xr:uid="{00000000-0005-0000-0000-0000E7000000}"/>
    <cellStyle name="_Currency_Proforma Shareholders_Merger Plan_260511_6" xfId="249" xr:uid="{00000000-0005-0000-0000-0000E8000000}"/>
    <cellStyle name="_Currency_Proforma Shareholders_Merger Plan_LBO" xfId="250" xr:uid="{00000000-0005-0000-0000-0000E9000000}"/>
    <cellStyle name="_Currency_Proforma Shareholders_Merger Plan_LBO_346260_4" xfId="251" xr:uid="{00000000-0005-0000-0000-0000EA000000}"/>
    <cellStyle name="_Currency_RBOC historicals" xfId="252" xr:uid="{00000000-0005-0000-0000-0000EB000000}"/>
    <cellStyle name="_Currency_Share Prices" xfId="253" xr:uid="{00000000-0005-0000-0000-0000EC000000}"/>
    <cellStyle name="_Currency_Share Prices_260511_6" xfId="254" xr:uid="{00000000-0005-0000-0000-0000ED000000}"/>
    <cellStyle name="_Currency_Share Prices_LBO" xfId="255" xr:uid="{00000000-0005-0000-0000-0000EE000000}"/>
    <cellStyle name="_Currency_Share Prices_LBO_346260_4" xfId="256" xr:uid="{00000000-0005-0000-0000-0000EF000000}"/>
    <cellStyle name="_Currency_Share Prices_Merger Plan" xfId="257" xr:uid="{00000000-0005-0000-0000-0000F0000000}"/>
    <cellStyle name="_Currency_Share Prices_Merger Plan_260511_6" xfId="258" xr:uid="{00000000-0005-0000-0000-0000F1000000}"/>
    <cellStyle name="_Currency_Share Prices_Merger Plan_LBO" xfId="259" xr:uid="{00000000-0005-0000-0000-0000F2000000}"/>
    <cellStyle name="_Currency_Share Prices_Merger Plan_LBO_346260_4" xfId="260" xr:uid="{00000000-0005-0000-0000-0000F3000000}"/>
    <cellStyle name="_Currency_shareholders" xfId="261" xr:uid="{00000000-0005-0000-0000-0000F4000000}"/>
    <cellStyle name="_Currency_shareholders new" xfId="262" xr:uid="{00000000-0005-0000-0000-0000F5000000}"/>
    <cellStyle name="_Currency_shareholders new_260511_6" xfId="263" xr:uid="{00000000-0005-0000-0000-0000F6000000}"/>
    <cellStyle name="_Currency_shareholders new_LBO" xfId="264" xr:uid="{00000000-0005-0000-0000-0000F7000000}"/>
    <cellStyle name="_Currency_shareholders new_LBO_346260_4" xfId="265" xr:uid="{00000000-0005-0000-0000-0000F8000000}"/>
    <cellStyle name="_Currency_shareholders_260511_6" xfId="266" xr:uid="{00000000-0005-0000-0000-0000F9000000}"/>
    <cellStyle name="_Currency_shareholders_LBO" xfId="267" xr:uid="{00000000-0005-0000-0000-0000FA000000}"/>
    <cellStyle name="_Currency_shareholders_LBO_346260_4" xfId="268" xr:uid="{00000000-0005-0000-0000-0000FB000000}"/>
    <cellStyle name="_Currency_shareholders_Merger Plan" xfId="269" xr:uid="{00000000-0005-0000-0000-0000FC000000}"/>
    <cellStyle name="_Currency_shareholders_Merger Plan_260511_6" xfId="270" xr:uid="{00000000-0005-0000-0000-0000FD000000}"/>
    <cellStyle name="_Currency_shareholders_Merger Plan_LBO" xfId="271" xr:uid="{00000000-0005-0000-0000-0000FE000000}"/>
    <cellStyle name="_Currency_shareholders_Merger Plan_LBO_346260_4" xfId="272" xr:uid="{00000000-0005-0000-0000-0000FF000000}"/>
    <cellStyle name="_Currency_Strategic Activity in the IT Services Sector1" xfId="273" xr:uid="{00000000-0005-0000-0000-000000010000}"/>
    <cellStyle name="_Currency_Summary LR1" xfId="274" xr:uid="{00000000-0005-0000-0000-000001010000}"/>
    <cellStyle name="_Currency_Summary LR1_260511_6" xfId="275" xr:uid="{00000000-0005-0000-0000-000002010000}"/>
    <cellStyle name="_Currency_Summary LR1_LBO" xfId="276" xr:uid="{00000000-0005-0000-0000-000003010000}"/>
    <cellStyle name="_Currency_sumofparts" xfId="277" xr:uid="{00000000-0005-0000-0000-000004010000}"/>
    <cellStyle name="_Currency_T - new" xfId="278" xr:uid="{00000000-0005-0000-0000-000005010000}"/>
    <cellStyle name="_Currency_Valuation Summary" xfId="279" xr:uid="{00000000-0005-0000-0000-000006010000}"/>
    <cellStyle name="_Currency_Valuation Summary_260511_6" xfId="280" xr:uid="{00000000-0005-0000-0000-000007010000}"/>
    <cellStyle name="_Currency_Valuation Summary_LBO" xfId="281" xr:uid="{00000000-0005-0000-0000-000008010000}"/>
    <cellStyle name="_Currency_VZ" xfId="282" xr:uid="{00000000-0005-0000-0000-000009010000}"/>
    <cellStyle name="_Currency_VZW" xfId="283" xr:uid="{00000000-0005-0000-0000-00000A010000}"/>
    <cellStyle name="_CurrencySpace" xfId="284" xr:uid="{00000000-0005-0000-0000-00000B010000}"/>
    <cellStyle name="_CurrencySpace_Applicazione Multipli" xfId="285" xr:uid="{00000000-0005-0000-0000-00000C010000}"/>
    <cellStyle name="_CurrencySpace_Atlantic City Valuation" xfId="286" xr:uid="{00000000-0005-0000-0000-00000D010000}"/>
    <cellStyle name="_CurrencySpace_AVP" xfId="287" xr:uid="{00000000-0005-0000-0000-00000E010000}"/>
    <cellStyle name="_CurrencySpace_AVP_260511_6" xfId="288" xr:uid="{00000000-0005-0000-0000-00000F010000}"/>
    <cellStyle name="_CurrencySpace_AVP_LBO" xfId="289" xr:uid="{00000000-0005-0000-0000-000010010000}"/>
    <cellStyle name="_CurrencySpace_AZR Model -7-21-05" xfId="290" xr:uid="{00000000-0005-0000-0000-000011010000}"/>
    <cellStyle name="_CurrencySpace_bapv" xfId="291" xr:uid="{00000000-0005-0000-0000-000012010000}"/>
    <cellStyle name="_CurrencySpace_bapv_260511_6" xfId="292" xr:uid="{00000000-0005-0000-0000-000013010000}"/>
    <cellStyle name="_CurrencySpace_bapv_LBO" xfId="293" xr:uid="{00000000-0005-0000-0000-000014010000}"/>
    <cellStyle name="_CurrencySpace_bls roic" xfId="294" xr:uid="{00000000-0005-0000-0000-000015010000}"/>
    <cellStyle name="_CurrencySpace_capital expenditures 6-18-02" xfId="295" xr:uid="{00000000-0005-0000-0000-000016010000}"/>
    <cellStyle name="_CurrencySpace_FHRmodel" xfId="296" xr:uid="{00000000-0005-0000-0000-000017010000}"/>
    <cellStyle name="_CurrencySpace_HOTmodel" xfId="297" xr:uid="{00000000-0005-0000-0000-000018010000}"/>
    <cellStyle name="_CurrencySpace_IA" xfId="298" xr:uid="{00000000-0005-0000-0000-000019010000}"/>
    <cellStyle name="_CurrencySpace_IT Services M&amp;A Market Trends" xfId="299" xr:uid="{00000000-0005-0000-0000-00001A010000}"/>
    <cellStyle name="_CurrencySpace_LVS Model" xfId="300" xr:uid="{00000000-0005-0000-0000-00001B010000}"/>
    <cellStyle name="_CurrencySpace_Merger Plan 01" xfId="301" xr:uid="{00000000-0005-0000-0000-00001C010000}"/>
    <cellStyle name="_CurrencySpace_Ownership structure - UCI" xfId="302" xr:uid="{00000000-0005-0000-0000-00001D010000}"/>
    <cellStyle name="_CurrencySpace_PNK One Pager v2" xfId="303" xr:uid="{00000000-0005-0000-0000-00001E010000}"/>
    <cellStyle name="_CurrencySpace_RBOC historicals" xfId="304" xr:uid="{00000000-0005-0000-0000-00001F010000}"/>
    <cellStyle name="_CurrencySpace_Strategic Activity in the IT Services Sector1" xfId="305" xr:uid="{00000000-0005-0000-0000-000020010000}"/>
    <cellStyle name="_CurrencySpace_Summary LR1" xfId="306" xr:uid="{00000000-0005-0000-0000-000021010000}"/>
    <cellStyle name="_CurrencySpace_Summary LR1_260511_6" xfId="307" xr:uid="{00000000-0005-0000-0000-000022010000}"/>
    <cellStyle name="_CurrencySpace_Summary LR1_LBO" xfId="308" xr:uid="{00000000-0005-0000-0000-000023010000}"/>
    <cellStyle name="_CurrencySpace_sumofparts" xfId="309" xr:uid="{00000000-0005-0000-0000-000024010000}"/>
    <cellStyle name="_CurrencySpace_T - new" xfId="310" xr:uid="{00000000-0005-0000-0000-000025010000}"/>
    <cellStyle name="_CurrencySpace_Valuation Summary" xfId="311" xr:uid="{00000000-0005-0000-0000-000026010000}"/>
    <cellStyle name="_CurrencySpace_Valuation Summary_260511_6" xfId="312" xr:uid="{00000000-0005-0000-0000-000027010000}"/>
    <cellStyle name="_CurrencySpace_Valuation Summary_LBO" xfId="313" xr:uid="{00000000-0005-0000-0000-000028010000}"/>
    <cellStyle name="_Dollar" xfId="314" xr:uid="{00000000-0005-0000-0000-000029010000}"/>
    <cellStyle name="_Dollar_260511_6" xfId="315" xr:uid="{00000000-0005-0000-0000-00002A010000}"/>
    <cellStyle name="_Dollar_LBO" xfId="316" xr:uid="{00000000-0005-0000-0000-00002B010000}"/>
    <cellStyle name="_Dollar_LBO_346260_4" xfId="317" xr:uid="{00000000-0005-0000-0000-00002C010000}"/>
    <cellStyle name="_Dollar_Merger_Plans_Stockholm_799 revised02" xfId="318" xr:uid="{00000000-0005-0000-0000-00002D010000}"/>
    <cellStyle name="_Dollar_Merger_Plans_Stockholm_799 revised02_260511_6" xfId="319" xr:uid="{00000000-0005-0000-0000-00002E010000}"/>
    <cellStyle name="_Dollar_Merger_Plans_Stockholm_799 revised02_LBO" xfId="320" xr:uid="{00000000-0005-0000-0000-00002F010000}"/>
    <cellStyle name="_Dollar_qwst2, 1-16" xfId="321" xr:uid="{00000000-0005-0000-0000-000030010000}"/>
    <cellStyle name="_Dollar_qwst2, 1-16_260511_6" xfId="322" xr:uid="{00000000-0005-0000-0000-000031010000}"/>
    <cellStyle name="_Dollar_qwst2, 1-16_LBO" xfId="323" xr:uid="{00000000-0005-0000-0000-000032010000}"/>
    <cellStyle name="_EntELR0706 Rev1" xfId="324" xr:uid="{00000000-0005-0000-0000-000033010000}"/>
    <cellStyle name="_Euro" xfId="325" xr:uid="{00000000-0005-0000-0000-000034010000}"/>
    <cellStyle name="_Euro_260511_6" xfId="326" xr:uid="{00000000-0005-0000-0000-000035010000}"/>
    <cellStyle name="_Euro_325195_5" xfId="327" xr:uid="{00000000-0005-0000-0000-000036010000}"/>
    <cellStyle name="_Euro_LBO" xfId="328" xr:uid="{00000000-0005-0000-0000-000037010000}"/>
    <cellStyle name="_Euro_Request Template" xfId="329" xr:uid="{00000000-0005-0000-0000-000038010000}"/>
    <cellStyle name="_Forecast Detail by Month Rev1" xfId="330" xr:uid="{00000000-0005-0000-0000-000039010000}"/>
    <cellStyle name="_HeaderBlue" xfId="331" xr:uid="{00000000-0005-0000-0000-00003A010000}"/>
    <cellStyle name="_Heading" xfId="332" xr:uid="{00000000-0005-0000-0000-00003B010000}"/>
    <cellStyle name="_Heading_Atlantic City Valuation" xfId="333" xr:uid="{00000000-0005-0000-0000-00003C010000}"/>
    <cellStyle name="_Heading_AZR Model -7-21-05" xfId="334" xr:uid="{00000000-0005-0000-0000-00003D010000}"/>
    <cellStyle name="_Heading_BLS" xfId="335" xr:uid="{00000000-0005-0000-0000-00003E010000}"/>
    <cellStyle name="_Heading_bls roic" xfId="336" xr:uid="{00000000-0005-0000-0000-00003F010000}"/>
    <cellStyle name="_Heading_Book9" xfId="337" xr:uid="{00000000-0005-0000-0000-000040010000}"/>
    <cellStyle name="_Heading_Broadband Comps" xfId="338" xr:uid="{00000000-0005-0000-0000-000041010000}"/>
    <cellStyle name="_Heading_capital expenditures 6-18-02" xfId="339" xr:uid="{00000000-0005-0000-0000-000042010000}"/>
    <cellStyle name="_Heading_CTCO" xfId="340" xr:uid="{00000000-0005-0000-0000-000043010000}"/>
    <cellStyle name="_Heading_HOTmodel" xfId="341" xr:uid="{00000000-0005-0000-0000-000044010000}"/>
    <cellStyle name="_Heading_IA" xfId="342" xr:uid="{00000000-0005-0000-0000-000045010000}"/>
    <cellStyle name="_Heading_LVS Model" xfId="343" xr:uid="{00000000-0005-0000-0000-000046010000}"/>
    <cellStyle name="_Heading_PNK One Pager v2" xfId="344" xr:uid="{00000000-0005-0000-0000-000047010000}"/>
    <cellStyle name="_Heading_prestemp" xfId="345" xr:uid="{00000000-0005-0000-0000-000048010000}"/>
    <cellStyle name="_Heading_Q" xfId="346" xr:uid="{00000000-0005-0000-0000-000049010000}"/>
    <cellStyle name="_Heading_q - new guidance" xfId="347" xr:uid="{00000000-0005-0000-0000-00004A010000}"/>
    <cellStyle name="_Heading_q - valuation" xfId="348" xr:uid="{00000000-0005-0000-0000-00004B010000}"/>
    <cellStyle name="_Heading_Q model_041802" xfId="349" xr:uid="{00000000-0005-0000-0000-00004C010000}"/>
    <cellStyle name="_Heading_Q_update" xfId="350" xr:uid="{00000000-0005-0000-0000-00004D010000}"/>
    <cellStyle name="_Heading_Qwest Analysis" xfId="351" xr:uid="{00000000-0005-0000-0000-00004E010000}"/>
    <cellStyle name="_Heading_RBOC historicals" xfId="352" xr:uid="{00000000-0005-0000-0000-00004F010000}"/>
    <cellStyle name="_Heading_sumofparts" xfId="353" xr:uid="{00000000-0005-0000-0000-000050010000}"/>
    <cellStyle name="_Heading_T - new" xfId="354" xr:uid="{00000000-0005-0000-0000-000051010000}"/>
    <cellStyle name="_Heading_VZ" xfId="355" xr:uid="{00000000-0005-0000-0000-000052010000}"/>
    <cellStyle name="_Headline" xfId="356" xr:uid="{00000000-0005-0000-0000-000053010000}"/>
    <cellStyle name="_Highlight" xfId="357" xr:uid="{00000000-0005-0000-0000-000054010000}"/>
    <cellStyle name="_LBO" xfId="358" xr:uid="{00000000-0005-0000-0000-000055010000}"/>
    <cellStyle name="_May Flash Ent" xfId="359" xr:uid="{00000000-0005-0000-0000-000056010000}"/>
    <cellStyle name="_May Flash Package Prelim Disc Ops from Planning" xfId="360" xr:uid="{00000000-0005-0000-0000-000057010000}"/>
    <cellStyle name="_May Flash Package Prelim Values2" xfId="361" xr:uid="{00000000-0005-0000-0000-000058010000}"/>
    <cellStyle name="_Multiple" xfId="362" xr:uid="{00000000-0005-0000-0000-000059010000}"/>
    <cellStyle name="_Multiple_260511_6" xfId="363" xr:uid="{00000000-0005-0000-0000-00005A010000}"/>
    <cellStyle name="_Multiple_325195_5" xfId="364" xr:uid="{00000000-0005-0000-0000-00005B010000}"/>
    <cellStyle name="_Multiple_Applicazione Multipli" xfId="365" xr:uid="{00000000-0005-0000-0000-00005C010000}"/>
    <cellStyle name="_Multiple_Applicazione Multipli_260511_6" xfId="366" xr:uid="{00000000-0005-0000-0000-00005D010000}"/>
    <cellStyle name="_Multiple_Applicazione Multipli_LBO" xfId="367" xr:uid="{00000000-0005-0000-0000-00005E010000}"/>
    <cellStyle name="_Multiple_Atlantic City Valuation" xfId="368" xr:uid="{00000000-0005-0000-0000-00005F010000}"/>
    <cellStyle name="_Multiple_AVP" xfId="369" xr:uid="{00000000-0005-0000-0000-000060010000}"/>
    <cellStyle name="_Multiple_AVP_260511_6" xfId="370" xr:uid="{00000000-0005-0000-0000-000061010000}"/>
    <cellStyle name="_Multiple_AVP_LBO" xfId="371" xr:uid="{00000000-0005-0000-0000-000062010000}"/>
    <cellStyle name="_Multiple_AZR Model -7-21-05" xfId="372" xr:uid="{00000000-0005-0000-0000-000063010000}"/>
    <cellStyle name="_Multiple_bapv" xfId="373" xr:uid="{00000000-0005-0000-0000-000064010000}"/>
    <cellStyle name="_Multiple_bapv_260511_6" xfId="374" xr:uid="{00000000-0005-0000-0000-000065010000}"/>
    <cellStyle name="_Multiple_bapv_LBO" xfId="375" xr:uid="{00000000-0005-0000-0000-000066010000}"/>
    <cellStyle name="_Multiple_bls roic" xfId="376" xr:uid="{00000000-0005-0000-0000-000067010000}"/>
    <cellStyle name="_Multiple_capital expenditures 6-18-02" xfId="377" xr:uid="{00000000-0005-0000-0000-000068010000}"/>
    <cellStyle name="_Multiple_FHRmodel" xfId="378" xr:uid="{00000000-0005-0000-0000-000069010000}"/>
    <cellStyle name="_Multiple_HOTmodel" xfId="379" xr:uid="{00000000-0005-0000-0000-00006A010000}"/>
    <cellStyle name="_Multiple_IA" xfId="380" xr:uid="{00000000-0005-0000-0000-00006B010000}"/>
    <cellStyle name="_Multiple_IT Services M&amp;A Market Trends" xfId="381" xr:uid="{00000000-0005-0000-0000-00006C010000}"/>
    <cellStyle name="_Multiple_LBO" xfId="382" xr:uid="{00000000-0005-0000-0000-00006D010000}"/>
    <cellStyle name="_Multiple_LVS Model" xfId="383" xr:uid="{00000000-0005-0000-0000-00006E010000}"/>
    <cellStyle name="_Multiple_Merger Plan 01" xfId="384" xr:uid="{00000000-0005-0000-0000-00006F010000}"/>
    <cellStyle name="_Multiple_Merger Plan 01_260511_6" xfId="385" xr:uid="{00000000-0005-0000-0000-000070010000}"/>
    <cellStyle name="_Multiple_Merger Plan 01_LBO" xfId="386" xr:uid="{00000000-0005-0000-0000-000071010000}"/>
    <cellStyle name="_Multiple_Ownership structure - UCI" xfId="387" xr:uid="{00000000-0005-0000-0000-000072010000}"/>
    <cellStyle name="_Multiple_Ownership structure - UCI_260511_6" xfId="388" xr:uid="{00000000-0005-0000-0000-000073010000}"/>
    <cellStyle name="_Multiple_Ownership structure - UCI_LBO" xfId="389" xr:uid="{00000000-0005-0000-0000-000074010000}"/>
    <cellStyle name="_Multiple_PNK One Pager v2" xfId="390" xr:uid="{00000000-0005-0000-0000-000075010000}"/>
    <cellStyle name="_Multiple_RBOC historicals" xfId="391" xr:uid="{00000000-0005-0000-0000-000076010000}"/>
    <cellStyle name="_Multiple_Strategic Activity in the IT Services Sector1" xfId="392" xr:uid="{00000000-0005-0000-0000-000077010000}"/>
    <cellStyle name="_Multiple_Summary LR1" xfId="393" xr:uid="{00000000-0005-0000-0000-000078010000}"/>
    <cellStyle name="_Multiple_Summary LR1_260511_6" xfId="394" xr:uid="{00000000-0005-0000-0000-000079010000}"/>
    <cellStyle name="_Multiple_Summary LR1_LBO" xfId="395" xr:uid="{00000000-0005-0000-0000-00007A010000}"/>
    <cellStyle name="_Multiple_sumofparts" xfId="396" xr:uid="{00000000-0005-0000-0000-00007B010000}"/>
    <cellStyle name="_Multiple_T - new" xfId="397" xr:uid="{00000000-0005-0000-0000-00007C010000}"/>
    <cellStyle name="_Multiple_Valuation Summary" xfId="398" xr:uid="{00000000-0005-0000-0000-00007D010000}"/>
    <cellStyle name="_Multiple_Valuation Summary_260511_6" xfId="399" xr:uid="{00000000-0005-0000-0000-00007E010000}"/>
    <cellStyle name="_Multiple_Valuation Summary_LBO" xfId="400" xr:uid="{00000000-0005-0000-0000-00007F010000}"/>
    <cellStyle name="_MultipleSpace" xfId="401" xr:uid="{00000000-0005-0000-0000-000080010000}"/>
    <cellStyle name="_MultipleSpace_260511_6" xfId="402" xr:uid="{00000000-0005-0000-0000-000081010000}"/>
    <cellStyle name="_MultipleSpace_325195_5" xfId="403" xr:uid="{00000000-0005-0000-0000-000082010000}"/>
    <cellStyle name="_MultipleSpace_Analysis of Generali Offer" xfId="404" xr:uid="{00000000-0005-0000-0000-000083010000}"/>
    <cellStyle name="_MultipleSpace_Analysis of Generali Offer_260511_6" xfId="405" xr:uid="{00000000-0005-0000-0000-000084010000}"/>
    <cellStyle name="_MultipleSpace_Analysis of Generali Offer_LBO" xfId="406" xr:uid="{00000000-0005-0000-0000-000085010000}"/>
    <cellStyle name="_MultipleSpace_Applicazione Multipli" xfId="407" xr:uid="{00000000-0005-0000-0000-000086010000}"/>
    <cellStyle name="_MultipleSpace_Applicazione Multipli_260511_6" xfId="408" xr:uid="{00000000-0005-0000-0000-000087010000}"/>
    <cellStyle name="_MultipleSpace_Applicazione Multipli_LBO" xfId="409" xr:uid="{00000000-0005-0000-0000-000088010000}"/>
    <cellStyle name="_MultipleSpace_Atlantic City Valuation" xfId="410" xr:uid="{00000000-0005-0000-0000-000089010000}"/>
    <cellStyle name="_MultipleSpace_AVP" xfId="411" xr:uid="{00000000-0005-0000-0000-00008A010000}"/>
    <cellStyle name="_MultipleSpace_AVP_260511_6" xfId="412" xr:uid="{00000000-0005-0000-0000-00008B010000}"/>
    <cellStyle name="_MultipleSpace_AVP_LBO" xfId="413" xr:uid="{00000000-0005-0000-0000-00008C010000}"/>
    <cellStyle name="_MultipleSpace_AZR Model -7-21-05" xfId="414" xr:uid="{00000000-0005-0000-0000-00008D010000}"/>
    <cellStyle name="_MultipleSpace_bapv" xfId="415" xr:uid="{00000000-0005-0000-0000-00008E010000}"/>
    <cellStyle name="_MultipleSpace_bapv_260511_6" xfId="416" xr:uid="{00000000-0005-0000-0000-00008F010000}"/>
    <cellStyle name="_MultipleSpace_bapv_LBO" xfId="417" xr:uid="{00000000-0005-0000-0000-000090010000}"/>
    <cellStyle name="_MultipleSpace_bls roic" xfId="418" xr:uid="{00000000-0005-0000-0000-000091010000}"/>
    <cellStyle name="_MultipleSpace_capital expenditures 6-18-02" xfId="419" xr:uid="{00000000-0005-0000-0000-000092010000}"/>
    <cellStyle name="_MultipleSpace_FHRmodel" xfId="420" xr:uid="{00000000-0005-0000-0000-000093010000}"/>
    <cellStyle name="_MultipleSpace_HOTmodel" xfId="421" xr:uid="{00000000-0005-0000-0000-000094010000}"/>
    <cellStyle name="_MultipleSpace_IA" xfId="422" xr:uid="{00000000-0005-0000-0000-000095010000}"/>
    <cellStyle name="_MultipleSpace_IT Services M&amp;A Market Trends" xfId="423" xr:uid="{00000000-0005-0000-0000-000096010000}"/>
    <cellStyle name="_MultipleSpace_LBO" xfId="424" xr:uid="{00000000-0005-0000-0000-000097010000}"/>
    <cellStyle name="_MultipleSpace_LVS Model" xfId="425" xr:uid="{00000000-0005-0000-0000-000098010000}"/>
    <cellStyle name="_MultipleSpace_Merger Plan 01" xfId="426" xr:uid="{00000000-0005-0000-0000-000099010000}"/>
    <cellStyle name="_MultipleSpace_Merger Plan 01_260511_6" xfId="427" xr:uid="{00000000-0005-0000-0000-00009A010000}"/>
    <cellStyle name="_MultipleSpace_Merger Plan 01_LBO" xfId="428" xr:uid="{00000000-0005-0000-0000-00009B010000}"/>
    <cellStyle name="_MultipleSpace_Ownership structure - UCI" xfId="429" xr:uid="{00000000-0005-0000-0000-00009C010000}"/>
    <cellStyle name="_MultipleSpace_Ownership structure - UCI_260511_6" xfId="430" xr:uid="{00000000-0005-0000-0000-00009D010000}"/>
    <cellStyle name="_MultipleSpace_Ownership structure - UCI_LBO" xfId="431" xr:uid="{00000000-0005-0000-0000-00009E010000}"/>
    <cellStyle name="_MultipleSpace_PNK One Pager v2" xfId="432" xr:uid="{00000000-0005-0000-0000-00009F010000}"/>
    <cellStyle name="_MultipleSpace_RBOC historicals" xfId="433" xr:uid="{00000000-0005-0000-0000-0000A0010000}"/>
    <cellStyle name="_MultipleSpace_Share Prices" xfId="434" xr:uid="{00000000-0005-0000-0000-0000A1010000}"/>
    <cellStyle name="_MultipleSpace_Strategic Activity in the IT Services Sector1" xfId="435" xr:uid="{00000000-0005-0000-0000-0000A2010000}"/>
    <cellStyle name="_MultipleSpace_Summary LR1" xfId="436" xr:uid="{00000000-0005-0000-0000-0000A3010000}"/>
    <cellStyle name="_MultipleSpace_Summary LR1_260511_6" xfId="437" xr:uid="{00000000-0005-0000-0000-0000A4010000}"/>
    <cellStyle name="_MultipleSpace_Summary LR1_LBO" xfId="438" xr:uid="{00000000-0005-0000-0000-0000A5010000}"/>
    <cellStyle name="_MultipleSpace_sumofparts" xfId="439" xr:uid="{00000000-0005-0000-0000-0000A6010000}"/>
    <cellStyle name="_MultipleSpace_T - new" xfId="440" xr:uid="{00000000-0005-0000-0000-0000A7010000}"/>
    <cellStyle name="_MultipleSpace_valuation" xfId="441" xr:uid="{00000000-0005-0000-0000-0000A8010000}"/>
    <cellStyle name="_MultipleSpace_Valuation Summary" xfId="442" xr:uid="{00000000-0005-0000-0000-0000A9010000}"/>
    <cellStyle name="_MultipleSpace_Valuation Summary_260511_6" xfId="443" xr:uid="{00000000-0005-0000-0000-0000AA010000}"/>
    <cellStyle name="_MultipleSpace_Valuation Summary_LBO" xfId="444" xr:uid="{00000000-0005-0000-0000-0000AB010000}"/>
    <cellStyle name="_MultipleSpace_Valuation_1" xfId="445" xr:uid="{00000000-0005-0000-0000-0000AC010000}"/>
    <cellStyle name="_MultipleSpace_valuation_260511_6" xfId="446" xr:uid="{00000000-0005-0000-0000-0000AD010000}"/>
    <cellStyle name="_MultipleSpace_valuation_LBO" xfId="447" xr:uid="{00000000-0005-0000-0000-0000AE010000}"/>
    <cellStyle name="_Output Deck Final from Tim" xfId="448" xr:uid="{00000000-0005-0000-0000-0000AF010000}"/>
    <cellStyle name="_Percent" xfId="449" xr:uid="{00000000-0005-0000-0000-0000B0010000}"/>
    <cellStyle name="_Percent_260511_6" xfId="450" xr:uid="{00000000-0005-0000-0000-0000B1010000}"/>
    <cellStyle name="_Percent_325195_5" xfId="451" xr:uid="{00000000-0005-0000-0000-0000B2010000}"/>
    <cellStyle name="_Percent_Analysis of Generali Offer" xfId="452" xr:uid="{00000000-0005-0000-0000-0000B3010000}"/>
    <cellStyle name="_Percent_Analysis of Generali Offer_260511_6" xfId="453" xr:uid="{00000000-0005-0000-0000-0000B4010000}"/>
    <cellStyle name="_Percent_Analysis of Generali Offer_LBO" xfId="454" xr:uid="{00000000-0005-0000-0000-0000B5010000}"/>
    <cellStyle name="_Percent_Atlantic City Valuation" xfId="455" xr:uid="{00000000-0005-0000-0000-0000B6010000}"/>
    <cellStyle name="_Percent_AZR Model -7-21-05" xfId="456" xr:uid="{00000000-0005-0000-0000-0000B7010000}"/>
    <cellStyle name="_Percent_HOTmodel" xfId="457" xr:uid="{00000000-0005-0000-0000-0000B8010000}"/>
    <cellStyle name="_Percent_IA" xfId="458" xr:uid="{00000000-0005-0000-0000-0000B9010000}"/>
    <cellStyle name="_Percent_LBO" xfId="459" xr:uid="{00000000-0005-0000-0000-0000BA010000}"/>
    <cellStyle name="_Percent_LVS Model" xfId="460" xr:uid="{00000000-0005-0000-0000-0000BB010000}"/>
    <cellStyle name="_Percent_PNK One Pager v2" xfId="461" xr:uid="{00000000-0005-0000-0000-0000BC010000}"/>
    <cellStyle name="_Percent_Share Prices" xfId="462" xr:uid="{00000000-0005-0000-0000-0000BD010000}"/>
    <cellStyle name="_Percent_sumofparts" xfId="463" xr:uid="{00000000-0005-0000-0000-0000BE010000}"/>
    <cellStyle name="_Percent_valuation" xfId="464" xr:uid="{00000000-0005-0000-0000-0000BF010000}"/>
    <cellStyle name="_Percent_Valuation_1" xfId="465" xr:uid="{00000000-0005-0000-0000-0000C0010000}"/>
    <cellStyle name="_Percent_valuation_260511_6" xfId="466" xr:uid="{00000000-0005-0000-0000-0000C1010000}"/>
    <cellStyle name="_Percent_valuation_LBO" xfId="467" xr:uid="{00000000-0005-0000-0000-0000C2010000}"/>
    <cellStyle name="_PercentSpace" xfId="468" xr:uid="{00000000-0005-0000-0000-0000C3010000}"/>
    <cellStyle name="_PercentSpace_260511_6" xfId="469" xr:uid="{00000000-0005-0000-0000-0000C4010000}"/>
    <cellStyle name="_PercentSpace_325195_5" xfId="470" xr:uid="{00000000-0005-0000-0000-0000C5010000}"/>
    <cellStyle name="_PercentSpace_Analysis of Generali Offer" xfId="471" xr:uid="{00000000-0005-0000-0000-0000C6010000}"/>
    <cellStyle name="_PercentSpace_Analysis of Generali Offer_260511_6" xfId="472" xr:uid="{00000000-0005-0000-0000-0000C7010000}"/>
    <cellStyle name="_PercentSpace_Analysis of Generali Offer_LBO" xfId="473" xr:uid="{00000000-0005-0000-0000-0000C8010000}"/>
    <cellStyle name="_PercentSpace_Atlantic City Valuation" xfId="474" xr:uid="{00000000-0005-0000-0000-0000C9010000}"/>
    <cellStyle name="_PercentSpace_AZR Model -7-21-05" xfId="475" xr:uid="{00000000-0005-0000-0000-0000CA010000}"/>
    <cellStyle name="_PercentSpace_HOTmodel" xfId="476" xr:uid="{00000000-0005-0000-0000-0000CB010000}"/>
    <cellStyle name="_PercentSpace_IA" xfId="477" xr:uid="{00000000-0005-0000-0000-0000CC010000}"/>
    <cellStyle name="_PercentSpace_LBO" xfId="478" xr:uid="{00000000-0005-0000-0000-0000CD010000}"/>
    <cellStyle name="_PercentSpace_LVS Model" xfId="479" xr:uid="{00000000-0005-0000-0000-0000CE010000}"/>
    <cellStyle name="_PercentSpace_PNK One Pager v2" xfId="480" xr:uid="{00000000-0005-0000-0000-0000CF010000}"/>
    <cellStyle name="_PercentSpace_Share Prices" xfId="481" xr:uid="{00000000-0005-0000-0000-0000D0010000}"/>
    <cellStyle name="_PercentSpace_sumofparts" xfId="482" xr:uid="{00000000-0005-0000-0000-0000D1010000}"/>
    <cellStyle name="_PercentSpace_valuation" xfId="483" xr:uid="{00000000-0005-0000-0000-0000D2010000}"/>
    <cellStyle name="_PercentSpace_Valuation_1" xfId="484" xr:uid="{00000000-0005-0000-0000-0000D3010000}"/>
    <cellStyle name="_PercentSpace_valuation_260511_6" xfId="485" xr:uid="{00000000-0005-0000-0000-0000D4010000}"/>
    <cellStyle name="_PercentSpace_valuation_LBO" xfId="486" xr:uid="{00000000-0005-0000-0000-0000D5010000}"/>
    <cellStyle name="_PPD and Saflex  Cons Format" xfId="487" xr:uid="{00000000-0005-0000-0000-0000D6010000}"/>
    <cellStyle name="_SubHeading" xfId="488" xr:uid="{00000000-0005-0000-0000-0000D7010000}"/>
    <cellStyle name="_SubHeading_Atlantic City Valuation" xfId="489" xr:uid="{00000000-0005-0000-0000-0000D8010000}"/>
    <cellStyle name="_SubHeading_AZR Model -7-21-05" xfId="490" xr:uid="{00000000-0005-0000-0000-0000D9010000}"/>
    <cellStyle name="_SubHeading_BLS" xfId="491" xr:uid="{00000000-0005-0000-0000-0000DA010000}"/>
    <cellStyle name="_SubHeading_bls roic" xfId="492" xr:uid="{00000000-0005-0000-0000-0000DB010000}"/>
    <cellStyle name="_SubHeading_Book9" xfId="493" xr:uid="{00000000-0005-0000-0000-0000DC010000}"/>
    <cellStyle name="_SubHeading_Broadband Comps" xfId="494" xr:uid="{00000000-0005-0000-0000-0000DD010000}"/>
    <cellStyle name="_SubHeading_capital expenditures 6-18-02" xfId="495" xr:uid="{00000000-0005-0000-0000-0000DE010000}"/>
    <cellStyle name="_SubHeading_CTCO" xfId="496" xr:uid="{00000000-0005-0000-0000-0000DF010000}"/>
    <cellStyle name="_SubHeading_HOTmodel" xfId="497" xr:uid="{00000000-0005-0000-0000-0000E0010000}"/>
    <cellStyle name="_SubHeading_IA" xfId="498" xr:uid="{00000000-0005-0000-0000-0000E1010000}"/>
    <cellStyle name="_SubHeading_LVS Model" xfId="499" xr:uid="{00000000-0005-0000-0000-0000E2010000}"/>
    <cellStyle name="_SubHeading_PNK One Pager v2" xfId="500" xr:uid="{00000000-0005-0000-0000-0000E3010000}"/>
    <cellStyle name="_SubHeading_prestemp" xfId="501" xr:uid="{00000000-0005-0000-0000-0000E4010000}"/>
    <cellStyle name="_SubHeading_Q" xfId="502" xr:uid="{00000000-0005-0000-0000-0000E5010000}"/>
    <cellStyle name="_SubHeading_q - new guidance" xfId="503" xr:uid="{00000000-0005-0000-0000-0000E6010000}"/>
    <cellStyle name="_SubHeading_q - valuation" xfId="504" xr:uid="{00000000-0005-0000-0000-0000E7010000}"/>
    <cellStyle name="_SubHeading_Q model_041802" xfId="505" xr:uid="{00000000-0005-0000-0000-0000E8010000}"/>
    <cellStyle name="_SubHeading_Q_update" xfId="506" xr:uid="{00000000-0005-0000-0000-0000E9010000}"/>
    <cellStyle name="_SubHeading_Qwest Analysis" xfId="507" xr:uid="{00000000-0005-0000-0000-0000EA010000}"/>
    <cellStyle name="_SubHeading_RBOC historicals" xfId="508" xr:uid="{00000000-0005-0000-0000-0000EB010000}"/>
    <cellStyle name="_SubHeading_sumofparts" xfId="509" xr:uid="{00000000-0005-0000-0000-0000EC010000}"/>
    <cellStyle name="_SubHeading_T - new" xfId="510" xr:uid="{00000000-0005-0000-0000-0000ED010000}"/>
    <cellStyle name="_SubHeading_VZ" xfId="511" xr:uid="{00000000-0005-0000-0000-0000EE010000}"/>
    <cellStyle name="_Table" xfId="512" xr:uid="{00000000-0005-0000-0000-0000EF010000}"/>
    <cellStyle name="_Table_325195_5" xfId="513" xr:uid="{00000000-0005-0000-0000-0000F0010000}"/>
    <cellStyle name="_Table_Atlantic City Valuation" xfId="514" xr:uid="{00000000-0005-0000-0000-0000F1010000}"/>
    <cellStyle name="_Table_AVP" xfId="515" xr:uid="{00000000-0005-0000-0000-0000F2010000}"/>
    <cellStyle name="_Table_AZR Model -7-21-05" xfId="516" xr:uid="{00000000-0005-0000-0000-0000F3010000}"/>
    <cellStyle name="_Table_BLS" xfId="517" xr:uid="{00000000-0005-0000-0000-0000F4010000}"/>
    <cellStyle name="_Table_bls roic" xfId="518" xr:uid="{00000000-0005-0000-0000-0000F5010000}"/>
    <cellStyle name="_Table_Book9" xfId="519" xr:uid="{00000000-0005-0000-0000-0000F6010000}"/>
    <cellStyle name="_Table_Broadband Comps" xfId="520" xr:uid="{00000000-0005-0000-0000-0000F7010000}"/>
    <cellStyle name="_Table_capital expenditures 6-18-02" xfId="521" xr:uid="{00000000-0005-0000-0000-0000F8010000}"/>
    <cellStyle name="_Table_Contribution Analysis" xfId="522" xr:uid="{00000000-0005-0000-0000-0000F9010000}"/>
    <cellStyle name="_Table_CTCO" xfId="523" xr:uid="{00000000-0005-0000-0000-0000FA010000}"/>
    <cellStyle name="_Table_HOTmodel" xfId="524" xr:uid="{00000000-0005-0000-0000-0000FB010000}"/>
    <cellStyle name="_Table_IA" xfId="525" xr:uid="{00000000-0005-0000-0000-0000FC010000}"/>
    <cellStyle name="_Table_IT Services M&amp;A Market Trends" xfId="526" xr:uid="{00000000-0005-0000-0000-0000FD010000}"/>
    <cellStyle name="_Table_LVS Model" xfId="527" xr:uid="{00000000-0005-0000-0000-0000FE010000}"/>
    <cellStyle name="_Table_Merger Plan 01" xfId="528" xr:uid="{00000000-0005-0000-0000-0000FF010000}"/>
    <cellStyle name="_Table_Merger Plan SP_CA" xfId="529" xr:uid="{00000000-0005-0000-0000-000000020000}"/>
    <cellStyle name="_Table_Ownership structure - UCI" xfId="530" xr:uid="{00000000-0005-0000-0000-000001020000}"/>
    <cellStyle name="_Table_PNK One Pager v2" xfId="531" xr:uid="{00000000-0005-0000-0000-000002020000}"/>
    <cellStyle name="_Table_Q" xfId="532" xr:uid="{00000000-0005-0000-0000-000003020000}"/>
    <cellStyle name="_Table_q - new guidance" xfId="533" xr:uid="{00000000-0005-0000-0000-000004020000}"/>
    <cellStyle name="_Table_q - valuation" xfId="534" xr:uid="{00000000-0005-0000-0000-000005020000}"/>
    <cellStyle name="_Table_Q model_041802" xfId="535" xr:uid="{00000000-0005-0000-0000-000006020000}"/>
    <cellStyle name="_Table_Q_update" xfId="536" xr:uid="{00000000-0005-0000-0000-000007020000}"/>
    <cellStyle name="_Table_Qwest Analysis" xfId="537" xr:uid="{00000000-0005-0000-0000-000008020000}"/>
    <cellStyle name="_Table_RBOC historicals" xfId="538" xr:uid="{00000000-0005-0000-0000-000009020000}"/>
    <cellStyle name="_Table_Strategic Activity in the IT Services Sector1" xfId="539" xr:uid="{00000000-0005-0000-0000-00000A020000}"/>
    <cellStyle name="_Table_sumofparts" xfId="540" xr:uid="{00000000-0005-0000-0000-00000B020000}"/>
    <cellStyle name="_Table_T - new" xfId="541" xr:uid="{00000000-0005-0000-0000-00000C020000}"/>
    <cellStyle name="_Table_VZ" xfId="542" xr:uid="{00000000-0005-0000-0000-00000D020000}"/>
    <cellStyle name="_TableHead" xfId="543" xr:uid="{00000000-0005-0000-0000-00000E020000}"/>
    <cellStyle name="_TableHead_Atlantic City Valuation" xfId="544" xr:uid="{00000000-0005-0000-0000-00000F020000}"/>
    <cellStyle name="_TableHead_AZR Model -7-21-05" xfId="545" xr:uid="{00000000-0005-0000-0000-000010020000}"/>
    <cellStyle name="_TableHead_BLS" xfId="546" xr:uid="{00000000-0005-0000-0000-000011020000}"/>
    <cellStyle name="_TableHead_bls roic" xfId="547" xr:uid="{00000000-0005-0000-0000-000012020000}"/>
    <cellStyle name="_TableHead_Book9" xfId="548" xr:uid="{00000000-0005-0000-0000-000013020000}"/>
    <cellStyle name="_TableHead_Broadband Comps" xfId="549" xr:uid="{00000000-0005-0000-0000-000014020000}"/>
    <cellStyle name="_TableHead_capital expenditures 6-18-02" xfId="550" xr:uid="{00000000-0005-0000-0000-000015020000}"/>
    <cellStyle name="_TableHead_CTCO" xfId="551" xr:uid="{00000000-0005-0000-0000-000016020000}"/>
    <cellStyle name="_TableHead_HOTmodel" xfId="552" xr:uid="{00000000-0005-0000-0000-000017020000}"/>
    <cellStyle name="_TableHead_IA" xfId="553" xr:uid="{00000000-0005-0000-0000-000018020000}"/>
    <cellStyle name="_TableHead_LVS Model" xfId="554" xr:uid="{00000000-0005-0000-0000-000019020000}"/>
    <cellStyle name="_TableHead_PNK One Pager v2" xfId="555" xr:uid="{00000000-0005-0000-0000-00001A020000}"/>
    <cellStyle name="_TableHead_Q" xfId="556" xr:uid="{00000000-0005-0000-0000-00001B020000}"/>
    <cellStyle name="_TableHead_q - new guidance" xfId="557" xr:uid="{00000000-0005-0000-0000-00001C020000}"/>
    <cellStyle name="_TableHead_q - valuation" xfId="558" xr:uid="{00000000-0005-0000-0000-00001D020000}"/>
    <cellStyle name="_TableHead_Q model_041802" xfId="559" xr:uid="{00000000-0005-0000-0000-00001E020000}"/>
    <cellStyle name="_TableHead_Q_update" xfId="560" xr:uid="{00000000-0005-0000-0000-00001F020000}"/>
    <cellStyle name="_TableHead_Qwest Analysis" xfId="561" xr:uid="{00000000-0005-0000-0000-000020020000}"/>
    <cellStyle name="_TableHead_RBOC historicals" xfId="562" xr:uid="{00000000-0005-0000-0000-000021020000}"/>
    <cellStyle name="_TableHead_sumofparts" xfId="563" xr:uid="{00000000-0005-0000-0000-000022020000}"/>
    <cellStyle name="_TableHead_T - new" xfId="564" xr:uid="{00000000-0005-0000-0000-000023020000}"/>
    <cellStyle name="_TableHead_VZ" xfId="565" xr:uid="{00000000-0005-0000-0000-000024020000}"/>
    <cellStyle name="_TableHeading" xfId="566" xr:uid="{00000000-0005-0000-0000-000025020000}"/>
    <cellStyle name="_TableRowBorder" xfId="567" xr:uid="{00000000-0005-0000-0000-000026020000}"/>
    <cellStyle name="_TableRowHead" xfId="568" xr:uid="{00000000-0005-0000-0000-000027020000}"/>
    <cellStyle name="_TableRowHead_Atlantic City Valuation" xfId="569" xr:uid="{00000000-0005-0000-0000-000028020000}"/>
    <cellStyle name="_TableRowHead_AZR Model -7-21-05" xfId="570" xr:uid="{00000000-0005-0000-0000-000029020000}"/>
    <cellStyle name="_TableRowHead_BLS" xfId="571" xr:uid="{00000000-0005-0000-0000-00002A020000}"/>
    <cellStyle name="_TableRowHead_bls roic" xfId="572" xr:uid="{00000000-0005-0000-0000-00002B020000}"/>
    <cellStyle name="_TableRowHead_Book9" xfId="573" xr:uid="{00000000-0005-0000-0000-00002C020000}"/>
    <cellStyle name="_TableRowHead_Broadband Comps" xfId="574" xr:uid="{00000000-0005-0000-0000-00002D020000}"/>
    <cellStyle name="_TableRowHead_capital expenditures 6-18-02" xfId="575" xr:uid="{00000000-0005-0000-0000-00002E020000}"/>
    <cellStyle name="_TableRowHead_CTCO" xfId="576" xr:uid="{00000000-0005-0000-0000-00002F020000}"/>
    <cellStyle name="_TableRowHead_HOTmodel" xfId="577" xr:uid="{00000000-0005-0000-0000-000030020000}"/>
    <cellStyle name="_TableRowHead_IA" xfId="578" xr:uid="{00000000-0005-0000-0000-000031020000}"/>
    <cellStyle name="_TableRowHead_LVS Model" xfId="579" xr:uid="{00000000-0005-0000-0000-000032020000}"/>
    <cellStyle name="_TableRowHead_PNK One Pager v2" xfId="580" xr:uid="{00000000-0005-0000-0000-000033020000}"/>
    <cellStyle name="_TableRowHead_Q" xfId="581" xr:uid="{00000000-0005-0000-0000-000034020000}"/>
    <cellStyle name="_TableRowHead_q - new guidance" xfId="582" xr:uid="{00000000-0005-0000-0000-000035020000}"/>
    <cellStyle name="_TableRowHead_q - valuation" xfId="583" xr:uid="{00000000-0005-0000-0000-000036020000}"/>
    <cellStyle name="_TableRowHead_Q model_041802" xfId="584" xr:uid="{00000000-0005-0000-0000-000037020000}"/>
    <cellStyle name="_TableRowHead_Q_update" xfId="585" xr:uid="{00000000-0005-0000-0000-000038020000}"/>
    <cellStyle name="_TableRowHead_Qwest Analysis" xfId="586" xr:uid="{00000000-0005-0000-0000-000039020000}"/>
    <cellStyle name="_TableRowHead_RBOC historicals" xfId="587" xr:uid="{00000000-0005-0000-0000-00003A020000}"/>
    <cellStyle name="_TableRowHead_sumofparts" xfId="588" xr:uid="{00000000-0005-0000-0000-00003B020000}"/>
    <cellStyle name="_TableRowHead_T - new" xfId="589" xr:uid="{00000000-0005-0000-0000-00003C020000}"/>
    <cellStyle name="_TableRowHead_VZ" xfId="590" xr:uid="{00000000-0005-0000-0000-00003D020000}"/>
    <cellStyle name="_TableRowHeading" xfId="591" xr:uid="{00000000-0005-0000-0000-00003E020000}"/>
    <cellStyle name="_TableSuperHead" xfId="592" xr:uid="{00000000-0005-0000-0000-00003F020000}"/>
    <cellStyle name="_TableSuperHead_325195_5" xfId="593" xr:uid="{00000000-0005-0000-0000-000040020000}"/>
    <cellStyle name="_TableSuperHead_Atlantic City Valuation" xfId="594" xr:uid="{00000000-0005-0000-0000-000041020000}"/>
    <cellStyle name="_TableSuperHead_AVP" xfId="595" xr:uid="{00000000-0005-0000-0000-000042020000}"/>
    <cellStyle name="_TableSuperHead_AZR Model -7-21-05" xfId="596" xr:uid="{00000000-0005-0000-0000-000043020000}"/>
    <cellStyle name="_TableSuperHead_BLS" xfId="597" xr:uid="{00000000-0005-0000-0000-000044020000}"/>
    <cellStyle name="_TableSuperHead_bls roic" xfId="598" xr:uid="{00000000-0005-0000-0000-000045020000}"/>
    <cellStyle name="_TableSuperHead_Book9" xfId="599" xr:uid="{00000000-0005-0000-0000-000046020000}"/>
    <cellStyle name="_TableSuperHead_Broadband Comps" xfId="600" xr:uid="{00000000-0005-0000-0000-000047020000}"/>
    <cellStyle name="_TableSuperHead_capital expenditures 6-18-02" xfId="601" xr:uid="{00000000-0005-0000-0000-000048020000}"/>
    <cellStyle name="_TableSuperHead_Contribution Analysis" xfId="602" xr:uid="{00000000-0005-0000-0000-000049020000}"/>
    <cellStyle name="_TableSuperHead_CTCO" xfId="603" xr:uid="{00000000-0005-0000-0000-00004A020000}"/>
    <cellStyle name="_TableSuperHead_HOTmodel" xfId="604" xr:uid="{00000000-0005-0000-0000-00004B020000}"/>
    <cellStyle name="_TableSuperHead_IA" xfId="605" xr:uid="{00000000-0005-0000-0000-00004C020000}"/>
    <cellStyle name="_TableSuperHead_IT Services M&amp;A Market Trends" xfId="606" xr:uid="{00000000-0005-0000-0000-00004D020000}"/>
    <cellStyle name="_TableSuperHead_LVS Model" xfId="607" xr:uid="{00000000-0005-0000-0000-00004E020000}"/>
    <cellStyle name="_TableSuperHead_Merger Plan 01" xfId="608" xr:uid="{00000000-0005-0000-0000-00004F020000}"/>
    <cellStyle name="_TableSuperHead_Merger Plan SP_CA" xfId="609" xr:uid="{00000000-0005-0000-0000-000050020000}"/>
    <cellStyle name="_TableSuperHead_Ownership structure - UCI" xfId="610" xr:uid="{00000000-0005-0000-0000-000051020000}"/>
    <cellStyle name="_TableSuperHead_PNK One Pager v2" xfId="611" xr:uid="{00000000-0005-0000-0000-000052020000}"/>
    <cellStyle name="_TableSuperHead_Q" xfId="612" xr:uid="{00000000-0005-0000-0000-000053020000}"/>
    <cellStyle name="_TableSuperHead_q - new guidance" xfId="613" xr:uid="{00000000-0005-0000-0000-000054020000}"/>
    <cellStyle name="_TableSuperHead_q - valuation" xfId="614" xr:uid="{00000000-0005-0000-0000-000055020000}"/>
    <cellStyle name="_TableSuperHead_Q model_041802" xfId="615" xr:uid="{00000000-0005-0000-0000-000056020000}"/>
    <cellStyle name="_TableSuperHead_Q_update" xfId="616" xr:uid="{00000000-0005-0000-0000-000057020000}"/>
    <cellStyle name="_TableSuperHead_Qwest Analysis" xfId="617" xr:uid="{00000000-0005-0000-0000-000058020000}"/>
    <cellStyle name="_TableSuperHead_RBOC historicals" xfId="618" xr:uid="{00000000-0005-0000-0000-000059020000}"/>
    <cellStyle name="_TableSuperHead_Strategic Activity in the IT Services Sector1" xfId="619" xr:uid="{00000000-0005-0000-0000-00005A020000}"/>
    <cellStyle name="_TableSuperHead_sumofparts" xfId="620" xr:uid="{00000000-0005-0000-0000-00005B020000}"/>
    <cellStyle name="_TableSuperHead_T - new" xfId="621" xr:uid="{00000000-0005-0000-0000-00005C020000}"/>
    <cellStyle name="_TableSuperHead_VZ" xfId="622" xr:uid="{00000000-0005-0000-0000-00005D020000}"/>
    <cellStyle name="_TableSuperHeading" xfId="623" xr:uid="{00000000-0005-0000-0000-00005E020000}"/>
    <cellStyle name="_TableText" xfId="624" xr:uid="{00000000-0005-0000-0000-00005F020000}"/>
    <cellStyle name="_TableText_314779_12" xfId="625" xr:uid="{00000000-0005-0000-0000-000060020000}"/>
    <cellStyle name="_TableText_314779_13" xfId="626" xr:uid="{00000000-0005-0000-0000-000061020000}"/>
    <cellStyle name="_TableText_314779_16" xfId="627" xr:uid="{00000000-0005-0000-0000-000062020000}"/>
    <cellStyle name="_TableText_314779_4" xfId="628" xr:uid="{00000000-0005-0000-0000-000063020000}"/>
    <cellStyle name="_TableText_314779_5" xfId="629" xr:uid="{00000000-0005-0000-0000-000064020000}"/>
    <cellStyle name="_TableText_314779_6" xfId="630" xr:uid="{00000000-0005-0000-0000-000065020000}"/>
    <cellStyle name="_TableText_314779_7" xfId="631" xr:uid="{00000000-0005-0000-0000-000066020000}"/>
    <cellStyle name="_TableText_314779_9" xfId="632" xr:uid="{00000000-0005-0000-0000-000067020000}"/>
    <cellStyle name="_TableText_317437_4" xfId="633" xr:uid="{00000000-0005-0000-0000-000068020000}"/>
    <cellStyle name="_TableText_320244_1" xfId="634" xr:uid="{00000000-0005-0000-0000-000069020000}"/>
    <cellStyle name="_TableText_320244_3" xfId="635" xr:uid="{00000000-0005-0000-0000-00006A020000}"/>
    <cellStyle name="_TableText_ew EBITDA split by lead src (5)" xfId="636" xr:uid="{00000000-0005-0000-0000-00006B020000}"/>
    <cellStyle name="£Currency [0]" xfId="637" xr:uid="{00000000-0005-0000-0000-00006C020000}"/>
    <cellStyle name="£Currency [1]" xfId="638" xr:uid="{00000000-0005-0000-0000-00006D020000}"/>
    <cellStyle name="£Currency [2]" xfId="639" xr:uid="{00000000-0005-0000-0000-00006E020000}"/>
    <cellStyle name="£Currency [p]" xfId="640" xr:uid="{00000000-0005-0000-0000-00006F020000}"/>
    <cellStyle name="£Currency [p2]" xfId="641" xr:uid="{00000000-0005-0000-0000-000070020000}"/>
    <cellStyle name="£Pounds" xfId="642" xr:uid="{00000000-0005-0000-0000-000071020000}"/>
    <cellStyle name="_x0007_⚈" xfId="16" xr:uid="{00000000-0005-0000-0000-000072020000}"/>
    <cellStyle name="0" xfId="643" xr:uid="{00000000-0005-0000-0000-000073020000}"/>
    <cellStyle name="0.0" xfId="644" xr:uid="{00000000-0005-0000-0000-000074020000}"/>
    <cellStyle name="0.0 x; (0.0 x)" xfId="645" xr:uid="{00000000-0005-0000-0000-000075020000}"/>
    <cellStyle name="0.0%" xfId="646" xr:uid="{00000000-0005-0000-0000-000076020000}"/>
    <cellStyle name="000" xfId="647" xr:uid="{00000000-0005-0000-0000-000077020000}"/>
    <cellStyle name="1" xfId="648" xr:uid="{00000000-0005-0000-0000-000078020000}"/>
    <cellStyle name="1,comma" xfId="649" xr:uid="{00000000-0005-0000-0000-000079020000}"/>
    <cellStyle name="1. Page Heading" xfId="1" xr:uid="{00000000-0005-0000-0000-00007A020000}"/>
    <cellStyle name="10. BlueFill" xfId="10" xr:uid="{00000000-0005-0000-0000-00007B020000}"/>
    <cellStyle name="11. LtBlueFill" xfId="11" xr:uid="{00000000-0005-0000-0000-00007C020000}"/>
    <cellStyle name="12. LtGrayFill" xfId="12" xr:uid="{00000000-0005-0000-0000-00007D020000}"/>
    <cellStyle name="2. (in millions)" xfId="2" xr:uid="{00000000-0005-0000-0000-00007E020000}"/>
    <cellStyle name="3. Message Text" xfId="3" xr:uid="{00000000-0005-0000-0000-00007F020000}"/>
    <cellStyle name="4. Laz Normal" xfId="4" xr:uid="{00000000-0005-0000-0000-000080020000}"/>
    <cellStyle name="5. (cont'd)" xfId="5" xr:uid="{00000000-0005-0000-0000-000081020000}"/>
    <cellStyle name="5. Table Column" xfId="13" xr:uid="{00000000-0005-0000-0000-000082020000}"/>
    <cellStyle name="6. Footnote" xfId="6" xr:uid="{00000000-0005-0000-0000-000083020000}"/>
    <cellStyle name="7. Subject" xfId="7" xr:uid="{00000000-0005-0000-0000-000084020000}"/>
    <cellStyle name="8. Title" xfId="8" xr:uid="{00000000-0005-0000-0000-000085020000}"/>
    <cellStyle name="9. Divider" xfId="9" xr:uid="{00000000-0005-0000-0000-000086020000}"/>
    <cellStyle name="Accounting" xfId="650" xr:uid="{00000000-0005-0000-0000-000087020000}"/>
    <cellStyle name="Acct [underline]" xfId="651" xr:uid="{00000000-0005-0000-0000-000088020000}"/>
    <cellStyle name="Accts" xfId="652" xr:uid="{00000000-0005-0000-0000-000089020000}"/>
    <cellStyle name="Accts [0]" xfId="653" xr:uid="{00000000-0005-0000-0000-00008A020000}"/>
    <cellStyle name="Accts [2]" xfId="654" xr:uid="{00000000-0005-0000-0000-00008B020000}"/>
    <cellStyle name="Accts_325195_5" xfId="655" xr:uid="{00000000-0005-0000-0000-00008C020000}"/>
    <cellStyle name="Accy [0]" xfId="656" xr:uid="{00000000-0005-0000-0000-00008D020000}"/>
    <cellStyle name="Accy [1]" xfId="657" xr:uid="{00000000-0005-0000-0000-00008E020000}"/>
    <cellStyle name="Accy [2]" xfId="658" xr:uid="{00000000-0005-0000-0000-00008F020000}"/>
    <cellStyle name="Accy$ [0]" xfId="659" xr:uid="{00000000-0005-0000-0000-000090020000}"/>
    <cellStyle name="Accy$ [1]" xfId="660" xr:uid="{00000000-0005-0000-0000-000091020000}"/>
    <cellStyle name="Accy$ [2]" xfId="661" xr:uid="{00000000-0005-0000-0000-000092020000}"/>
    <cellStyle name="active" xfId="662" xr:uid="{00000000-0005-0000-0000-000093020000}"/>
    <cellStyle name="Actual data" xfId="663" xr:uid="{00000000-0005-0000-0000-000094020000}"/>
    <cellStyle name="Actual Date" xfId="664" xr:uid="{00000000-0005-0000-0000-000095020000}"/>
    <cellStyle name="Actual year" xfId="665" xr:uid="{00000000-0005-0000-0000-000096020000}"/>
    <cellStyle name="Actuals Cells" xfId="666" xr:uid="{00000000-0005-0000-0000-000097020000}"/>
    <cellStyle name="ADR" xfId="667" xr:uid="{00000000-0005-0000-0000-000098020000}"/>
    <cellStyle name="After Percent" xfId="668" xr:uid="{00000000-0005-0000-0000-000099020000}"/>
    <cellStyle name="Andre's Title" xfId="669" xr:uid="{00000000-0005-0000-0000-00009A020000}"/>
    <cellStyle name="apex in the pool, need to include if construct to handle -ve construct_x0001__x000f_" xfId="670" xr:uid="{00000000-0005-0000-0000-00009B020000}"/>
    <cellStyle name="Aus $.00" xfId="671" xr:uid="{00000000-0005-0000-0000-00009C020000}"/>
    <cellStyle name="b" xfId="672" xr:uid="{00000000-0005-0000-0000-00009D020000}"/>
    <cellStyle name="base" xfId="673" xr:uid="{00000000-0005-0000-0000-00009E020000}"/>
    <cellStyle name="bl" xfId="674" xr:uid="{00000000-0005-0000-0000-00009F020000}"/>
    <cellStyle name="Black" xfId="675" xr:uid="{00000000-0005-0000-0000-0000A0020000}"/>
    <cellStyle name="Black Days" xfId="676" xr:uid="{00000000-0005-0000-0000-0000A1020000}"/>
    <cellStyle name="Black Decimal" xfId="677" xr:uid="{00000000-0005-0000-0000-0000A2020000}"/>
    <cellStyle name="Black Dollar" xfId="678" xr:uid="{00000000-0005-0000-0000-0000A3020000}"/>
    <cellStyle name="Black EPS" xfId="679" xr:uid="{00000000-0005-0000-0000-0000A4020000}"/>
    <cellStyle name="Black Percent" xfId="680" xr:uid="{00000000-0005-0000-0000-0000A5020000}"/>
    <cellStyle name="Black Percent2" xfId="681" xr:uid="{00000000-0005-0000-0000-0000A6020000}"/>
    <cellStyle name="Black Times" xfId="682" xr:uid="{00000000-0005-0000-0000-0000A7020000}"/>
    <cellStyle name="Black Times Two Deci" xfId="683" xr:uid="{00000000-0005-0000-0000-0000A8020000}"/>
    <cellStyle name="Black Times Two Deci2" xfId="684" xr:uid="{00000000-0005-0000-0000-0000A9020000}"/>
    <cellStyle name="Black Times_317437_4" xfId="685" xr:uid="{00000000-0005-0000-0000-0000AA020000}"/>
    <cellStyle name="Black Times2" xfId="686" xr:uid="{00000000-0005-0000-0000-0000AB020000}"/>
    <cellStyle name="Black_314779_12" xfId="687" xr:uid="{00000000-0005-0000-0000-0000AC020000}"/>
    <cellStyle name="Blank" xfId="688" xr:uid="{00000000-0005-0000-0000-0000AD020000}"/>
    <cellStyle name="Blank [,]" xfId="689" xr:uid="{00000000-0005-0000-0000-0000AE020000}"/>
    <cellStyle name="Blank_2008.8.12 SLS DCF Valuation v4" xfId="690" xr:uid="{00000000-0005-0000-0000-0000AF020000}"/>
    <cellStyle name="blu" xfId="691" xr:uid="{00000000-0005-0000-0000-0000B0020000}"/>
    <cellStyle name="Blue" xfId="692" xr:uid="{00000000-0005-0000-0000-0000B1020000}"/>
    <cellStyle name="Blue Decimal" xfId="693" xr:uid="{00000000-0005-0000-0000-0000B2020000}"/>
    <cellStyle name="Blue Dollar" xfId="694" xr:uid="{00000000-0005-0000-0000-0000B3020000}"/>
    <cellStyle name="Blue EPS" xfId="695" xr:uid="{00000000-0005-0000-0000-0000B4020000}"/>
    <cellStyle name="Blue Shading" xfId="696" xr:uid="{00000000-0005-0000-0000-0000B5020000}"/>
    <cellStyle name="Blue Text" xfId="697" xr:uid="{00000000-0005-0000-0000-0000B6020000}"/>
    <cellStyle name="Blue Title" xfId="698" xr:uid="{00000000-0005-0000-0000-0000B7020000}"/>
    <cellStyle name="Blue Zero Deci" xfId="699" xr:uid="{00000000-0005-0000-0000-0000B8020000}"/>
    <cellStyle name="Blue_188492_11" xfId="700" xr:uid="{00000000-0005-0000-0000-0000B9020000}"/>
    <cellStyle name="BMCheck" xfId="701" xr:uid="{00000000-0005-0000-0000-0000BA020000}"/>
    <cellStyle name="BMDate" xfId="702" xr:uid="{00000000-0005-0000-0000-0000BB020000}"/>
    <cellStyle name="BMHeading" xfId="703" xr:uid="{00000000-0005-0000-0000-0000BC020000}"/>
    <cellStyle name="BMInputNormal" xfId="704" xr:uid="{00000000-0005-0000-0000-0000BD020000}"/>
    <cellStyle name="BMInputPercent" xfId="705" xr:uid="{00000000-0005-0000-0000-0000BE020000}"/>
    <cellStyle name="BMMultiple" xfId="706" xr:uid="{00000000-0005-0000-0000-0000BF020000}"/>
    <cellStyle name="BMNormalDisplay" xfId="707" xr:uid="{00000000-0005-0000-0000-0000C0020000}"/>
    <cellStyle name="BMPence" xfId="708" xr:uid="{00000000-0005-0000-0000-0000C1020000}"/>
    <cellStyle name="BMPercent" xfId="709" xr:uid="{00000000-0005-0000-0000-0000C2020000}"/>
    <cellStyle name="BMPercentDisplay" xfId="710" xr:uid="{00000000-0005-0000-0000-0000C3020000}"/>
    <cellStyle name="Body" xfId="711" xr:uid="{00000000-0005-0000-0000-0000C4020000}"/>
    <cellStyle name="Bold" xfId="712" xr:uid="{00000000-0005-0000-0000-0000C5020000}"/>
    <cellStyle name="Bold 14 pt." xfId="713" xr:uid="{00000000-0005-0000-0000-0000C6020000}"/>
    <cellStyle name="Bold Italic Underline" xfId="714" xr:uid="{00000000-0005-0000-0000-0000C7020000}"/>
    <cellStyle name="Bold_317814_3" xfId="715" xr:uid="{00000000-0005-0000-0000-0000C8020000}"/>
    <cellStyle name="Border" xfId="716" xr:uid="{00000000-0005-0000-0000-0000C9020000}"/>
    <cellStyle name="Border Heavy" xfId="717" xr:uid="{00000000-0005-0000-0000-0000CA020000}"/>
    <cellStyle name="Border Thin" xfId="718" xr:uid="{00000000-0005-0000-0000-0000CB020000}"/>
    <cellStyle name="bot" xfId="719" xr:uid="{00000000-0005-0000-0000-0000CC020000}"/>
    <cellStyle name="bps" xfId="720" xr:uid="{00000000-0005-0000-0000-0000CD020000}"/>
    <cellStyle name="Bullet" xfId="721" xr:uid="{00000000-0005-0000-0000-0000CE020000}"/>
    <cellStyle name="Business Description" xfId="722" xr:uid="{00000000-0005-0000-0000-0000CF020000}"/>
    <cellStyle name="c" xfId="723" xr:uid="{00000000-0005-0000-0000-0000D0020000}"/>
    <cellStyle name="c," xfId="724" xr:uid="{00000000-0005-0000-0000-0000D1020000}"/>
    <cellStyle name="c_325195_5" xfId="725" xr:uid="{00000000-0005-0000-0000-0000D2020000}"/>
    <cellStyle name="C_333325_24" xfId="726" xr:uid="{00000000-0005-0000-0000-0000D3020000}"/>
    <cellStyle name="c_346260_4" xfId="727" xr:uid="{00000000-0005-0000-0000-0000D4020000}"/>
    <cellStyle name="c_HardInc " xfId="728" xr:uid="{00000000-0005-0000-0000-0000D5020000}"/>
    <cellStyle name="C0" xfId="729" xr:uid="{00000000-0005-0000-0000-0000D6020000}"/>
    <cellStyle name="c1" xfId="730" xr:uid="{00000000-0005-0000-0000-0000D7020000}"/>
    <cellStyle name="c1," xfId="731" xr:uid="{00000000-0005-0000-0000-0000D8020000}"/>
    <cellStyle name="c2" xfId="732" xr:uid="{00000000-0005-0000-0000-0000D9020000}"/>
    <cellStyle name="c2," xfId="733" xr:uid="{00000000-0005-0000-0000-0000DA020000}"/>
    <cellStyle name="c3" xfId="734" xr:uid="{00000000-0005-0000-0000-0000DB020000}"/>
    <cellStyle name="Calc Cells" xfId="735" xr:uid="{00000000-0005-0000-0000-0000DC020000}"/>
    <cellStyle name="Calc Currency (0)" xfId="736" xr:uid="{00000000-0005-0000-0000-0000DD020000}"/>
    <cellStyle name="Calc Currency (2)" xfId="737" xr:uid="{00000000-0005-0000-0000-0000DE020000}"/>
    <cellStyle name="Calc Percent (0)" xfId="738" xr:uid="{00000000-0005-0000-0000-0000DF020000}"/>
    <cellStyle name="Calc Percent (1)" xfId="739" xr:uid="{00000000-0005-0000-0000-0000E0020000}"/>
    <cellStyle name="Calc Percent (2)" xfId="740" xr:uid="{00000000-0005-0000-0000-0000E1020000}"/>
    <cellStyle name="Calc Units (0)" xfId="741" xr:uid="{00000000-0005-0000-0000-0000E2020000}"/>
    <cellStyle name="Calc Units (1)" xfId="742" xr:uid="{00000000-0005-0000-0000-0000E3020000}"/>
    <cellStyle name="Calc Units (2)" xfId="743" xr:uid="{00000000-0005-0000-0000-0000E4020000}"/>
    <cellStyle name="Caleb header" xfId="744" xr:uid="{00000000-0005-0000-0000-0000E5020000}"/>
    <cellStyle name="cas" xfId="745" xr:uid="{00000000-0005-0000-0000-0000E6020000}"/>
    <cellStyle name="category" xfId="746" xr:uid="{00000000-0005-0000-0000-0000E7020000}"/>
    <cellStyle name="Center" xfId="747" xr:uid="{00000000-0005-0000-0000-0000E8020000}"/>
    <cellStyle name="Center Align" xfId="748" xr:uid="{00000000-0005-0000-0000-0000E9020000}"/>
    <cellStyle name="Centered Heading" xfId="749" xr:uid="{00000000-0005-0000-0000-0000EA020000}"/>
    <cellStyle name="Cindy" xfId="750" xr:uid="{00000000-0005-0000-0000-0000EB020000}"/>
    <cellStyle name="claire" xfId="751" xr:uid="{00000000-0005-0000-0000-0000EC020000}"/>
    <cellStyle name="Clean" xfId="752" xr:uid="{00000000-0005-0000-0000-0000ED020000}"/>
    <cellStyle name="Co. Names" xfId="753" xr:uid="{00000000-0005-0000-0000-0000EE020000}"/>
    <cellStyle name="Co. Names - Bold" xfId="754" xr:uid="{00000000-0005-0000-0000-0000EF020000}"/>
    <cellStyle name="Co. Names_317814_3" xfId="755" xr:uid="{00000000-0005-0000-0000-0000F0020000}"/>
    <cellStyle name="COL HEADINGS" xfId="756" xr:uid="{00000000-0005-0000-0000-0000F1020000}"/>
    <cellStyle name="Colhead" xfId="757" xr:uid="{00000000-0005-0000-0000-0000F2020000}"/>
    <cellStyle name="ColHeading" xfId="758" xr:uid="{00000000-0005-0000-0000-0000F3020000}"/>
    <cellStyle name="Column Headings - size 11" xfId="759" xr:uid="{00000000-0005-0000-0000-0000F4020000}"/>
    <cellStyle name="Column_Title" xfId="760" xr:uid="{00000000-0005-0000-0000-0000F5020000}"/>
    <cellStyle name="column1" xfId="761" xr:uid="{00000000-0005-0000-0000-0000F6020000}"/>
    <cellStyle name="column1BigNoWrap" xfId="762" xr:uid="{00000000-0005-0000-0000-0000F7020000}"/>
    <cellStyle name="column1Date" xfId="763" xr:uid="{00000000-0005-0000-0000-0000F8020000}"/>
    <cellStyle name="column2Date" xfId="764" xr:uid="{00000000-0005-0000-0000-0000F9020000}"/>
    <cellStyle name="column3Date" xfId="765" xr:uid="{00000000-0005-0000-0000-0000FA020000}"/>
    <cellStyle name="Comma" xfId="1253" builtinId="3"/>
    <cellStyle name="Comma  - Style1" xfId="766" xr:uid="{00000000-0005-0000-0000-0000FC020000}"/>
    <cellStyle name="Comma  - Style2" xfId="767" xr:uid="{00000000-0005-0000-0000-0000FD020000}"/>
    <cellStyle name="Comma  - Style3" xfId="768" xr:uid="{00000000-0005-0000-0000-0000FE020000}"/>
    <cellStyle name="Comma  - Style4" xfId="769" xr:uid="{00000000-0005-0000-0000-0000FF020000}"/>
    <cellStyle name="Comma  - Style5" xfId="770" xr:uid="{00000000-0005-0000-0000-000000030000}"/>
    <cellStyle name="Comma  - Style6" xfId="771" xr:uid="{00000000-0005-0000-0000-000001030000}"/>
    <cellStyle name="Comma  - Style7" xfId="772" xr:uid="{00000000-0005-0000-0000-000002030000}"/>
    <cellStyle name="Comma  - Style8" xfId="773" xr:uid="{00000000-0005-0000-0000-000003030000}"/>
    <cellStyle name="Comma - 1 Decimal" xfId="774" xr:uid="{00000000-0005-0000-0000-000004030000}"/>
    <cellStyle name="Comma - 2 Decimals" xfId="775" xr:uid="{00000000-0005-0000-0000-000005030000}"/>
    <cellStyle name="Comma (&quot;-&quot;)" xfId="776" xr:uid="{00000000-0005-0000-0000-000006030000}"/>
    <cellStyle name="Comma (0)" xfId="777" xr:uid="{00000000-0005-0000-0000-000007030000}"/>
    <cellStyle name="Comma [#.0]" xfId="778" xr:uid="{00000000-0005-0000-0000-000008030000}"/>
    <cellStyle name="Comma [#.0] P" xfId="779" xr:uid="{00000000-0005-0000-0000-000009030000}"/>
    <cellStyle name="Comma [#.0]_346260_4" xfId="780" xr:uid="{00000000-0005-0000-0000-00000A030000}"/>
    <cellStyle name="Comma [0] (&quot;-&quot;)" xfId="781" xr:uid="{00000000-0005-0000-0000-00000B030000}"/>
    <cellStyle name="Comma [0] P" xfId="782" xr:uid="{00000000-0005-0000-0000-00000C030000}"/>
    <cellStyle name="Comma [00]" xfId="783" xr:uid="{00000000-0005-0000-0000-00000D030000}"/>
    <cellStyle name="Comma [1]" xfId="784" xr:uid="{00000000-0005-0000-0000-00000E030000}"/>
    <cellStyle name="Comma [2]" xfId="785" xr:uid="{00000000-0005-0000-0000-00000F030000}"/>
    <cellStyle name="Comma [3]" xfId="786" xr:uid="{00000000-0005-0000-0000-000010030000}"/>
    <cellStyle name="Comma 0" xfId="787" xr:uid="{00000000-0005-0000-0000-000011030000}"/>
    <cellStyle name="Comma 0*" xfId="788" xr:uid="{00000000-0005-0000-0000-000012030000}"/>
    <cellStyle name="Comma 2" xfId="789" xr:uid="{00000000-0005-0000-0000-000013030000}"/>
    <cellStyle name="Comma 2 2" xfId="790" xr:uid="{00000000-0005-0000-0000-000014030000}"/>
    <cellStyle name="Comma 2 3" xfId="791" xr:uid="{00000000-0005-0000-0000-000015030000}"/>
    <cellStyle name="Comma 2]" xfId="792" xr:uid="{00000000-0005-0000-0000-000016030000}"/>
    <cellStyle name="Comma 2_333325_24" xfId="793" xr:uid="{00000000-0005-0000-0000-000017030000}"/>
    <cellStyle name="Comma 3" xfId="794" xr:uid="{00000000-0005-0000-0000-000018030000}"/>
    <cellStyle name="Comma 4" xfId="795" xr:uid="{00000000-0005-0000-0000-000019030000}"/>
    <cellStyle name="Comma Thousands" xfId="796" xr:uid="{00000000-0005-0000-0000-00001A030000}"/>
    <cellStyle name="comma zerodec" xfId="797" xr:uid="{00000000-0005-0000-0000-00001B030000}"/>
    <cellStyle name="Comma(1)" xfId="798" xr:uid="{00000000-0005-0000-0000-00001C030000}"/>
    <cellStyle name="Comma(2)" xfId="799" xr:uid="{00000000-0005-0000-0000-00001D030000}"/>
    <cellStyle name="comma(3)" xfId="800" xr:uid="{00000000-0005-0000-0000-00001E030000}"/>
    <cellStyle name="Comma, 1 dec" xfId="801" xr:uid="{00000000-0005-0000-0000-00001F030000}"/>
    <cellStyle name="Comma0" xfId="802" xr:uid="{00000000-0005-0000-0000-000020030000}"/>
    <cellStyle name="Comma0 - Style2" xfId="803" xr:uid="{00000000-0005-0000-0000-000021030000}"/>
    <cellStyle name="Comma0 - Style3" xfId="804" xr:uid="{00000000-0005-0000-0000-000022030000}"/>
    <cellStyle name="Comma0_2008.8.12 SLS DCF Valuation v4" xfId="805" xr:uid="{00000000-0005-0000-0000-000023030000}"/>
    <cellStyle name="Comma1" xfId="806" xr:uid="{00000000-0005-0000-0000-000024030000}"/>
    <cellStyle name="Comma1 - Style1" xfId="807" xr:uid="{00000000-0005-0000-0000-000025030000}"/>
    <cellStyle name="Comma1 - Style2" xfId="808" xr:uid="{00000000-0005-0000-0000-000026030000}"/>
    <cellStyle name="Comma2" xfId="809" xr:uid="{00000000-0005-0000-0000-000027030000}"/>
    <cellStyle name="Comma3" xfId="810" xr:uid="{00000000-0005-0000-0000-000028030000}"/>
    <cellStyle name="Company" xfId="811" xr:uid="{00000000-0005-0000-0000-000029030000}"/>
    <cellStyle name="Company name" xfId="812" xr:uid="{00000000-0005-0000-0000-00002A030000}"/>
    <cellStyle name="Copied" xfId="813" xr:uid="{00000000-0005-0000-0000-00002B030000}"/>
    <cellStyle name="cost" xfId="814" xr:uid="{00000000-0005-0000-0000-00002C030000}"/>
    <cellStyle name="Cover Date" xfId="815" xr:uid="{00000000-0005-0000-0000-00002D030000}"/>
    <cellStyle name="Cover Subtitle" xfId="816" xr:uid="{00000000-0005-0000-0000-00002E030000}"/>
    <cellStyle name="Cover Title" xfId="817" xr:uid="{00000000-0005-0000-0000-00002F030000}"/>
    <cellStyle name="cu" xfId="818" xr:uid="{00000000-0005-0000-0000-000030030000}"/>
    <cellStyle name="CurRatio" xfId="819" xr:uid="{00000000-0005-0000-0000-000031030000}"/>
    <cellStyle name="Curren - Style2" xfId="820" xr:uid="{00000000-0005-0000-0000-000032030000}"/>
    <cellStyle name="Currency - 1 decimal" xfId="821" xr:uid="{00000000-0005-0000-0000-000033030000}"/>
    <cellStyle name="Currency - 2 decimals" xfId="822" xr:uid="{00000000-0005-0000-0000-000034030000}"/>
    <cellStyle name="Currency (&quot;-&quot;)" xfId="823" xr:uid="{00000000-0005-0000-0000-000035030000}"/>
    <cellStyle name="Currency ($)" xfId="824" xr:uid="{00000000-0005-0000-0000-000036030000}"/>
    <cellStyle name="Currency (£)" xfId="825" xr:uid="{00000000-0005-0000-0000-000037030000}"/>
    <cellStyle name="Currency (3)" xfId="826" xr:uid="{00000000-0005-0000-0000-000038030000}"/>
    <cellStyle name="Currency [0] (&quot;-&quot;)" xfId="827" xr:uid="{00000000-0005-0000-0000-000039030000}"/>
    <cellStyle name="Currency [0]P" xfId="828" xr:uid="{00000000-0005-0000-0000-00003A030000}"/>
    <cellStyle name="Currency [00]" xfId="829" xr:uid="{00000000-0005-0000-0000-00003B030000}"/>
    <cellStyle name="Currency [1]" xfId="830" xr:uid="{00000000-0005-0000-0000-00003C030000}"/>
    <cellStyle name="Currency [2]" xfId="831" xr:uid="{00000000-0005-0000-0000-00003D030000}"/>
    <cellStyle name="Currency 0" xfId="832" xr:uid="{00000000-0005-0000-0000-00003E030000}"/>
    <cellStyle name="Currency 2" xfId="833" xr:uid="{00000000-0005-0000-0000-00003F030000}"/>
    <cellStyle name="Currency 3" xfId="834" xr:uid="{00000000-0005-0000-0000-000040030000}"/>
    <cellStyle name="Currency P" xfId="835" xr:uid="{00000000-0005-0000-0000-000041030000}"/>
    <cellStyle name="Currency Per Share" xfId="836" xr:uid="{00000000-0005-0000-0000-000042030000}"/>
    <cellStyle name="Currency thousands" xfId="837" xr:uid="{00000000-0005-0000-0000-000043030000}"/>
    <cellStyle name="Currency(1)" xfId="838" xr:uid="{00000000-0005-0000-0000-000044030000}"/>
    <cellStyle name="Currency*" xfId="839" xr:uid="{00000000-0005-0000-0000-000045030000}"/>
    <cellStyle name="Currency0" xfId="840" xr:uid="{00000000-0005-0000-0000-000046030000}"/>
    <cellStyle name="Currency1" xfId="841" xr:uid="{00000000-0005-0000-0000-000047030000}"/>
    <cellStyle name="Currency2" xfId="842" xr:uid="{00000000-0005-0000-0000-000048030000}"/>
    <cellStyle name="Currency3" xfId="843" xr:uid="{00000000-0005-0000-0000-000049030000}"/>
    <cellStyle name="Currsmall" xfId="844" xr:uid="{00000000-0005-0000-0000-00004A030000}"/>
    <cellStyle name="Custom - Opmaakprofiel8" xfId="845" xr:uid="{00000000-0005-0000-0000-00004B030000}"/>
    <cellStyle name="d" xfId="846" xr:uid="{00000000-0005-0000-0000-00004C030000}"/>
    <cellStyle name="d," xfId="847" xr:uid="{00000000-0005-0000-0000-00004D030000}"/>
    <cellStyle name="d/m/yr" xfId="848" xr:uid="{00000000-0005-0000-0000-00004E030000}"/>
    <cellStyle name="d_346260_4" xfId="849" xr:uid="{00000000-0005-0000-0000-00004F030000}"/>
    <cellStyle name="d_yield" xfId="850" xr:uid="{00000000-0005-0000-0000-000050030000}"/>
    <cellStyle name="d_yield_346260_4" xfId="851" xr:uid="{00000000-0005-0000-0000-000051030000}"/>
    <cellStyle name="d_yield_CCRD-muse -2" xfId="852" xr:uid="{00000000-0005-0000-0000-000052030000}"/>
    <cellStyle name="d_yield_DCF-Valuation Support" xfId="853" xr:uid="{00000000-0005-0000-0000-000053030000}"/>
    <cellStyle name="d_yield_ESRX Model 11-19-01" xfId="854" xr:uid="{00000000-0005-0000-0000-000054030000}"/>
    <cellStyle name="d_yield_ICOS-INC" xfId="855" xr:uid="{00000000-0005-0000-0000-000055030000}"/>
    <cellStyle name="d_yield_ICOS-INC (2)" xfId="856" xr:uid="{00000000-0005-0000-0000-000056030000}"/>
    <cellStyle name="d_yield_Merger Model16.xls Chart 1" xfId="857" xr:uid="{00000000-0005-0000-0000-000057030000}"/>
    <cellStyle name="d_yield_Merger Model34b" xfId="858" xr:uid="{00000000-0005-0000-0000-000058030000}"/>
    <cellStyle name="d_yield_MKS 7.29 Valuation" xfId="859" xr:uid="{00000000-0005-0000-0000-000059030000}"/>
    <cellStyle name="d_yield_QTRN_08-12-02" xfId="860" xr:uid="{00000000-0005-0000-0000-00005A030000}"/>
    <cellStyle name="D0" xfId="861" xr:uid="{00000000-0005-0000-0000-00005B030000}"/>
    <cellStyle name="d1" xfId="862" xr:uid="{00000000-0005-0000-0000-00005C030000}"/>
    <cellStyle name="d1," xfId="863" xr:uid="{00000000-0005-0000-0000-00005D030000}"/>
    <cellStyle name="d2" xfId="864" xr:uid="{00000000-0005-0000-0000-00005E030000}"/>
    <cellStyle name="d2," xfId="865" xr:uid="{00000000-0005-0000-0000-00005F030000}"/>
    <cellStyle name="d3" xfId="866" xr:uid="{00000000-0005-0000-0000-000060030000}"/>
    <cellStyle name="Dash" xfId="867" xr:uid="{00000000-0005-0000-0000-000061030000}"/>
    <cellStyle name="data" xfId="868" xr:uid="{00000000-0005-0000-0000-000062030000}"/>
    <cellStyle name="Data   - Opmaakprofiel2" xfId="869" xr:uid="{00000000-0005-0000-0000-000063030000}"/>
    <cellStyle name="data_333325_24" xfId="870" xr:uid="{00000000-0005-0000-0000-000064030000}"/>
    <cellStyle name="Date" xfId="871" xr:uid="{00000000-0005-0000-0000-000065030000}"/>
    <cellStyle name="Date - dd-mmm" xfId="872" xr:uid="{00000000-0005-0000-0000-000066030000}"/>
    <cellStyle name="Date - d-mmm-yy" xfId="873" xr:uid="{00000000-0005-0000-0000-000067030000}"/>
    <cellStyle name="Date - mmm-yy" xfId="874" xr:uid="{00000000-0005-0000-0000-000068030000}"/>
    <cellStyle name="Date - Style1" xfId="875" xr:uid="{00000000-0005-0000-0000-000069030000}"/>
    <cellStyle name="Date [mmm-d-yyyy]" xfId="876" xr:uid="{00000000-0005-0000-0000-00006A030000}"/>
    <cellStyle name="Date [mmm-yy]" xfId="877" xr:uid="{00000000-0005-0000-0000-00006B030000}"/>
    <cellStyle name="Date [mmm-yyyy]" xfId="878" xr:uid="{00000000-0005-0000-0000-00006C030000}"/>
    <cellStyle name="Date Aligned" xfId="879" xr:uid="{00000000-0005-0000-0000-00006D030000}"/>
    <cellStyle name="Date Short" xfId="880" xr:uid="{00000000-0005-0000-0000-00006E030000}"/>
    <cellStyle name="Date title" xfId="881" xr:uid="{00000000-0005-0000-0000-00006F030000}"/>
    <cellStyle name="Date: d/m/y" xfId="882" xr:uid="{00000000-0005-0000-0000-000070030000}"/>
    <cellStyle name="Date: d-mmm-yy" xfId="883" xr:uid="{00000000-0005-0000-0000-000071030000}"/>
    <cellStyle name="Date: m/d/y" xfId="884" xr:uid="{00000000-0005-0000-0000-000072030000}"/>
    <cellStyle name="Date: m/d/yy" xfId="885" xr:uid="{00000000-0005-0000-0000-000073030000}"/>
    <cellStyle name="Date: mmm" xfId="886" xr:uid="{00000000-0005-0000-0000-000074030000}"/>
    <cellStyle name="Date: mmm d, yyyy" xfId="887" xr:uid="{00000000-0005-0000-0000-000075030000}"/>
    <cellStyle name="Date: mmm P" xfId="888" xr:uid="{00000000-0005-0000-0000-000076030000}"/>
    <cellStyle name="Date: mmm_psi_ea" xfId="889" xr:uid="{00000000-0005-0000-0000-000077030000}"/>
    <cellStyle name="Date: mmm-yy" xfId="890" xr:uid="{00000000-0005-0000-0000-000078030000}"/>
    <cellStyle name="Date_01BudAdams" xfId="891" xr:uid="{00000000-0005-0000-0000-000079030000}"/>
    <cellStyle name="Dates" xfId="892" xr:uid="{00000000-0005-0000-0000-00007A030000}"/>
    <cellStyle name="Day-Mon-Yr" xfId="893" xr:uid="{00000000-0005-0000-0000-00007B030000}"/>
    <cellStyle name="Days" xfId="894" xr:uid="{00000000-0005-0000-0000-00007C030000}"/>
    <cellStyle name="Decimal" xfId="895" xr:uid="{00000000-0005-0000-0000-00007D030000}"/>
    <cellStyle name="Decimal Number" xfId="896" xr:uid="{00000000-0005-0000-0000-00007E030000}"/>
    <cellStyle name="Decimal_2008.8.12 SLS DCF Valuation v4" xfId="897" xr:uid="{00000000-0005-0000-0000-00007F030000}"/>
    <cellStyle name="default" xfId="898" xr:uid="{00000000-0005-0000-0000-000080030000}"/>
    <cellStyle name="Dezimal [0]_Price_Master_mt-it" xfId="899" xr:uid="{00000000-0005-0000-0000-000081030000}"/>
    <cellStyle name="Dezimal_Forecast IP-Transit Europe Rev.2.0b" xfId="900" xr:uid="{00000000-0005-0000-0000-000082030000}"/>
    <cellStyle name="Dollar" xfId="901" xr:uid="{00000000-0005-0000-0000-000083030000}"/>
    <cellStyle name="Dollar - Style5" xfId="902" xr:uid="{00000000-0005-0000-0000-000084030000}"/>
    <cellStyle name="Dollar (zero dec)" xfId="903" xr:uid="{00000000-0005-0000-0000-000085030000}"/>
    <cellStyle name="Dollar.$" xfId="904" xr:uid="{00000000-0005-0000-0000-000086030000}"/>
    <cellStyle name="dollar.0" xfId="905" xr:uid="{00000000-0005-0000-0000-000087030000}"/>
    <cellStyle name="dollar_346260_4" xfId="906" xr:uid="{00000000-0005-0000-0000-000088030000}"/>
    <cellStyle name="Dollars" xfId="907" xr:uid="{00000000-0005-0000-0000-000089030000}"/>
    <cellStyle name="Dollars []" xfId="908" xr:uid="{00000000-0005-0000-0000-00008A030000}"/>
    <cellStyle name="Dollars_short form 2.5" xfId="909" xr:uid="{00000000-0005-0000-0000-00008B030000}"/>
    <cellStyle name="Dotted Line" xfId="910" xr:uid="{00000000-0005-0000-0000-00008C030000}"/>
    <cellStyle name="dp*Accent" xfId="911" xr:uid="{00000000-0005-0000-0000-00008D030000}"/>
    <cellStyle name="dp*ChartSubTitle" xfId="912" xr:uid="{00000000-0005-0000-0000-00008E030000}"/>
    <cellStyle name="dp*ChartTitle" xfId="913" xr:uid="{00000000-0005-0000-0000-00008F030000}"/>
    <cellStyle name="dp*ColumnHeading1" xfId="914" xr:uid="{00000000-0005-0000-0000-000090030000}"/>
    <cellStyle name="dp*ColumnHeading2" xfId="915" xr:uid="{00000000-0005-0000-0000-000091030000}"/>
    <cellStyle name="dp*ColumnHeadingDate" xfId="916" xr:uid="{00000000-0005-0000-0000-000092030000}"/>
    <cellStyle name="dp*FiscalDate" xfId="917" xr:uid="{00000000-0005-0000-0000-000093030000}"/>
    <cellStyle name="dp*Footnote" xfId="918" xr:uid="{00000000-0005-0000-0000-000094030000}"/>
    <cellStyle name="dp*Information" xfId="919" xr:uid="{00000000-0005-0000-0000-000095030000}"/>
    <cellStyle name="dp*LabelItalics" xfId="920" xr:uid="{00000000-0005-0000-0000-000096030000}"/>
    <cellStyle name="dp*LabelItalicsLineAbove" xfId="921" xr:uid="{00000000-0005-0000-0000-000097030000}"/>
    <cellStyle name="dp*LabelLine" xfId="922" xr:uid="{00000000-0005-0000-0000-000098030000}"/>
    <cellStyle name="dp*Labels" xfId="923" xr:uid="{00000000-0005-0000-0000-000099030000}"/>
    <cellStyle name="dp*Normal" xfId="924" xr:uid="{00000000-0005-0000-0000-00009A030000}"/>
    <cellStyle name="dp*NormalCurrency1Dec." xfId="925" xr:uid="{00000000-0005-0000-0000-00009B030000}"/>
    <cellStyle name="dp*NormalCurrency2Dec." xfId="926" xr:uid="{00000000-0005-0000-0000-00009C030000}"/>
    <cellStyle name="dp*Number%Italics" xfId="927" xr:uid="{00000000-0005-0000-0000-00009D030000}"/>
    <cellStyle name="dp*Number%ItalicsLineAbove" xfId="928" xr:uid="{00000000-0005-0000-0000-00009E030000}"/>
    <cellStyle name="dp*NumberCurrencyLine" xfId="929" xr:uid="{00000000-0005-0000-0000-00009F030000}"/>
    <cellStyle name="dp*NumberGeneral" xfId="930" xr:uid="{00000000-0005-0000-0000-0000A0030000}"/>
    <cellStyle name="dp*NumberGeneral2Dec." xfId="931" xr:uid="{00000000-0005-0000-0000-0000A1030000}"/>
    <cellStyle name="dp*NumberLine" xfId="932" xr:uid="{00000000-0005-0000-0000-0000A2030000}"/>
    <cellStyle name="dp*NumberLineEPS" xfId="933" xr:uid="{00000000-0005-0000-0000-0000A3030000}"/>
    <cellStyle name="dp*NumberSpecial" xfId="934" xr:uid="{00000000-0005-0000-0000-0000A4030000}"/>
    <cellStyle name="dp*RatioX" xfId="935" xr:uid="{00000000-0005-0000-0000-0000A5030000}"/>
    <cellStyle name="dp*SeriesName" xfId="936" xr:uid="{00000000-0005-0000-0000-0000A6030000}"/>
    <cellStyle name="dp*SheetSubTitle" xfId="937" xr:uid="{00000000-0005-0000-0000-0000A7030000}"/>
    <cellStyle name="dp*SheetTitle" xfId="938" xr:uid="{00000000-0005-0000-0000-0000A8030000}"/>
    <cellStyle name="dp*SubTitle" xfId="939" xr:uid="{00000000-0005-0000-0000-0000A9030000}"/>
    <cellStyle name="dp*ThickLineAbove" xfId="940" xr:uid="{00000000-0005-0000-0000-0000AA030000}"/>
    <cellStyle name="dp*ThickLineBelow" xfId="941" xr:uid="{00000000-0005-0000-0000-0000AB030000}"/>
    <cellStyle name="dp*ThinLineAbove" xfId="942" xr:uid="{00000000-0005-0000-0000-0000AC030000}"/>
    <cellStyle name="dp*ThinLineBelow" xfId="943" xr:uid="{00000000-0005-0000-0000-0000AD030000}"/>
    <cellStyle name="dp*XAxisTitle" xfId="944" xr:uid="{00000000-0005-0000-0000-0000AE030000}"/>
    <cellStyle name="dp*Y2AxisTitle" xfId="945" xr:uid="{00000000-0005-0000-0000-0000AF030000}"/>
    <cellStyle name="dp*YAxisTitle" xfId="946" xr:uid="{00000000-0005-0000-0000-0000B0030000}"/>
    <cellStyle name="e" xfId="947" xr:uid="{00000000-0005-0000-0000-0000B1030000}"/>
    <cellStyle name="e_Sheet1" xfId="948" xr:uid="{00000000-0005-0000-0000-0000B2030000}"/>
    <cellStyle name="e1" xfId="949" xr:uid="{00000000-0005-0000-0000-0000B3030000}"/>
    <cellStyle name="e2" xfId="950" xr:uid="{00000000-0005-0000-0000-0000B4030000}"/>
    <cellStyle name="Enter Currency (0)" xfId="951" xr:uid="{00000000-0005-0000-0000-0000B5030000}"/>
    <cellStyle name="Enter Currency (2)" xfId="952" xr:uid="{00000000-0005-0000-0000-0000B6030000}"/>
    <cellStyle name="Enter Units (0)" xfId="953" xr:uid="{00000000-0005-0000-0000-0000B7030000}"/>
    <cellStyle name="Enter Units (1)" xfId="954" xr:uid="{00000000-0005-0000-0000-0000B8030000}"/>
    <cellStyle name="Enter Units (2)" xfId="955" xr:uid="{00000000-0005-0000-0000-0000B9030000}"/>
    <cellStyle name="Entered" xfId="956" xr:uid="{00000000-0005-0000-0000-0000BA030000}"/>
    <cellStyle name="Entries" xfId="957" xr:uid="{00000000-0005-0000-0000-0000BB030000}"/>
    <cellStyle name="EPS" xfId="958" xr:uid="{00000000-0005-0000-0000-0000BC030000}"/>
    <cellStyle name="eps$" xfId="959" xr:uid="{00000000-0005-0000-0000-0000BD030000}"/>
    <cellStyle name="eps$A" xfId="960" xr:uid="{00000000-0005-0000-0000-0000BE030000}"/>
    <cellStyle name="eps$E" xfId="961" xr:uid="{00000000-0005-0000-0000-0000BF030000}"/>
    <cellStyle name="epsA" xfId="962" xr:uid="{00000000-0005-0000-0000-0000C0030000}"/>
    <cellStyle name="epsE" xfId="963" xr:uid="{00000000-0005-0000-0000-0000C1030000}"/>
    <cellStyle name="Euro" xfId="964" xr:uid="{00000000-0005-0000-0000-0000C2030000}"/>
    <cellStyle name="ExchangeRatio" xfId="965" xr:uid="{00000000-0005-0000-0000-0000C3030000}"/>
    <cellStyle name="External File Cells" xfId="966" xr:uid="{00000000-0005-0000-0000-0000C4030000}"/>
    <cellStyle name="F2" xfId="967" xr:uid="{00000000-0005-0000-0000-0000C5030000}"/>
    <cellStyle name="F3" xfId="968" xr:uid="{00000000-0005-0000-0000-0000C6030000}"/>
    <cellStyle name="F4" xfId="969" xr:uid="{00000000-0005-0000-0000-0000C7030000}"/>
    <cellStyle name="F5" xfId="970" xr:uid="{00000000-0005-0000-0000-0000C8030000}"/>
    <cellStyle name="F6" xfId="971" xr:uid="{00000000-0005-0000-0000-0000C9030000}"/>
    <cellStyle name="F7" xfId="972" xr:uid="{00000000-0005-0000-0000-0000CA030000}"/>
    <cellStyle name="F8" xfId="973" xr:uid="{00000000-0005-0000-0000-0000CB030000}"/>
    <cellStyle name="Fixed" xfId="974" xr:uid="{00000000-0005-0000-0000-0000CC030000}"/>
    <cellStyle name="Fixed0" xfId="975" xr:uid="{00000000-0005-0000-0000-0000CD030000}"/>
    <cellStyle name="Fixlong" xfId="976" xr:uid="{00000000-0005-0000-0000-0000CE030000}"/>
    <cellStyle name="Footer SBILogo1" xfId="977" xr:uid="{00000000-0005-0000-0000-0000CF030000}"/>
    <cellStyle name="Footer SBILogo2" xfId="978" xr:uid="{00000000-0005-0000-0000-0000D0030000}"/>
    <cellStyle name="Footnote" xfId="979" xr:uid="{00000000-0005-0000-0000-0000D1030000}"/>
    <cellStyle name="Footnote Reference" xfId="980" xr:uid="{00000000-0005-0000-0000-0000D2030000}"/>
    <cellStyle name="Footnote_180415_5" xfId="981" xr:uid="{00000000-0005-0000-0000-0000D3030000}"/>
    <cellStyle name="footnote2" xfId="982" xr:uid="{00000000-0005-0000-0000-0000D4030000}"/>
    <cellStyle name="Footnotes" xfId="983" xr:uid="{00000000-0005-0000-0000-0000D5030000}"/>
    <cellStyle name="Forecast Cells" xfId="984" xr:uid="{00000000-0005-0000-0000-0000D6030000}"/>
    <cellStyle name="Formula - size 10" xfId="985" xr:uid="{00000000-0005-0000-0000-0000D7030000}"/>
    <cellStyle name="Formula - size 11" xfId="986" xr:uid="{00000000-0005-0000-0000-0000D8030000}"/>
    <cellStyle name="FRxAmtStyle" xfId="987" xr:uid="{00000000-0005-0000-0000-0000D9030000}"/>
    <cellStyle name="FRxAmtStyle 10" xfId="988" xr:uid="{00000000-0005-0000-0000-0000DA030000}"/>
    <cellStyle name="FRxAmtStyle 11" xfId="989" xr:uid="{00000000-0005-0000-0000-0000DB030000}"/>
    <cellStyle name="FRxAmtStyle 12" xfId="990" xr:uid="{00000000-0005-0000-0000-0000DC030000}"/>
    <cellStyle name="FRxAmtStyle 13" xfId="991" xr:uid="{00000000-0005-0000-0000-0000DD030000}"/>
    <cellStyle name="FRxAmtStyle 14" xfId="992" xr:uid="{00000000-0005-0000-0000-0000DE030000}"/>
    <cellStyle name="FRxAmtStyle 15" xfId="993" xr:uid="{00000000-0005-0000-0000-0000DF030000}"/>
    <cellStyle name="FRxAmtStyle 16" xfId="994" xr:uid="{00000000-0005-0000-0000-0000E0030000}"/>
    <cellStyle name="FRxAmtStyle 17" xfId="995" xr:uid="{00000000-0005-0000-0000-0000E1030000}"/>
    <cellStyle name="FRxAmtStyle 18" xfId="996" xr:uid="{00000000-0005-0000-0000-0000E2030000}"/>
    <cellStyle name="FRxAmtStyle 19" xfId="997" xr:uid="{00000000-0005-0000-0000-0000E3030000}"/>
    <cellStyle name="FRxAmtStyle 2" xfId="998" xr:uid="{00000000-0005-0000-0000-0000E4030000}"/>
    <cellStyle name="FRxAmtStyle 2 2" xfId="999" xr:uid="{00000000-0005-0000-0000-0000E5030000}"/>
    <cellStyle name="FRxAmtStyle 20" xfId="1000" xr:uid="{00000000-0005-0000-0000-0000E6030000}"/>
    <cellStyle name="FRxAmtStyle 21" xfId="1001" xr:uid="{00000000-0005-0000-0000-0000E7030000}"/>
    <cellStyle name="FRxAmtStyle 22" xfId="1002" xr:uid="{00000000-0005-0000-0000-0000E8030000}"/>
    <cellStyle name="FRxAmtStyle 3" xfId="1003" xr:uid="{00000000-0005-0000-0000-0000E9030000}"/>
    <cellStyle name="FRxAmtStyle 3 2" xfId="1004" xr:uid="{00000000-0005-0000-0000-0000EA030000}"/>
    <cellStyle name="FRxAmtStyle 4" xfId="1005" xr:uid="{00000000-0005-0000-0000-0000EB030000}"/>
    <cellStyle name="FRxAmtStyle 5" xfId="1006" xr:uid="{00000000-0005-0000-0000-0000EC030000}"/>
    <cellStyle name="FRxAmtStyle 6" xfId="1007" xr:uid="{00000000-0005-0000-0000-0000ED030000}"/>
    <cellStyle name="FRxAmtStyle 7" xfId="1008" xr:uid="{00000000-0005-0000-0000-0000EE030000}"/>
    <cellStyle name="FRxAmtStyle 8" xfId="1009" xr:uid="{00000000-0005-0000-0000-0000EF030000}"/>
    <cellStyle name="FRxAmtStyle 9" xfId="1010" xr:uid="{00000000-0005-0000-0000-0000F0030000}"/>
    <cellStyle name="FRxCurrStyle" xfId="1011" xr:uid="{00000000-0005-0000-0000-0000F1030000}"/>
    <cellStyle name="FRxPcntStyle" xfId="1012" xr:uid="{00000000-0005-0000-0000-0000F2030000}"/>
    <cellStyle name="FRxPcntStyle 10" xfId="1013" xr:uid="{00000000-0005-0000-0000-0000F3030000}"/>
    <cellStyle name="FRxPcntStyle 11" xfId="1014" xr:uid="{00000000-0005-0000-0000-0000F4030000}"/>
    <cellStyle name="FRxPcntStyle 12" xfId="1015" xr:uid="{00000000-0005-0000-0000-0000F5030000}"/>
    <cellStyle name="FRxPcntStyle 13" xfId="1016" xr:uid="{00000000-0005-0000-0000-0000F6030000}"/>
    <cellStyle name="FRxPcntStyle 2" xfId="1017" xr:uid="{00000000-0005-0000-0000-0000F7030000}"/>
    <cellStyle name="FRxPcntStyle 3" xfId="1018" xr:uid="{00000000-0005-0000-0000-0000F8030000}"/>
    <cellStyle name="FRxPcntStyle 4" xfId="1019" xr:uid="{00000000-0005-0000-0000-0000F9030000}"/>
    <cellStyle name="FRxPcntStyle 5" xfId="1020" xr:uid="{00000000-0005-0000-0000-0000FA030000}"/>
    <cellStyle name="FRxPcntStyle 6" xfId="1021" xr:uid="{00000000-0005-0000-0000-0000FB030000}"/>
    <cellStyle name="FRxPcntStyle 7" xfId="1022" xr:uid="{00000000-0005-0000-0000-0000FC030000}"/>
    <cellStyle name="FRxPcntStyle 8" xfId="1023" xr:uid="{00000000-0005-0000-0000-0000FD030000}"/>
    <cellStyle name="FRxPcntStyle 9" xfId="1024" xr:uid="{00000000-0005-0000-0000-0000FE030000}"/>
    <cellStyle name="Full Date" xfId="1025" xr:uid="{00000000-0005-0000-0000-0000FF030000}"/>
    <cellStyle name="Full Year" xfId="1026" xr:uid="{00000000-0005-0000-0000-000000040000}"/>
    <cellStyle name="FXR02" xfId="1027" xr:uid="{00000000-0005-0000-0000-000001040000}"/>
    <cellStyle name="FXR03" xfId="1028" xr:uid="{00000000-0005-0000-0000-000002040000}"/>
    <cellStyle name="FXR04" xfId="1029" xr:uid="{00000000-0005-0000-0000-000003040000}"/>
    <cellStyle name="FXR05" xfId="1030" xr:uid="{00000000-0005-0000-0000-000004040000}"/>
    <cellStyle name="FXR06" xfId="1031" xr:uid="{00000000-0005-0000-0000-000005040000}"/>
    <cellStyle name="FXR07" xfId="1032" xr:uid="{00000000-0005-0000-0000-000006040000}"/>
    <cellStyle name="fy_eps$" xfId="1033" xr:uid="{00000000-0005-0000-0000-000007040000}"/>
    <cellStyle name="g" xfId="1034" xr:uid="{00000000-0005-0000-0000-000008040000}"/>
    <cellStyle name="g_rate" xfId="1035" xr:uid="{00000000-0005-0000-0000-000009040000}"/>
    <cellStyle name="g_rate_346260_4" xfId="1036" xr:uid="{00000000-0005-0000-0000-00000A040000}"/>
    <cellStyle name="g_rate_DCF-Valuation Support" xfId="1037" xr:uid="{00000000-0005-0000-0000-00000B040000}"/>
    <cellStyle name="g_rate_ESRX Model 11-19-01" xfId="1038" xr:uid="{00000000-0005-0000-0000-00000C040000}"/>
    <cellStyle name="g_rate_ICOS-INC" xfId="1039" xr:uid="{00000000-0005-0000-0000-00000D040000}"/>
    <cellStyle name="g_rate_ICOS-INC (2)" xfId="1040" xr:uid="{00000000-0005-0000-0000-00000E040000}"/>
    <cellStyle name="g_rate_Merger Model16.xls Chart 1" xfId="1041" xr:uid="{00000000-0005-0000-0000-00000F040000}"/>
    <cellStyle name="g_rate_Merger Model34b" xfId="1042" xr:uid="{00000000-0005-0000-0000-000010040000}"/>
    <cellStyle name="g_rate_QTRN_08-12-02" xfId="1043" xr:uid="{00000000-0005-0000-0000-000011040000}"/>
    <cellStyle name="G1_1999 figures" xfId="1044" xr:uid="{00000000-0005-0000-0000-000012040000}"/>
    <cellStyle name="Gen. Number" xfId="1045" xr:uid="{00000000-0005-0000-0000-000013040000}"/>
    <cellStyle name="Gen. Percent" xfId="1046" xr:uid="{00000000-0005-0000-0000-000014040000}"/>
    <cellStyle name="Gen.Number" xfId="1047" xr:uid="{00000000-0005-0000-0000-000015040000}"/>
    <cellStyle name="general" xfId="1048" xr:uid="{00000000-0005-0000-0000-000016040000}"/>
    <cellStyle name="Gray Border" xfId="1049" xr:uid="{00000000-0005-0000-0000-000017040000}"/>
    <cellStyle name="grayText2" xfId="1050" xr:uid="{00000000-0005-0000-0000-000018040000}"/>
    <cellStyle name="grayText2Big" xfId="1051" xr:uid="{00000000-0005-0000-0000-000019040000}"/>
    <cellStyle name="Green" xfId="1052" xr:uid="{00000000-0005-0000-0000-00001A040000}"/>
    <cellStyle name="Grey" xfId="1053" xr:uid="{00000000-0005-0000-0000-00001B040000}"/>
    <cellStyle name="Grey Heading" xfId="1054" xr:uid="{00000000-0005-0000-0000-00001C040000}"/>
    <cellStyle name="Grey_333325_24" xfId="1055" xr:uid="{00000000-0005-0000-0000-00001D040000}"/>
    <cellStyle name="H_1998_col_head" xfId="1056" xr:uid="{00000000-0005-0000-0000-00001E040000}"/>
    <cellStyle name="H_1999_col_head" xfId="1057" xr:uid="{00000000-0005-0000-0000-00001F040000}"/>
    <cellStyle name="H1_1998 figures" xfId="1058" xr:uid="{00000000-0005-0000-0000-000020040000}"/>
    <cellStyle name="hard no." xfId="1059" xr:uid="{00000000-0005-0000-0000-000021040000}"/>
    <cellStyle name="Hard Percent" xfId="1060" xr:uid="{00000000-0005-0000-0000-000022040000}"/>
    <cellStyle name="Header" xfId="1061" xr:uid="{00000000-0005-0000-0000-000023040000}"/>
    <cellStyle name="Header Draft Stamp" xfId="1062" xr:uid="{00000000-0005-0000-0000-000024040000}"/>
    <cellStyle name="HEADER_181218_2" xfId="1063" xr:uid="{00000000-0005-0000-0000-000025040000}"/>
    <cellStyle name="Header1" xfId="1064" xr:uid="{00000000-0005-0000-0000-000026040000}"/>
    <cellStyle name="Header2" xfId="1065" xr:uid="{00000000-0005-0000-0000-000027040000}"/>
    <cellStyle name="headers" xfId="1066" xr:uid="{00000000-0005-0000-0000-000028040000}"/>
    <cellStyle name="Headin - Style2" xfId="1067" xr:uid="{00000000-0005-0000-0000-000029040000}"/>
    <cellStyle name="Headin - Style6" xfId="1068" xr:uid="{00000000-0005-0000-0000-00002A040000}"/>
    <cellStyle name="heading" xfId="1069" xr:uid="{00000000-0005-0000-0000-00002B040000}"/>
    <cellStyle name="Heading 1 Above" xfId="1070" xr:uid="{00000000-0005-0000-0000-00002C040000}"/>
    <cellStyle name="Heading 1+" xfId="1071" xr:uid="{00000000-0005-0000-0000-00002D040000}"/>
    <cellStyle name="Heading 2 Below" xfId="1072" xr:uid="{00000000-0005-0000-0000-00002E040000}"/>
    <cellStyle name="Heading 2+" xfId="1073" xr:uid="{00000000-0005-0000-0000-00002F040000}"/>
    <cellStyle name="Heading 3+" xfId="1074" xr:uid="{00000000-0005-0000-0000-000030040000}"/>
    <cellStyle name="Heading No Underline" xfId="1075" xr:uid="{00000000-0005-0000-0000-000031040000}"/>
    <cellStyle name="Heading SS" xfId="1076" xr:uid="{00000000-0005-0000-0000-000032040000}"/>
    <cellStyle name="Heading With Underline" xfId="1077" xr:uid="{00000000-0005-0000-0000-000033040000}"/>
    <cellStyle name="Heading1" xfId="1078" xr:uid="{00000000-0005-0000-0000-000034040000}"/>
    <cellStyle name="Heading2" xfId="1079" xr:uid="{00000000-0005-0000-0000-000035040000}"/>
    <cellStyle name="Heading3" xfId="1080" xr:uid="{00000000-0005-0000-0000-000036040000}"/>
    <cellStyle name="Heading4" xfId="1081" xr:uid="{00000000-0005-0000-0000-000037040000}"/>
    <cellStyle name="Heading5" xfId="1082" xr:uid="{00000000-0005-0000-0000-000038040000}"/>
    <cellStyle name="Headings" xfId="1083" xr:uid="{00000000-0005-0000-0000-000039040000}"/>
    <cellStyle name="Headline" xfId="1084" xr:uid="{00000000-0005-0000-0000-00003A040000}"/>
    <cellStyle name="Hidden" xfId="1085" xr:uid="{00000000-0005-0000-0000-00003B040000}"/>
    <cellStyle name="Highlight" xfId="1086" xr:uid="{00000000-0005-0000-0000-00003C040000}"/>
    <cellStyle name="IDD" xfId="1087" xr:uid="{00000000-0005-0000-0000-00003D040000}"/>
    <cellStyle name="in" xfId="1088" xr:uid="{00000000-0005-0000-0000-00003E040000}"/>
    <cellStyle name="Input [yellow]" xfId="1089" xr:uid="{00000000-0005-0000-0000-00003F040000}"/>
    <cellStyle name="Input cell" xfId="1090" xr:uid="{00000000-0005-0000-0000-000040040000}"/>
    <cellStyle name="Input Cells" xfId="1091" xr:uid="{00000000-0005-0000-0000-000041040000}"/>
    <cellStyle name="Input comma" xfId="1092" xr:uid="{00000000-0005-0000-0000-000042040000}"/>
    <cellStyle name="Input Currency" xfId="1093" xr:uid="{00000000-0005-0000-0000-000043040000}"/>
    <cellStyle name="Input Currency 2" xfId="1094" xr:uid="{00000000-0005-0000-0000-000044040000}"/>
    <cellStyle name="Input Currency_194217_9" xfId="1095" xr:uid="{00000000-0005-0000-0000-000045040000}"/>
    <cellStyle name="Input Date" xfId="1096" xr:uid="{00000000-0005-0000-0000-000046040000}"/>
    <cellStyle name="Input Hist" xfId="1097" xr:uid="{00000000-0005-0000-0000-000047040000}"/>
    <cellStyle name="Input Mult" xfId="1098" xr:uid="{00000000-0005-0000-0000-000048040000}"/>
    <cellStyle name="Input Multiple" xfId="1099" xr:uid="{00000000-0005-0000-0000-000049040000}"/>
    <cellStyle name="Input normal" xfId="1100" xr:uid="{00000000-0005-0000-0000-00004A040000}"/>
    <cellStyle name="Input Percent" xfId="1101" xr:uid="{00000000-0005-0000-0000-00004B040000}"/>
    <cellStyle name="Input Text" xfId="1102" xr:uid="{00000000-0005-0000-0000-00004C040000}"/>
    <cellStyle name="Input Years" xfId="1103" xr:uid="{00000000-0005-0000-0000-00004D040000}"/>
    <cellStyle name="Input Yes-No" xfId="1104" xr:uid="{00000000-0005-0000-0000-00004E040000}"/>
    <cellStyle name="Input0" xfId="1105" xr:uid="{00000000-0005-0000-0000-00004F040000}"/>
    <cellStyle name="InputCurrency" xfId="1106" xr:uid="{00000000-0005-0000-0000-000050040000}"/>
    <cellStyle name="InputCurrency2" xfId="1107" xr:uid="{00000000-0005-0000-0000-000051040000}"/>
    <cellStyle name="InputDateDMth" xfId="1108" xr:uid="{00000000-0005-0000-0000-000052040000}"/>
    <cellStyle name="InputDateNorm" xfId="1109" xr:uid="{00000000-0005-0000-0000-000053040000}"/>
    <cellStyle name="InputMultiple1" xfId="1110" xr:uid="{00000000-0005-0000-0000-000054040000}"/>
    <cellStyle name="InputNormal" xfId="1111" xr:uid="{00000000-0005-0000-0000-000055040000}"/>
    <cellStyle name="InputPercent1" xfId="1112" xr:uid="{00000000-0005-0000-0000-000056040000}"/>
    <cellStyle name="Inputs" xfId="1113" xr:uid="{00000000-0005-0000-0000-000057040000}"/>
    <cellStyle name="InputUlineNumeric" xfId="1114" xr:uid="{00000000-0005-0000-0000-000058040000}"/>
    <cellStyle name="Integer" xfId="1115" xr:uid="{00000000-0005-0000-0000-000059040000}"/>
    <cellStyle name="Italics" xfId="1116" xr:uid="{00000000-0005-0000-0000-00005A040000}"/>
    <cellStyle name="Item" xfId="1117" xr:uid="{00000000-0005-0000-0000-00005B040000}"/>
    <cellStyle name="Item Descriptions" xfId="1118" xr:uid="{00000000-0005-0000-0000-00005C040000}"/>
    <cellStyle name="Item Descriptions - Bold" xfId="1119" xr:uid="{00000000-0005-0000-0000-00005D040000}"/>
    <cellStyle name="Item Descriptions_317814_3" xfId="1120" xr:uid="{00000000-0005-0000-0000-00005E040000}"/>
    <cellStyle name="Item_LBO" xfId="1121" xr:uid="{00000000-0005-0000-0000-00005F040000}"/>
    <cellStyle name="ItemTypeClass" xfId="1122" xr:uid="{00000000-0005-0000-0000-000060040000}"/>
    <cellStyle name="Komma [0]_Blad5 (2)" xfId="1123" xr:uid="{00000000-0005-0000-0000-000061040000}"/>
    <cellStyle name="Komma_Blad5 (2)" xfId="1124" xr:uid="{00000000-0005-0000-0000-000062040000}"/>
    <cellStyle name="KP_Normal" xfId="1125" xr:uid="{00000000-0005-0000-0000-000063040000}"/>
    <cellStyle name="L0" xfId="1126" xr:uid="{00000000-0005-0000-0000-000064040000}"/>
    <cellStyle name="L1" xfId="1127" xr:uid="{00000000-0005-0000-0000-000065040000}"/>
    <cellStyle name="L2" xfId="1128" xr:uid="{00000000-0005-0000-0000-000066040000}"/>
    <cellStyle name="L3" xfId="1129" xr:uid="{00000000-0005-0000-0000-000067040000}"/>
    <cellStyle name="Labels - Opmaakprofiel3" xfId="1130" xr:uid="{00000000-0005-0000-0000-000068040000}"/>
    <cellStyle name="lborder" xfId="1131" xr:uid="{00000000-0005-0000-0000-000069040000}"/>
    <cellStyle name="Left Border Dotted" xfId="1132" xr:uid="{00000000-0005-0000-0000-00006A040000}"/>
    <cellStyle name="leftStyle" xfId="1133" xr:uid="{00000000-0005-0000-0000-00006B040000}"/>
    <cellStyle name="leftStyle2" xfId="1134" xr:uid="{00000000-0005-0000-0000-00006C040000}"/>
    <cellStyle name="Line" xfId="1135" xr:uid="{00000000-0005-0000-0000-00006D040000}"/>
    <cellStyle name="LineItem" xfId="1136" xr:uid="{00000000-0005-0000-0000-00006E040000}"/>
    <cellStyle name="Link" xfId="1137" xr:uid="{00000000-0005-0000-0000-00006F040000}"/>
    <cellStyle name="Link Currency (0)" xfId="1138" xr:uid="{00000000-0005-0000-0000-000070040000}"/>
    <cellStyle name="Link Currency (2)" xfId="1139" xr:uid="{00000000-0005-0000-0000-000071040000}"/>
    <cellStyle name="Link Units (0)" xfId="1140" xr:uid="{00000000-0005-0000-0000-000072040000}"/>
    <cellStyle name="Link Units (1)" xfId="1141" xr:uid="{00000000-0005-0000-0000-000073040000}"/>
    <cellStyle name="Link Units (2)" xfId="1142" xr:uid="{00000000-0005-0000-0000-000074040000}"/>
    <cellStyle name="Link_LBO" xfId="1143" xr:uid="{00000000-0005-0000-0000-000075040000}"/>
    <cellStyle name="Long Date" xfId="1144" xr:uid="{00000000-0005-0000-0000-000076040000}"/>
    <cellStyle name="m" xfId="1145" xr:uid="{00000000-0005-0000-0000-000077040000}"/>
    <cellStyle name="m$" xfId="1146" xr:uid="{00000000-0005-0000-0000-000078040000}"/>
    <cellStyle name="m/d/yy" xfId="1147" xr:uid="{00000000-0005-0000-0000-000079040000}"/>
    <cellStyle name="m_346260_4" xfId="1148" xr:uid="{00000000-0005-0000-0000-00007A040000}"/>
    <cellStyle name="m_Angola Congo Model3" xfId="1149" xr:uid="{00000000-0005-0000-0000-00007B040000}"/>
    <cellStyle name="m_CCRD-muse -2" xfId="1150" xr:uid="{00000000-0005-0000-0000-00007C040000}"/>
    <cellStyle name="m_DCF-Valuation Support" xfId="1151" xr:uid="{00000000-0005-0000-0000-00007D040000}"/>
    <cellStyle name="m_ESRX Model 11-19-01" xfId="1152" xr:uid="{00000000-0005-0000-0000-00007E040000}"/>
    <cellStyle name="m_ICOS-INC" xfId="1153" xr:uid="{00000000-0005-0000-0000-00007F040000}"/>
    <cellStyle name="m_ICOS-INC (2)" xfId="1154" xr:uid="{00000000-0005-0000-0000-000080040000}"/>
    <cellStyle name="m_Merger Model16.xls Chart 1" xfId="1155" xr:uid="{00000000-0005-0000-0000-000081040000}"/>
    <cellStyle name="m_Merger Model34b" xfId="1156" xr:uid="{00000000-0005-0000-0000-000082040000}"/>
    <cellStyle name="m_MKS 7.29 Valuation" xfId="1157" xr:uid="{00000000-0005-0000-0000-000083040000}"/>
    <cellStyle name="m_MKSI_combined" xfId="1158" xr:uid="{00000000-0005-0000-0000-000084040000}"/>
    <cellStyle name="m_MKSI_combined1" xfId="1159" xr:uid="{00000000-0005-0000-0000-000085040000}"/>
    <cellStyle name="m_MKSI-INC" xfId="1160" xr:uid="{00000000-0005-0000-0000-000086040000}"/>
    <cellStyle name="m_QTRN_08-12-02" xfId="1161" xr:uid="{00000000-0005-0000-0000-000087040000}"/>
    <cellStyle name="m_Region Rollup - 5 yr Consolidated Model_v1" xfId="1162" xr:uid="{00000000-0005-0000-0000-000088040000}"/>
    <cellStyle name="M0" xfId="1163" xr:uid="{00000000-0005-0000-0000-000089040000}"/>
    <cellStyle name="m1" xfId="1164" xr:uid="{00000000-0005-0000-0000-00008A040000}"/>
    <cellStyle name="m2" xfId="1165" xr:uid="{00000000-0005-0000-0000-00008B040000}"/>
    <cellStyle name="m3" xfId="1166" xr:uid="{00000000-0005-0000-0000-00008C040000}"/>
    <cellStyle name="Mainhead" xfId="1167" xr:uid="{00000000-0005-0000-0000-00008D040000}"/>
    <cellStyle name="Map Labels" xfId="1168" xr:uid="{00000000-0005-0000-0000-00008E040000}"/>
    <cellStyle name="Map Legend" xfId="1169" xr:uid="{00000000-0005-0000-0000-00008F040000}"/>
    <cellStyle name="Map Title" xfId="1170" xr:uid="{00000000-0005-0000-0000-000090040000}"/>
    <cellStyle name="Margin" xfId="1171" xr:uid="{00000000-0005-0000-0000-000091040000}"/>
    <cellStyle name="Migliaia (0)_Cartel3" xfId="1172" xr:uid="{00000000-0005-0000-0000-000092040000}"/>
    <cellStyle name="Migliaia_Foglio1" xfId="1173" xr:uid="{00000000-0005-0000-0000-000093040000}"/>
    <cellStyle name="mike" xfId="1174" xr:uid="{00000000-0005-0000-0000-000094040000}"/>
    <cellStyle name="mike%" xfId="1175" xr:uid="{00000000-0005-0000-0000-000095040000}"/>
    <cellStyle name="Millares" xfId="1176" xr:uid="{00000000-0005-0000-0000-000096040000}"/>
    <cellStyle name="Millares [0]" xfId="1177" xr:uid="{00000000-0005-0000-0000-000097040000}"/>
    <cellStyle name="Millares_fieldp1" xfId="1178" xr:uid="{00000000-0005-0000-0000-000098040000}"/>
    <cellStyle name="Milliers [0]_AR1194" xfId="1179" xr:uid="{00000000-0005-0000-0000-000099040000}"/>
    <cellStyle name="Milliers_000630 FR IP Core BP v1-3" xfId="1180" xr:uid="{00000000-0005-0000-0000-00009A040000}"/>
    <cellStyle name="Miscellaneous" xfId="1181" xr:uid="{00000000-0005-0000-0000-00009B040000}"/>
    <cellStyle name="mm" xfId="1182" xr:uid="{00000000-0005-0000-0000-00009C040000}"/>
    <cellStyle name="Model" xfId="1183" xr:uid="{00000000-0005-0000-0000-00009D040000}"/>
    <cellStyle name="Moeda [0]_aola" xfId="1184" xr:uid="{00000000-0005-0000-0000-00009E040000}"/>
    <cellStyle name="Moeda_aola" xfId="1185" xr:uid="{00000000-0005-0000-0000-00009F040000}"/>
    <cellStyle name="Moneda" xfId="1186" xr:uid="{00000000-0005-0000-0000-0000A0040000}"/>
    <cellStyle name="Moneda [0]" xfId="1187" xr:uid="{00000000-0005-0000-0000-0000A1040000}"/>
    <cellStyle name="Moneda_Balanza BCC Octubre 2004" xfId="1188" xr:uid="{00000000-0005-0000-0000-0000A2040000}"/>
    <cellStyle name="Monétaire [0]_AR1194" xfId="1189" xr:uid="{00000000-0005-0000-0000-0000A3040000}"/>
    <cellStyle name="Monétaire_AR1194" xfId="1190" xr:uid="{00000000-0005-0000-0000-0000A4040000}"/>
    <cellStyle name="Month Date" xfId="1191" xr:uid="{00000000-0005-0000-0000-0000A5040000}"/>
    <cellStyle name="MonthDate" xfId="1192" xr:uid="{00000000-0005-0000-0000-0000A6040000}"/>
    <cellStyle name="Mon-Yr" xfId="1193" xr:uid="{00000000-0005-0000-0000-0000A7040000}"/>
    <cellStyle name="MSectionHeadings" xfId="1194" xr:uid="{00000000-0005-0000-0000-0000A8040000}"/>
    <cellStyle name="Mult" xfId="1195" xr:uid="{00000000-0005-0000-0000-0000A9040000}"/>
    <cellStyle name="Mult No x" xfId="1196" xr:uid="{00000000-0005-0000-0000-0000AA040000}"/>
    <cellStyle name="Mult With x" xfId="1197" xr:uid="{00000000-0005-0000-0000-0000AB040000}"/>
    <cellStyle name="Multiple" xfId="1198" xr:uid="{00000000-0005-0000-0000-0000AC040000}"/>
    <cellStyle name="Multiple (no x)" xfId="1199" xr:uid="{00000000-0005-0000-0000-0000AD040000}"/>
    <cellStyle name="Multiple (x)" xfId="1200" xr:uid="{00000000-0005-0000-0000-0000AE040000}"/>
    <cellStyle name="Multiple []" xfId="1201" xr:uid="{00000000-0005-0000-0000-0000AF040000}"/>
    <cellStyle name="Multiple1" xfId="1202" xr:uid="{00000000-0005-0000-0000-0000B0040000}"/>
    <cellStyle name="Normal" xfId="0" builtinId="0"/>
    <cellStyle name="Normal -- No Dec." xfId="1203" xr:uid="{00000000-0005-0000-0000-0000B2040000}"/>
    <cellStyle name="Normal - Style1" xfId="1204" xr:uid="{00000000-0005-0000-0000-0000B3040000}"/>
    <cellStyle name="Normal 10" xfId="1205" xr:uid="{00000000-0005-0000-0000-0000B4040000}"/>
    <cellStyle name="Normal 11" xfId="1206" xr:uid="{00000000-0005-0000-0000-0000B5040000}"/>
    <cellStyle name="Normal 12" xfId="1207" xr:uid="{00000000-0005-0000-0000-0000B6040000}"/>
    <cellStyle name="Normal 13" xfId="1208" xr:uid="{00000000-0005-0000-0000-0000B7040000}"/>
    <cellStyle name="Normal 14" xfId="1209" xr:uid="{00000000-0005-0000-0000-0000B8040000}"/>
    <cellStyle name="Normal 15" xfId="1210" xr:uid="{00000000-0005-0000-0000-0000B9040000}"/>
    <cellStyle name="Normal 16" xfId="1211" xr:uid="{00000000-0005-0000-0000-0000BA040000}"/>
    <cellStyle name="Normal 17" xfId="1212" xr:uid="{00000000-0005-0000-0000-0000BB040000}"/>
    <cellStyle name="Normal 18" xfId="1213" xr:uid="{00000000-0005-0000-0000-0000BC040000}"/>
    <cellStyle name="Normal 19" xfId="1214" xr:uid="{00000000-0005-0000-0000-0000BD040000}"/>
    <cellStyle name="Normal 2" xfId="14" xr:uid="{00000000-0005-0000-0000-0000BE040000}"/>
    <cellStyle name="Normal 2 2" xfId="15" xr:uid="{00000000-0005-0000-0000-0000BF040000}"/>
    <cellStyle name="Normal 20" xfId="1215" xr:uid="{00000000-0005-0000-0000-0000C0040000}"/>
    <cellStyle name="Normal 3" xfId="1216" xr:uid="{00000000-0005-0000-0000-0000C1040000}"/>
    <cellStyle name="Normal 3 2" xfId="1217" xr:uid="{00000000-0005-0000-0000-0000C2040000}"/>
    <cellStyle name="Normal 4" xfId="1218" xr:uid="{00000000-0005-0000-0000-0000C3040000}"/>
    <cellStyle name="Normal 5" xfId="1219" xr:uid="{00000000-0005-0000-0000-0000C4040000}"/>
    <cellStyle name="Normal 6" xfId="1220" xr:uid="{00000000-0005-0000-0000-0000C5040000}"/>
    <cellStyle name="Normal 7" xfId="1221" xr:uid="{00000000-0005-0000-0000-0000C6040000}"/>
    <cellStyle name="Normal 8" xfId="1222" xr:uid="{00000000-0005-0000-0000-0000C7040000}"/>
    <cellStyle name="Normal 9" xfId="1223" xr:uid="{00000000-0005-0000-0000-0000C8040000}"/>
    <cellStyle name="Normal Cells" xfId="1224" xr:uid="{00000000-0005-0000-0000-0000C9040000}"/>
    <cellStyle name="Normal Total" xfId="1225" xr:uid="{00000000-0005-0000-0000-0000CA040000}"/>
    <cellStyle name="Normal2" xfId="1226" xr:uid="{00000000-0005-0000-0000-0000CB040000}"/>
    <cellStyle name="NormalGB" xfId="1227" xr:uid="{00000000-0005-0000-0000-0000CC040000}"/>
    <cellStyle name="Number" xfId="1228" xr:uid="{00000000-0005-0000-0000-0000CD040000}"/>
    <cellStyle name="Page header" xfId="1229" xr:uid="{00000000-0005-0000-0000-0000CE040000}"/>
    <cellStyle name="Page Number" xfId="1230" xr:uid="{00000000-0005-0000-0000-0000CF040000}"/>
    <cellStyle name="Parens (1)" xfId="1231" xr:uid="{00000000-0005-0000-0000-0000D0040000}"/>
    <cellStyle name="Percent" xfId="1254" builtinId="5"/>
    <cellStyle name="Percent [2]" xfId="1232" xr:uid="{00000000-0005-0000-0000-0000D2040000}"/>
    <cellStyle name="Percent 2" xfId="1233" xr:uid="{00000000-0005-0000-0000-0000D3040000}"/>
    <cellStyle name="Percent 3" xfId="1234" xr:uid="{00000000-0005-0000-0000-0000D4040000}"/>
    <cellStyle name="Percent 4" xfId="1235" xr:uid="{00000000-0005-0000-0000-0000D5040000}"/>
    <cellStyle name="Percent 5" xfId="1236" xr:uid="{00000000-0005-0000-0000-0000D6040000}"/>
    <cellStyle name="Percent 6" xfId="1237" xr:uid="{00000000-0005-0000-0000-0000D7040000}"/>
    <cellStyle name="Percent 7" xfId="1238" xr:uid="{00000000-0005-0000-0000-0000D8040000}"/>
    <cellStyle name="Percent total" xfId="1239" xr:uid="{00000000-0005-0000-0000-0000D9040000}"/>
    <cellStyle name="Percent(1)" xfId="1240" xr:uid="{00000000-0005-0000-0000-0000DA040000}"/>
    <cellStyle name="Percent.0" xfId="1241" xr:uid="{00000000-0005-0000-0000-0000DB040000}"/>
    <cellStyle name="Percent1" xfId="1242" xr:uid="{00000000-0005-0000-0000-0000DC040000}"/>
    <cellStyle name="Percent2" xfId="1243" xr:uid="{00000000-0005-0000-0000-0000DD040000}"/>
    <cellStyle name="Percent-whole" xfId="1244" xr:uid="{00000000-0005-0000-0000-0000DE040000}"/>
    <cellStyle name="PPT" xfId="1245" xr:uid="{00000000-0005-0000-0000-0000DF040000}"/>
    <cellStyle name="Price" xfId="1246" xr:uid="{00000000-0005-0000-0000-0000E0040000}"/>
    <cellStyle name="QYear" xfId="1247" xr:uid="{00000000-0005-0000-0000-0000E1040000}"/>
    <cellStyle name="Rate" xfId="1248" xr:uid="{00000000-0005-0000-0000-0000E2040000}"/>
    <cellStyle name="results" xfId="1249" xr:uid="{00000000-0005-0000-0000-0000E3040000}"/>
    <cellStyle name="Reuters Cells" xfId="1250" xr:uid="{00000000-0005-0000-0000-0000E4040000}"/>
    <cellStyle name="Revenue" xfId="1251" xr:uid="{00000000-0005-0000-0000-0000E5040000}"/>
    <cellStyle name="RoomRate" xfId="1252" xr:uid="{00000000-0005-0000-0000-0000E6040000}"/>
  </cellStyles>
  <dxfs count="21">
    <dxf>
      <font>
        <color theme="0"/>
      </font>
    </dxf>
    <dxf>
      <font>
        <b val="0"/>
        <i val="0"/>
        <color rgb="FFC00000"/>
      </font>
    </dxf>
    <dxf>
      <font>
        <color theme="0"/>
      </font>
      <fill>
        <patternFill>
          <bgColor theme="8" tint="0.79998168889431442"/>
        </patternFill>
      </fill>
    </dxf>
    <dxf>
      <font>
        <b/>
        <i val="0"/>
        <color theme="4"/>
      </font>
    </dxf>
    <dxf>
      <font>
        <b/>
        <i val="0"/>
        <color theme="4"/>
      </font>
      <border diagonalUp="0" diagonalDown="0">
        <left/>
        <right/>
        <top/>
        <bottom style="thin">
          <color theme="4"/>
        </bottom>
        <vertical/>
        <horizontal/>
      </border>
    </dxf>
    <dxf>
      <font>
        <b val="0"/>
        <i val="0"/>
      </font>
      <fill>
        <patternFill patternType="none">
          <bgColor auto="1"/>
        </patternFill>
      </fill>
      <border diagonalUp="0" diagonalDown="0">
        <left/>
        <right/>
        <top/>
        <bottom style="thin">
          <color theme="4"/>
        </bottom>
        <vertical/>
        <horizontal/>
      </border>
    </dxf>
    <dxf>
      <font>
        <b/>
        <i val="0"/>
        <color theme="0"/>
      </font>
      <fill>
        <patternFill>
          <bgColor theme="4"/>
        </patternFill>
      </fill>
      <border diagonalUp="0" diagonalDown="0">
        <left/>
        <right/>
        <top/>
        <bottom/>
        <vertical/>
        <horizontal/>
      </border>
    </dxf>
    <dxf>
      <fill>
        <patternFill patternType="none">
          <bgColor auto="1"/>
        </patternFill>
      </fill>
      <border diagonalUp="0" diagonalDown="0">
        <left style="thin">
          <color theme="4"/>
        </left>
        <right style="thin">
          <color theme="4"/>
        </right>
        <top style="thin">
          <color theme="4"/>
        </top>
        <bottom style="thin">
          <color theme="4"/>
        </bottom>
        <vertical/>
        <horizontal/>
      </border>
    </dxf>
    <dxf>
      <font>
        <b/>
        <i val="0"/>
        <color theme="0"/>
      </font>
      <fill>
        <patternFill>
          <bgColor theme="4"/>
        </patternFill>
      </fill>
    </dxf>
    <dxf>
      <border diagonalUp="0" diagonalDown="0">
        <left/>
        <right/>
        <top/>
        <bottom style="thin">
          <color theme="4"/>
        </bottom>
        <vertical/>
        <horizontal/>
      </border>
    </dxf>
    <dxf>
      <fill>
        <patternFill>
          <bgColor theme="2"/>
        </patternFill>
      </fill>
      <border diagonalUp="0" diagonalDown="0">
        <left/>
        <right/>
        <top/>
        <bottom/>
        <vertical/>
        <horizontal/>
      </border>
    </dxf>
    <dxf>
      <font>
        <b/>
        <i val="0"/>
        <color theme="4"/>
      </font>
      <border diagonalUp="0" diagonalDown="0">
        <left/>
        <right/>
        <top/>
        <bottom style="thin">
          <color theme="4"/>
        </bottom>
        <vertical/>
        <horizontal/>
      </border>
    </dxf>
    <dxf>
      <font>
        <b val="0"/>
        <i val="0"/>
      </font>
      <border diagonalUp="0" diagonalDown="0">
        <left/>
        <right/>
        <top/>
        <bottom style="thin">
          <color theme="4"/>
        </bottom>
        <vertical/>
        <horizontal/>
      </border>
    </dxf>
    <dxf>
      <fill>
        <patternFill>
          <bgColor theme="6"/>
        </patternFill>
      </fill>
      <border diagonalUp="0" diagonalDown="0">
        <left/>
        <right/>
        <top/>
        <bottom/>
        <vertical/>
        <horizontal/>
      </border>
    </dxf>
    <dxf>
      <font>
        <b/>
        <i val="0"/>
        <color theme="4"/>
      </font>
      <border diagonalUp="0" diagonalDown="0">
        <left/>
        <right/>
        <top/>
        <bottom style="thin">
          <color theme="4"/>
        </bottom>
        <vertical/>
        <horizontal/>
      </border>
    </dxf>
    <dxf>
      <font>
        <color auto="1"/>
      </font>
      <fill>
        <patternFill patternType="none">
          <bgColor auto="1"/>
        </patternFill>
      </fill>
      <border diagonalUp="0" diagonalDown="0">
        <left/>
        <right/>
        <top/>
        <bottom style="thin">
          <color theme="4"/>
        </bottom>
        <vertical/>
        <horizontal/>
      </border>
    </dxf>
    <dxf>
      <font>
        <b/>
        <i val="0"/>
        <color theme="4"/>
      </font>
      <border diagonalUp="0" diagonalDown="0">
        <left/>
        <right/>
        <top/>
        <bottom style="thin">
          <color theme="4"/>
        </bottom>
        <vertical/>
        <horizontal/>
      </border>
    </dxf>
    <dxf>
      <border diagonalUp="0" diagonalDown="0">
        <left/>
        <right/>
        <top/>
        <bottom style="thin">
          <color theme="4"/>
        </bottom>
        <vertical/>
        <horizontal style="dotted">
          <color theme="5"/>
        </horizontal>
      </border>
    </dxf>
    <dxf>
      <border diagonalUp="0" diagonalDown="0">
        <left/>
        <right/>
        <top/>
        <bottom style="thin">
          <color theme="4"/>
        </bottom>
        <vertical/>
        <horizontal/>
      </border>
    </dxf>
    <dxf>
      <font>
        <b/>
        <i val="0"/>
        <color theme="4"/>
      </font>
      <border diagonalUp="0" diagonalDown="0">
        <left/>
        <right/>
        <top/>
        <bottom style="thin">
          <color theme="4"/>
        </bottom>
        <vertical/>
        <horizontal/>
      </border>
    </dxf>
    <dxf>
      <font>
        <b val="0"/>
        <i val="0"/>
      </font>
      <fill>
        <patternFill patternType="none">
          <bgColor auto="1"/>
        </patternFill>
      </fill>
      <border diagonalUp="0" diagonalDown="0">
        <left/>
        <right/>
        <top/>
        <bottom style="thin">
          <color theme="4"/>
        </bottom>
        <vertical/>
        <horizontal/>
      </border>
    </dxf>
  </dxfs>
  <tableStyles count="7" defaultTableStyle="TableStyleMedium9" defaultPivotStyle="PivotStyleLight16">
    <tableStyle name="LazTable 1" pivot="0" count="3" xr9:uid="{00000000-0011-0000-FFFF-FFFF00000000}">
      <tableStyleElement type="wholeTable" dxfId="20"/>
      <tableStyleElement type="headerRow" dxfId="19"/>
      <tableStyleElement type="lastTotalCell" dxfId="18"/>
    </tableStyle>
    <tableStyle name="LazTable 2" pivot="0" count="2" xr9:uid="{00000000-0011-0000-FFFF-FFFF01000000}">
      <tableStyleElement type="wholeTable" dxfId="17"/>
      <tableStyleElement type="headerRow" dxfId="16"/>
    </tableStyle>
    <tableStyle name="LazTable 3" pivot="0" count="3" xr9:uid="{00000000-0011-0000-FFFF-FFFF02000000}">
      <tableStyleElement type="wholeTable" dxfId="15"/>
      <tableStyleElement type="headerRow" dxfId="14"/>
      <tableStyleElement type="firstRowStripe" dxfId="13"/>
    </tableStyle>
    <tableStyle name="LazTable 4" pivot="0" count="3" xr9:uid="{00000000-0011-0000-FFFF-FFFF03000000}">
      <tableStyleElement type="wholeTable" dxfId="12"/>
      <tableStyleElement type="headerRow" dxfId="11"/>
      <tableStyleElement type="firstRowStripe" dxfId="10"/>
    </tableStyle>
    <tableStyle name="LazTable 5" pivot="0" count="2" xr9:uid="{00000000-0011-0000-FFFF-FFFF04000000}">
      <tableStyleElement type="wholeTable" dxfId="9"/>
      <tableStyleElement type="headerRow" dxfId="8"/>
    </tableStyle>
    <tableStyle name="LazTable 6" pivot="0" count="2" xr9:uid="{00000000-0011-0000-FFFF-FFFF05000000}">
      <tableStyleElement type="wholeTable" dxfId="7"/>
      <tableStyleElement type="headerRow" dxfId="6"/>
    </tableStyle>
    <tableStyle name="LazTable 7" pivot="0" count="3" xr9:uid="{00000000-0011-0000-FFFF-FFFF06000000}">
      <tableStyleElement type="wholeTable" dxfId="5"/>
      <tableStyleElement type="headerRow" dxfId="4"/>
      <tableStyleElement type="firstColumn" dxfId="3"/>
    </tableStyle>
  </tableStyles>
  <colors>
    <mruColors>
      <color rgb="FF339933"/>
      <color rgb="FF0000FF"/>
      <color rgb="FFA6C6EC"/>
      <color rgb="FFEFD303"/>
      <color rgb="FFE1E1E1"/>
      <color rgb="FFA10D34"/>
      <color rgb="FFFF9900"/>
      <color rgb="FF337F7B"/>
      <color rgb="FF335A8F"/>
      <color rgb="FF8FA7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11</xdr:col>
      <xdr:colOff>260641</xdr:colOff>
      <xdr:row>1</xdr:row>
      <xdr:rowOff>93085</xdr:rowOff>
    </xdr:from>
    <xdr:ext cx="4626553" cy="1170709"/>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rcRect/>
        <a:stretch>
          <a:fillRect/>
        </a:stretch>
      </xdr:blipFill>
      <xdr:spPr bwMode="auto">
        <a:xfrm>
          <a:off x="5561304" y="264535"/>
          <a:ext cx="4626553" cy="1170709"/>
        </a:xfrm>
        <a:prstGeom prst="rect">
          <a:avLst/>
        </a:prstGeom>
        <a:noFill/>
        <a:ln w="9525">
          <a:noFill/>
          <a:miter lim="800000"/>
          <a:headEnd/>
          <a:tailEnd/>
        </a:ln>
      </xdr:spPr>
    </xdr:pic>
    <xdr:clientData/>
  </xdr:oneCellAnchor>
  <xdr:oneCellAnchor>
    <xdr:from>
      <xdr:col>3</xdr:col>
      <xdr:colOff>9338</xdr:colOff>
      <xdr:row>9</xdr:row>
      <xdr:rowOff>76200</xdr:rowOff>
    </xdr:from>
    <xdr:ext cx="13344058" cy="17143506"/>
    <xdr:sp macro="" textlink="">
      <xdr:nvSpPr>
        <xdr:cNvPr id="28" name="TextBox 3">
          <a:extLst>
            <a:ext uri="{FF2B5EF4-FFF2-40B4-BE49-F238E27FC236}">
              <a16:creationId xmlns:a16="http://schemas.microsoft.com/office/drawing/2014/main" id="{00000000-0008-0000-0000-000004000000}"/>
            </a:ext>
          </a:extLst>
        </xdr:cNvPr>
        <xdr:cNvSpPr txBox="1"/>
      </xdr:nvSpPr>
      <xdr:spPr>
        <a:xfrm>
          <a:off x="597647" y="1673038"/>
          <a:ext cx="13344058" cy="17143506"/>
        </a:xfrm>
        <a:prstGeom prst="rect">
          <a:avLst/>
        </a:prstGeom>
        <a:noFill/>
        <a:ln>
          <a:solidFill>
            <a:srgbClr val="FFFF00"/>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sz="1600" b="0" i="0">
            <a:solidFill>
              <a:schemeClr val="tx1"/>
            </a:solidFill>
            <a:effectLst/>
            <a:latin typeface="+mn-lt"/>
            <a:ea typeface="+mn-ea"/>
            <a:cs typeface="+mn-cs"/>
          </a:endParaRPr>
        </a:p>
        <a:p>
          <a:pPr algn="ctr"/>
          <a:r>
            <a:rPr lang="en-US" sz="1800" b="1" i="0">
              <a:solidFill>
                <a:schemeClr val="tx1"/>
              </a:solidFill>
              <a:effectLst/>
              <a:latin typeface="+mn-lt"/>
              <a:ea typeface="+mn-ea"/>
              <a:cs typeface="+mn-cs"/>
            </a:rPr>
            <a:t>Deal Structuring and Financial Reporting Implications</a:t>
          </a:r>
        </a:p>
        <a:p>
          <a:pPr algn="ctr"/>
          <a:r>
            <a:rPr lang="en-US" sz="1800" b="1" i="0">
              <a:solidFill>
                <a:schemeClr val="tx1"/>
              </a:solidFill>
              <a:effectLst/>
              <a:latin typeface="+mn-lt"/>
              <a:ea typeface="+mn-ea"/>
              <a:cs typeface="+mn-cs"/>
            </a:rPr>
            <a:t>BUS 30122/Spring</a:t>
          </a:r>
          <a:r>
            <a:rPr lang="en-US" sz="1800" b="1" i="0" baseline="0">
              <a:solidFill>
                <a:schemeClr val="tx1"/>
              </a:solidFill>
              <a:effectLst/>
              <a:latin typeface="+mn-lt"/>
              <a:ea typeface="+mn-ea"/>
              <a:cs typeface="+mn-cs"/>
            </a:rPr>
            <a:t> 2024</a:t>
          </a:r>
          <a:endParaRPr lang="en-US" sz="1800" b="1" i="0">
            <a:solidFill>
              <a:schemeClr val="tx1"/>
            </a:solidFill>
            <a:effectLst/>
            <a:latin typeface="+mn-lt"/>
            <a:ea typeface="+mn-ea"/>
            <a:cs typeface="+mn-cs"/>
          </a:endParaRPr>
        </a:p>
        <a:p>
          <a:pPr algn="ctr"/>
          <a:r>
            <a:rPr lang="en-US" sz="1800" b="1" i="0">
              <a:solidFill>
                <a:schemeClr val="tx1"/>
              </a:solidFill>
              <a:effectLst/>
              <a:latin typeface="+mn-lt"/>
              <a:ea typeface="+mn-ea"/>
              <a:cs typeface="+mn-cs"/>
            </a:rPr>
            <a:t>Professor Haresh Sapra</a:t>
          </a:r>
        </a:p>
        <a:p>
          <a:endParaRPr lang="en-US" sz="1600" b="1" i="0">
            <a:solidFill>
              <a:schemeClr val="tx1"/>
            </a:solidFill>
            <a:effectLst/>
            <a:latin typeface="+mn-lt"/>
            <a:ea typeface="+mn-ea"/>
            <a:cs typeface="+mn-cs"/>
          </a:endParaRPr>
        </a:p>
        <a:p>
          <a:r>
            <a:rPr lang="en-US" sz="1600" b="0" i="0">
              <a:solidFill>
                <a:schemeClr val="tx1"/>
              </a:solidFill>
              <a:effectLst/>
              <a:latin typeface="+mn-lt"/>
              <a:ea typeface="+mn-ea"/>
              <a:cs typeface="+mn-cs"/>
            </a:rPr>
            <a:t>Take-Home Final Exam: You have a </a:t>
          </a:r>
          <a:r>
            <a:rPr lang="en-US" sz="1600" b="1" i="0">
              <a:solidFill>
                <a:schemeClr val="tx1"/>
              </a:solidFill>
              <a:effectLst/>
              <a:latin typeface="+mn-lt"/>
              <a:ea typeface="+mn-ea"/>
              <a:cs typeface="+mn-cs"/>
            </a:rPr>
            <a:t>maximum of forty eight (48) hours </a:t>
          </a:r>
          <a:r>
            <a:rPr lang="en-US" sz="1600" b="0" i="0">
              <a:solidFill>
                <a:schemeClr val="tx1"/>
              </a:solidFill>
              <a:effectLst/>
              <a:latin typeface="+mn-lt"/>
              <a:ea typeface="+mn-ea"/>
              <a:cs typeface="+mn-cs"/>
            </a:rPr>
            <a:t>to work on this exam. It will</a:t>
          </a:r>
          <a:r>
            <a:rPr lang="en-US" sz="1600" b="0" i="0" baseline="0">
              <a:solidFill>
                <a:schemeClr val="tx1"/>
              </a:solidFill>
              <a:effectLst/>
              <a:latin typeface="+mn-lt"/>
              <a:ea typeface="+mn-ea"/>
              <a:cs typeface="+mn-cs"/>
            </a:rPr>
            <a:t> be </a:t>
          </a:r>
          <a:r>
            <a:rPr lang="en-US" sz="1600" b="0" i="0">
              <a:solidFill>
                <a:schemeClr val="tx1"/>
              </a:solidFill>
              <a:effectLst/>
              <a:latin typeface="+mn-lt"/>
              <a:ea typeface="+mn-ea"/>
              <a:cs typeface="+mn-cs"/>
            </a:rPr>
            <a:t>available on canvas</a:t>
          </a:r>
          <a:r>
            <a:rPr lang="en-US" sz="1600" b="0" i="0" baseline="0">
              <a:solidFill>
                <a:schemeClr val="tx1"/>
              </a:solidFill>
              <a:effectLst/>
              <a:latin typeface="+mn-lt"/>
              <a:ea typeface="+mn-ea"/>
              <a:cs typeface="+mn-cs"/>
            </a:rPr>
            <a:t> </a:t>
          </a:r>
          <a:r>
            <a:rPr lang="en-US" sz="1600" b="0" i="0">
              <a:solidFill>
                <a:schemeClr val="tx1"/>
              </a:solidFill>
              <a:effectLst/>
              <a:latin typeface="+mn-lt"/>
              <a:ea typeface="+mn-ea"/>
              <a:cs typeface="+mn-cs"/>
            </a:rPr>
            <a:t>from </a:t>
          </a:r>
          <a:r>
            <a:rPr lang="en-US" sz="1600" b="1" i="0">
              <a:solidFill>
                <a:schemeClr val="tx1"/>
              </a:solidFill>
              <a:effectLst/>
              <a:latin typeface="+mn-lt"/>
              <a:ea typeface="+mn-ea"/>
              <a:cs typeface="+mn-cs"/>
            </a:rPr>
            <a:t>Friday</a:t>
          </a:r>
          <a:r>
            <a:rPr lang="en-US" sz="1600" b="1" i="0" baseline="0">
              <a:solidFill>
                <a:schemeClr val="tx1"/>
              </a:solidFill>
              <a:effectLst/>
              <a:latin typeface="+mn-lt"/>
              <a:ea typeface="+mn-ea"/>
              <a:cs typeface="+mn-cs"/>
            </a:rPr>
            <a:t> May 17 </a:t>
          </a:r>
          <a:r>
            <a:rPr lang="en-US" sz="1600" b="1" i="0">
              <a:solidFill>
                <a:schemeClr val="tx1"/>
              </a:solidFill>
              <a:effectLst/>
              <a:latin typeface="+mn-lt"/>
              <a:ea typeface="+mn-ea"/>
              <a:cs typeface="+mn-cs"/>
            </a:rPr>
            <a:t>at 5:00 PM (CT) until Friday May</a:t>
          </a:r>
          <a:r>
            <a:rPr lang="en-US" sz="1600" b="1" i="0" baseline="0">
              <a:solidFill>
                <a:schemeClr val="tx1"/>
              </a:solidFill>
              <a:effectLst/>
              <a:latin typeface="+mn-lt"/>
              <a:ea typeface="+mn-ea"/>
              <a:cs typeface="+mn-cs"/>
            </a:rPr>
            <a:t> 24</a:t>
          </a:r>
          <a:r>
            <a:rPr lang="en-US" sz="1600" b="1" i="0">
              <a:solidFill>
                <a:schemeClr val="tx1"/>
              </a:solidFill>
              <a:effectLst/>
              <a:latin typeface="+mn-lt"/>
              <a:ea typeface="+mn-ea"/>
              <a:cs typeface="+mn-cs"/>
            </a:rPr>
            <a:t> at 5:00 PM (CT)</a:t>
          </a:r>
          <a:r>
            <a:rPr lang="en-US" sz="1600" b="0" i="0">
              <a:solidFill>
                <a:schemeClr val="tx1"/>
              </a:solidFill>
              <a:effectLst/>
              <a:latin typeface="+mn-lt"/>
              <a:ea typeface="+mn-ea"/>
              <a:cs typeface="+mn-cs"/>
            </a:rPr>
            <a:t>. This</a:t>
          </a:r>
          <a:r>
            <a:rPr lang="en-US" sz="1600" b="0" i="0" baseline="0">
              <a:solidFill>
                <a:schemeClr val="tx1"/>
              </a:solidFill>
              <a:effectLst/>
              <a:latin typeface="+mn-lt"/>
              <a:ea typeface="+mn-ea"/>
              <a:cs typeface="+mn-cs"/>
            </a:rPr>
            <a:t> exam </a:t>
          </a:r>
          <a:r>
            <a:rPr lang="en-US" sz="1600" b="0" i="0">
              <a:solidFill>
                <a:schemeClr val="tx1"/>
              </a:solidFill>
              <a:effectLst/>
              <a:latin typeface="+mn-lt"/>
              <a:ea typeface="+mn-ea"/>
              <a:cs typeface="+mn-cs"/>
            </a:rPr>
            <a:t>has been set up as a quiz on canvas</a:t>
          </a:r>
          <a:r>
            <a:rPr lang="en-US" sz="1600" b="0" i="0" baseline="0">
              <a:solidFill>
                <a:schemeClr val="tx1"/>
              </a:solidFill>
              <a:effectLst/>
              <a:latin typeface="+mn-lt"/>
              <a:ea typeface="+mn-ea"/>
              <a:cs typeface="+mn-cs"/>
            </a:rPr>
            <a:t> and this, in turn, implies </a:t>
          </a:r>
          <a:r>
            <a:rPr lang="en-US" sz="1600" b="0" i="0">
              <a:solidFill>
                <a:schemeClr val="tx1"/>
              </a:solidFill>
              <a:effectLst/>
              <a:latin typeface="+mn-lt"/>
              <a:ea typeface="+mn-ea"/>
              <a:cs typeface="+mn-cs"/>
            </a:rPr>
            <a:t>that, once you start the exam, you have a </a:t>
          </a:r>
          <a:r>
            <a:rPr lang="en-US" sz="1600" b="1" i="0">
              <a:solidFill>
                <a:schemeClr val="tx1"/>
              </a:solidFill>
              <a:effectLst/>
              <a:latin typeface="+mn-lt"/>
              <a:ea typeface="+mn-ea"/>
              <a:cs typeface="+mn-cs"/>
            </a:rPr>
            <a:t>maximum of forty eight (48) hours</a:t>
          </a:r>
          <a:r>
            <a:rPr lang="en-US" sz="1600" b="0" i="0">
              <a:solidFill>
                <a:schemeClr val="tx1"/>
              </a:solidFill>
              <a:effectLst/>
              <a:latin typeface="+mn-lt"/>
              <a:ea typeface="+mn-ea"/>
              <a:cs typeface="+mn-cs"/>
            </a:rPr>
            <a:t> to work on it. Please keep track of your time. </a:t>
          </a:r>
        </a:p>
        <a:p>
          <a:endParaRPr lang="en-US" sz="1600" b="1" i="0">
            <a:solidFill>
              <a:schemeClr val="tx1"/>
            </a:solidFill>
            <a:effectLst/>
            <a:latin typeface="+mn-lt"/>
            <a:ea typeface="+mn-ea"/>
            <a:cs typeface="+mn-cs"/>
          </a:endParaRPr>
        </a:p>
        <a:p>
          <a:r>
            <a:rPr lang="en-US" sz="1600" b="0" i="0">
              <a:solidFill>
                <a:schemeClr val="tx1"/>
              </a:solidFill>
              <a:effectLst/>
              <a:latin typeface="+mn-lt"/>
              <a:ea typeface="+mn-ea"/>
              <a:cs typeface="+mn-cs"/>
            </a:rPr>
            <a:t>All information you need to work</a:t>
          </a:r>
          <a:r>
            <a:rPr lang="en-US" sz="1600" b="0" i="0" baseline="0">
              <a:solidFill>
                <a:schemeClr val="tx1"/>
              </a:solidFill>
              <a:effectLst/>
              <a:latin typeface="+mn-lt"/>
              <a:ea typeface="+mn-ea"/>
              <a:cs typeface="+mn-cs"/>
            </a:rPr>
            <a:t> on this exam </a:t>
          </a:r>
          <a:r>
            <a:rPr lang="en-US" sz="1600" b="0" i="0">
              <a:solidFill>
                <a:schemeClr val="tx1"/>
              </a:solidFill>
              <a:effectLst/>
              <a:latin typeface="+mn-lt"/>
              <a:ea typeface="+mn-ea"/>
              <a:cs typeface="+mn-cs"/>
            </a:rPr>
            <a:t>can be found in</a:t>
          </a:r>
          <a:r>
            <a:rPr lang="en-US" sz="1600" b="0" i="0" baseline="0">
              <a:solidFill>
                <a:schemeClr val="tx1"/>
              </a:solidFill>
              <a:effectLst/>
              <a:latin typeface="+mn-lt"/>
              <a:ea typeface="+mn-ea"/>
              <a:cs typeface="+mn-cs"/>
            </a:rPr>
            <a:t> the accompanying pdf file entitled "</a:t>
          </a:r>
          <a:r>
            <a:rPr lang="en-US" sz="1600" b="0" i="0">
              <a:solidFill>
                <a:schemeClr val="tx1"/>
              </a:solidFill>
              <a:effectLst/>
              <a:latin typeface="+mn-lt"/>
              <a:ea typeface="+mn-ea"/>
              <a:cs typeface="+mn-cs"/>
            </a:rPr>
            <a:t>Restructuring Case.pdf" and</a:t>
          </a:r>
          <a:r>
            <a:rPr lang="en-US" sz="1600" b="0" i="0" baseline="0">
              <a:solidFill>
                <a:schemeClr val="tx1"/>
              </a:solidFill>
              <a:effectLst/>
              <a:latin typeface="+mn-lt"/>
              <a:ea typeface="+mn-ea"/>
              <a:cs typeface="+mn-cs"/>
            </a:rPr>
            <a:t> </a:t>
          </a:r>
          <a:r>
            <a:rPr lang="en-US" sz="1600" b="0" i="0">
              <a:solidFill>
                <a:schemeClr val="tx1"/>
              </a:solidFill>
              <a:effectLst/>
              <a:latin typeface="+mn-lt"/>
              <a:ea typeface="+mn-ea"/>
              <a:cs typeface="+mn-cs"/>
            </a:rPr>
            <a:t>in this Excel file entitled</a:t>
          </a:r>
          <a:r>
            <a:rPr lang="en-US" sz="1600" b="0" i="0" baseline="0">
              <a:solidFill>
                <a:schemeClr val="tx1"/>
              </a:solidFill>
              <a:effectLst/>
              <a:latin typeface="+mn-lt"/>
              <a:ea typeface="+mn-ea"/>
              <a:cs typeface="+mn-cs"/>
            </a:rPr>
            <a:t> "Restructuring Model.xlsx</a:t>
          </a:r>
          <a:r>
            <a:rPr lang="en-US" sz="1600" b="0" i="0">
              <a:solidFill>
                <a:schemeClr val="tx1"/>
              </a:solidFill>
              <a:effectLst/>
              <a:latin typeface="+mn-lt"/>
              <a:ea typeface="+mn-ea"/>
              <a:cs typeface="+mn-cs"/>
            </a:rPr>
            <a:t>." The "Financials" tab in this</a:t>
          </a:r>
          <a:r>
            <a:rPr lang="en-US" sz="1600" b="0" i="0" baseline="0">
              <a:solidFill>
                <a:schemeClr val="tx1"/>
              </a:solidFill>
              <a:effectLst/>
              <a:latin typeface="+mn-lt"/>
              <a:ea typeface="+mn-ea"/>
              <a:cs typeface="+mn-cs"/>
            </a:rPr>
            <a:t> Excel file </a:t>
          </a:r>
          <a:r>
            <a:rPr lang="en-US" sz="1600" b="0" i="0">
              <a:solidFill>
                <a:schemeClr val="tx1"/>
              </a:solidFill>
              <a:effectLst/>
              <a:latin typeface="+mn-lt"/>
              <a:ea typeface="+mn-ea"/>
              <a:cs typeface="+mn-cs"/>
            </a:rPr>
            <a:t>provides historical financials for Fermat</a:t>
          </a:r>
          <a:r>
            <a:rPr lang="en-US" sz="1600" b="0" i="0" baseline="0">
              <a:solidFill>
                <a:schemeClr val="tx1"/>
              </a:solidFill>
              <a:effectLst/>
              <a:latin typeface="+mn-lt"/>
              <a:ea typeface="+mn-ea"/>
              <a:cs typeface="+mn-cs"/>
            </a:rPr>
            <a:t> Technologies (Fermat) starting in fiscal 2018 until Fermat's bankruptcy petition date on June 30</a:t>
          </a:r>
          <a:r>
            <a:rPr lang="en-US" sz="1600" b="0" i="0" baseline="30000">
              <a:solidFill>
                <a:schemeClr val="tx1"/>
              </a:solidFill>
              <a:effectLst/>
              <a:latin typeface="+mn-lt"/>
              <a:ea typeface="+mn-ea"/>
              <a:cs typeface="+mn-cs"/>
            </a:rPr>
            <a:t>th</a:t>
          </a:r>
          <a:r>
            <a:rPr lang="en-US" sz="1600" b="0" i="0" baseline="0">
              <a:solidFill>
                <a:schemeClr val="tx1"/>
              </a:solidFill>
              <a:effectLst/>
              <a:latin typeface="+mn-lt"/>
              <a:ea typeface="+mn-ea"/>
              <a:cs typeface="+mn-cs"/>
            </a:rPr>
            <a:t>, 2021. </a:t>
          </a:r>
          <a:r>
            <a:rPr lang="en-US" sz="1600" b="0" i="0">
              <a:solidFill>
                <a:schemeClr val="tx1"/>
              </a:solidFill>
              <a:effectLst/>
              <a:latin typeface="+mn-lt"/>
              <a:ea typeface="+mn-ea"/>
              <a:cs typeface="+mn-cs"/>
            </a:rPr>
            <a:t>The journal entries at the bankruptcy filing date have been provided on the "Bankruptcy Filing</a:t>
          </a:r>
          <a:r>
            <a:rPr lang="en-US" sz="1600" b="0" i="0" baseline="0">
              <a:solidFill>
                <a:schemeClr val="tx1"/>
              </a:solidFill>
              <a:effectLst/>
              <a:latin typeface="+mn-lt"/>
              <a:ea typeface="+mn-ea"/>
              <a:cs typeface="+mn-cs"/>
            </a:rPr>
            <a:t> JE" tab in this Excel file. </a:t>
          </a:r>
          <a:r>
            <a:rPr lang="en-US" sz="1600" b="0" i="0">
              <a:solidFill>
                <a:schemeClr val="tx1"/>
              </a:solidFill>
              <a:effectLst/>
              <a:latin typeface="+mn-lt"/>
              <a:ea typeface="+mn-ea"/>
              <a:cs typeface="+mn-cs"/>
            </a:rPr>
            <a:t>The pro</a:t>
          </a:r>
          <a:r>
            <a:rPr lang="en-US" sz="1600" b="0" i="0" baseline="0">
              <a:solidFill>
                <a:schemeClr val="tx1"/>
              </a:solidFill>
              <a:effectLst/>
              <a:latin typeface="+mn-lt"/>
              <a:ea typeface="+mn-ea"/>
              <a:cs typeface="+mn-cs"/>
            </a:rPr>
            <a:t> forma ("PF") financials on the "Financials" tab cover the reorganization period under Chapter 11 and up to Fermat's emergence from bankruptcy on December 31</a:t>
          </a:r>
          <a:r>
            <a:rPr lang="en-US" sz="1600" b="0" i="0" baseline="30000">
              <a:solidFill>
                <a:schemeClr val="tx1"/>
              </a:solidFill>
              <a:effectLst/>
              <a:latin typeface="+mn-lt"/>
              <a:ea typeface="+mn-ea"/>
              <a:cs typeface="+mn-cs"/>
            </a:rPr>
            <a:t>st</a:t>
          </a:r>
          <a:r>
            <a:rPr lang="en-US" sz="1600" b="0" i="0" baseline="0">
              <a:solidFill>
                <a:schemeClr val="tx1"/>
              </a:solidFill>
              <a:effectLst/>
              <a:latin typeface="+mn-lt"/>
              <a:ea typeface="+mn-ea"/>
              <a:cs typeface="+mn-cs"/>
            </a:rPr>
            <a:t>, 2021. The "Financials" tab also provides you with the necessary worksheets and schedules to work through the exercise. </a:t>
          </a:r>
          <a:r>
            <a:rPr lang="en-US" sz="1600" b="0" i="0">
              <a:solidFill>
                <a:schemeClr val="tx1"/>
              </a:solidFill>
              <a:effectLst/>
              <a:latin typeface="+mn-lt"/>
              <a:ea typeface="+mn-ea"/>
              <a:cs typeface="+mn-cs"/>
            </a:rPr>
            <a:t>The ''Recap-Fresh</a:t>
          </a:r>
          <a:r>
            <a:rPr lang="en-US" sz="1600" b="0" i="0" baseline="0">
              <a:solidFill>
                <a:schemeClr val="tx1"/>
              </a:solidFill>
              <a:effectLst/>
              <a:latin typeface="+mn-lt"/>
              <a:ea typeface="+mn-ea"/>
              <a:cs typeface="+mn-cs"/>
            </a:rPr>
            <a:t> Start Schedule</a:t>
          </a:r>
          <a:r>
            <a:rPr lang="en-US" sz="1600" b="0" i="0">
              <a:solidFill>
                <a:schemeClr val="tx1"/>
              </a:solidFill>
              <a:effectLst/>
              <a:latin typeface="+mn-lt"/>
              <a:ea typeface="+mn-ea"/>
              <a:cs typeface="+mn-cs"/>
            </a:rPr>
            <a:t>'' tab in this Excel file provides the</a:t>
          </a:r>
          <a:r>
            <a:rPr lang="en-US" sz="1600" b="0" i="0" baseline="0">
              <a:solidFill>
                <a:schemeClr val="tx1"/>
              </a:solidFill>
              <a:effectLst/>
              <a:latin typeface="+mn-lt"/>
              <a:ea typeface="+mn-ea"/>
              <a:cs typeface="+mn-cs"/>
            </a:rPr>
            <a:t> pro forma balance sheet of the successor wth recap drivers and recovery summary worksheets. The 'Tax Worksheet' tab in this Excel file is provided so you may capture the tax effects of the reorgainization. </a:t>
          </a:r>
        </a:p>
        <a:p>
          <a:r>
            <a:rPr lang="en-US" sz="1600" b="0" i="0" baseline="0">
              <a:solidFill>
                <a:schemeClr val="tx1"/>
              </a:solidFill>
              <a:effectLst/>
              <a:latin typeface="+mn-lt"/>
              <a:ea typeface="+mn-ea"/>
              <a:cs typeface="+mn-cs"/>
            </a:rPr>
            <a:t> </a:t>
          </a:r>
          <a:endParaRPr lang="en-US" sz="1600">
            <a:effectLst/>
          </a:endParaRPr>
        </a:p>
        <a:p>
          <a:pPr eaLnBrk="1" fontAlgn="auto" latinLnBrk="0" hangingPunct="1"/>
          <a:r>
            <a:rPr lang="en-US" sz="1600" b="1" i="0" u="sng">
              <a:solidFill>
                <a:schemeClr val="tx1"/>
              </a:solidFill>
              <a:effectLst/>
              <a:latin typeface="+mn-lt"/>
              <a:ea typeface="+mn-ea"/>
              <a:cs typeface="+mn-cs"/>
            </a:rPr>
            <a:t>Requirements</a:t>
          </a:r>
          <a:r>
            <a:rPr lang="en-US" sz="1600" b="0" i="0">
              <a:solidFill>
                <a:schemeClr val="tx1"/>
              </a:solidFill>
              <a:effectLst/>
              <a:latin typeface="+mn-lt"/>
              <a:ea typeface="+mn-ea"/>
              <a:cs typeface="+mn-cs"/>
            </a:rPr>
            <a:t>: </a:t>
          </a:r>
          <a:r>
            <a:rPr lang="en-US" sz="1600" b="0" i="1">
              <a:solidFill>
                <a:schemeClr val="tx1"/>
              </a:solidFill>
              <a:effectLst/>
              <a:latin typeface="+mn-lt"/>
              <a:ea typeface="+mn-ea"/>
              <a:cs typeface="+mn-cs"/>
            </a:rPr>
            <a:t>You must</a:t>
          </a:r>
          <a:r>
            <a:rPr lang="en-US" sz="1600" b="0" i="1" baseline="0">
              <a:solidFill>
                <a:schemeClr val="tx1"/>
              </a:solidFill>
              <a:effectLst/>
              <a:latin typeface="+mn-lt"/>
              <a:ea typeface="+mn-ea"/>
              <a:cs typeface="+mn-cs"/>
            </a:rPr>
            <a:t> prepare the </a:t>
          </a:r>
          <a:r>
            <a:rPr lang="en-US" sz="1600" b="0" i="1">
              <a:solidFill>
                <a:schemeClr val="tx1"/>
              </a:solidFill>
              <a:effectLst/>
              <a:latin typeface="+mn-lt"/>
              <a:ea typeface="+mn-ea"/>
              <a:cs typeface="+mn-cs"/>
            </a:rPr>
            <a:t>journal entries for all the fresh start</a:t>
          </a:r>
          <a:r>
            <a:rPr lang="en-US" sz="1600" b="0" i="1" baseline="0">
              <a:solidFill>
                <a:schemeClr val="tx1"/>
              </a:solidFill>
              <a:effectLst/>
              <a:latin typeface="+mn-lt"/>
              <a:ea typeface="+mn-ea"/>
              <a:cs typeface="+mn-cs"/>
            </a:rPr>
            <a:t> and </a:t>
          </a:r>
          <a:r>
            <a:rPr lang="en-US" sz="1600" b="0" i="1">
              <a:solidFill>
                <a:schemeClr val="tx1"/>
              </a:solidFill>
              <a:effectLst/>
              <a:latin typeface="+mn-lt"/>
              <a:ea typeface="+mn-ea"/>
              <a:cs typeface="+mn-cs"/>
            </a:rPr>
            <a:t>recapitalization events</a:t>
          </a:r>
          <a:r>
            <a:rPr lang="en-US" sz="1600" b="0" i="1" baseline="0">
              <a:solidFill>
                <a:schemeClr val="tx1"/>
              </a:solidFill>
              <a:effectLst/>
              <a:latin typeface="+mn-lt"/>
              <a:ea typeface="+mn-ea"/>
              <a:cs typeface="+mn-cs"/>
            </a:rPr>
            <a:t> </a:t>
          </a:r>
          <a:r>
            <a:rPr lang="en-US" sz="1600" b="0" i="1">
              <a:solidFill>
                <a:schemeClr val="tx1"/>
              </a:solidFill>
              <a:effectLst/>
              <a:latin typeface="+mn-lt"/>
              <a:ea typeface="+mn-ea"/>
              <a:cs typeface="+mn-cs"/>
            </a:rPr>
            <a:t>on the</a:t>
          </a:r>
          <a:r>
            <a:rPr lang="en-US" sz="1600" b="0" i="1" baseline="0">
              <a:solidFill>
                <a:schemeClr val="tx1"/>
              </a:solidFill>
              <a:effectLst/>
              <a:latin typeface="+mn-lt"/>
              <a:ea typeface="+mn-ea"/>
              <a:cs typeface="+mn-cs"/>
            </a:rPr>
            <a:t> "</a:t>
          </a:r>
          <a:r>
            <a:rPr lang="en-US" sz="1600" b="0" i="1">
              <a:solidFill>
                <a:schemeClr val="tx1"/>
              </a:solidFill>
              <a:effectLst/>
              <a:latin typeface="+mn-lt"/>
              <a:ea typeface="+mn-ea"/>
              <a:cs typeface="+mn-cs"/>
            </a:rPr>
            <a:t>Recap-Fresh</a:t>
          </a:r>
          <a:r>
            <a:rPr lang="en-US" sz="1600" b="0" i="1" baseline="0">
              <a:solidFill>
                <a:schemeClr val="tx1"/>
              </a:solidFill>
              <a:effectLst/>
              <a:latin typeface="+mn-lt"/>
              <a:ea typeface="+mn-ea"/>
              <a:cs typeface="+mn-cs"/>
            </a:rPr>
            <a:t> Start </a:t>
          </a:r>
          <a:r>
            <a:rPr lang="en-US" sz="1600" b="0" i="1">
              <a:solidFill>
                <a:schemeClr val="tx1"/>
              </a:solidFill>
              <a:effectLst/>
              <a:latin typeface="+mn-lt"/>
              <a:ea typeface="+mn-ea"/>
              <a:cs typeface="+mn-cs"/>
            </a:rPr>
            <a:t>JE" tab in this Excel file</a:t>
          </a:r>
          <a:r>
            <a:rPr lang="en-US" sz="1600" b="0" i="1" baseline="0">
              <a:solidFill>
                <a:schemeClr val="tx1"/>
              </a:solidFill>
              <a:effectLst/>
              <a:latin typeface="+mn-lt"/>
              <a:ea typeface="+mn-ea"/>
              <a:cs typeface="+mn-cs"/>
            </a:rPr>
            <a:t> </a:t>
          </a:r>
          <a:r>
            <a:rPr lang="en-US" sz="1600" b="0" i="1">
              <a:solidFill>
                <a:schemeClr val="tx1"/>
              </a:solidFill>
              <a:effectLst/>
              <a:latin typeface="+mn-lt"/>
              <a:ea typeface="+mn-ea"/>
              <a:cs typeface="+mn-cs"/>
            </a:rPr>
            <a:t>and show</a:t>
          </a:r>
          <a:r>
            <a:rPr lang="en-US" sz="1600" b="0" i="1" baseline="0">
              <a:solidFill>
                <a:schemeClr val="tx1"/>
              </a:solidFill>
              <a:effectLst/>
              <a:latin typeface="+mn-lt"/>
              <a:ea typeface="+mn-ea"/>
              <a:cs typeface="+mn-cs"/>
            </a:rPr>
            <a:t> all your tax calculations in all the cells highlighted in Blue on the "Tax Worksheet" tab in this Excel file</a:t>
          </a:r>
          <a:r>
            <a:rPr lang="en-US" sz="1600" b="0" i="1">
              <a:solidFill>
                <a:schemeClr val="tx1"/>
              </a:solidFill>
              <a:effectLst/>
              <a:latin typeface="+mn-lt"/>
              <a:ea typeface="+mn-ea"/>
              <a:cs typeface="+mn-cs"/>
            </a:rPr>
            <a:t>. You</a:t>
          </a:r>
          <a:r>
            <a:rPr lang="en-US" sz="1600" b="0" i="1" baseline="0">
              <a:solidFill>
                <a:schemeClr val="tx1"/>
              </a:solidFill>
              <a:effectLst/>
              <a:latin typeface="+mn-lt"/>
              <a:ea typeface="+mn-ea"/>
              <a:cs typeface="+mn-cs"/>
            </a:rPr>
            <a:t> are also required to m</a:t>
          </a:r>
          <a:r>
            <a:rPr lang="en-US" sz="1600" b="0" i="1">
              <a:solidFill>
                <a:schemeClr val="tx1"/>
              </a:solidFill>
              <a:effectLst/>
              <a:latin typeface="+mn-lt"/>
              <a:ea typeface="+mn-ea"/>
              <a:cs typeface="+mn-cs"/>
            </a:rPr>
            <a:t>ake the appropriate adjustments in all the cells highlighted in Blue on the "Financials" and "Recap-Fresh Start Schedule"</a:t>
          </a:r>
          <a:r>
            <a:rPr lang="en-US" sz="1600" b="0" i="1" baseline="0">
              <a:solidFill>
                <a:schemeClr val="tx1"/>
              </a:solidFill>
              <a:effectLst/>
              <a:latin typeface="+mn-lt"/>
              <a:ea typeface="+mn-ea"/>
              <a:cs typeface="+mn-cs"/>
            </a:rPr>
            <a:t> </a:t>
          </a:r>
          <a:r>
            <a:rPr lang="en-US" sz="1600" b="0" i="1">
              <a:solidFill>
                <a:schemeClr val="tx1"/>
              </a:solidFill>
              <a:effectLst/>
              <a:latin typeface="+mn-lt"/>
              <a:ea typeface="+mn-ea"/>
              <a:cs typeface="+mn-cs"/>
            </a:rPr>
            <a:t>tabs in this Excel file</a:t>
          </a:r>
          <a:r>
            <a:rPr lang="en-US" sz="1600" b="0" i="1" baseline="0">
              <a:solidFill>
                <a:schemeClr val="tx1"/>
              </a:solidFill>
              <a:effectLst/>
              <a:latin typeface="+mn-lt"/>
              <a:ea typeface="+mn-ea"/>
              <a:cs typeface="+mn-cs"/>
            </a:rPr>
            <a:t> </a:t>
          </a:r>
          <a:r>
            <a:rPr lang="en-US" sz="1600" b="0" i="1">
              <a:solidFill>
                <a:schemeClr val="tx1"/>
              </a:solidFill>
              <a:effectLst/>
              <a:latin typeface="+mn-lt"/>
              <a:ea typeface="+mn-ea"/>
              <a:cs typeface="+mn-cs"/>
            </a:rPr>
            <a:t>to reflect the restructuring outcome</a:t>
          </a:r>
          <a:r>
            <a:rPr lang="en-US" sz="1600" b="0" i="0">
              <a:solidFill>
                <a:schemeClr val="tx1"/>
              </a:solidFill>
              <a:effectLst/>
              <a:latin typeface="+mn-lt"/>
              <a:ea typeface="+mn-ea"/>
              <a:cs typeface="+mn-cs"/>
            </a:rPr>
            <a:t>. You</a:t>
          </a:r>
          <a:r>
            <a:rPr lang="en-US" sz="1600" b="0" i="0" baseline="0">
              <a:solidFill>
                <a:schemeClr val="tx1"/>
              </a:solidFill>
              <a:effectLst/>
              <a:latin typeface="+mn-lt"/>
              <a:ea typeface="+mn-ea"/>
              <a:cs typeface="+mn-cs"/>
            </a:rPr>
            <a:t> may find it useful to first work on the "Recap-Fresh Start JE", the "Recap-Fresh Start Schedule" and the "Tax Worksheet" tabs simultaneously </a:t>
          </a:r>
          <a:r>
            <a:rPr lang="en-US" sz="1600" b="0" i="1" baseline="0">
              <a:solidFill>
                <a:schemeClr val="tx1"/>
              </a:solidFill>
              <a:effectLst/>
              <a:latin typeface="+mn-lt"/>
              <a:ea typeface="+mn-ea"/>
              <a:cs typeface="+mn-cs"/>
            </a:rPr>
            <a:t>before</a:t>
          </a:r>
          <a:r>
            <a:rPr lang="en-US" sz="1600" b="0" i="0" baseline="0">
              <a:solidFill>
                <a:schemeClr val="tx1"/>
              </a:solidFill>
              <a:effectLst/>
              <a:latin typeface="+mn-lt"/>
              <a:ea typeface="+mn-ea"/>
              <a:cs typeface="+mn-cs"/>
            </a:rPr>
            <a:t> proceeding to the "Financials" tab.</a:t>
          </a:r>
        </a:p>
        <a:p>
          <a:pPr eaLnBrk="1" fontAlgn="auto" latinLnBrk="0" hangingPunct="1"/>
          <a:endParaRPr lang="en-US" sz="1600">
            <a:effectLst/>
          </a:endParaRPr>
        </a:p>
        <a:p>
          <a:pPr eaLnBrk="1" fontAlgn="auto" latinLnBrk="0" hangingPunct="1"/>
          <a:r>
            <a:rPr lang="en-US" sz="1600" b="1" i="0" u="sng" baseline="0">
              <a:solidFill>
                <a:schemeClr val="tx1"/>
              </a:solidFill>
              <a:effectLst/>
              <a:latin typeface="+mn-lt"/>
              <a:ea typeface="+mn-ea"/>
              <a:cs typeface="+mn-cs"/>
            </a:rPr>
            <a:t>Submission Guidelines:  </a:t>
          </a:r>
          <a:r>
            <a:rPr lang="en-US" sz="1600" b="0" i="0" u="none" baseline="0">
              <a:solidFill>
                <a:schemeClr val="tx1"/>
              </a:solidFill>
              <a:effectLst/>
              <a:latin typeface="+mn-lt"/>
              <a:ea typeface="+mn-ea"/>
              <a:cs typeface="+mn-cs"/>
            </a:rPr>
            <a:t> You must work on this exam in the </a:t>
          </a:r>
          <a:r>
            <a:rPr lang="en-US" sz="1600" b="0" i="1" u="none" baseline="0">
              <a:solidFill>
                <a:schemeClr val="tx1"/>
              </a:solidFill>
              <a:effectLst/>
              <a:latin typeface="+mn-lt"/>
              <a:ea typeface="+mn-ea"/>
              <a:cs typeface="+mn-cs"/>
            </a:rPr>
            <a:t>same</a:t>
          </a:r>
          <a:r>
            <a:rPr lang="en-US" sz="1600" b="0" i="0" u="none" baseline="0">
              <a:solidFill>
                <a:schemeClr val="tx1"/>
              </a:solidFill>
              <a:effectLst/>
              <a:latin typeface="+mn-lt"/>
              <a:ea typeface="+mn-ea"/>
              <a:cs typeface="+mn-cs"/>
            </a:rPr>
            <a:t> team of two students that worked on the merger model. Both team members must </a:t>
          </a:r>
          <a:r>
            <a:rPr lang="en-US" sz="1600" b="0" i="0" baseline="0">
              <a:solidFill>
                <a:schemeClr val="tx1"/>
              </a:solidFill>
              <a:effectLst/>
              <a:latin typeface="+mn-lt"/>
              <a:ea typeface="+mn-ea"/>
              <a:cs typeface="+mn-cs"/>
            </a:rPr>
            <a:t>sign the honor code below before submitting the Excel file. Otherwise, your exam would not be graded.  After completing the exam, you should save the Excel file as follows: Restructuring_Model_LastName2_FirstName2_LastName1_FirstName1.xlsx. For example, the team of consisting of my TA and I would submit the exam under the file name: Restructuring_Model_Gelin_Ayrton_Sapra_Haresh.xlsx.  The deadline for submitting the exam is </a:t>
          </a:r>
          <a:r>
            <a:rPr lang="en-US" sz="1600" b="1" i="1" baseline="0">
              <a:solidFill>
                <a:schemeClr val="tx1"/>
              </a:solidFill>
              <a:effectLst/>
              <a:latin typeface="+mn-lt"/>
              <a:ea typeface="+mn-ea"/>
              <a:cs typeface="+mn-cs"/>
            </a:rPr>
            <a:t>5:00 PM on Friday, May 24, 2024 so if you want to work on the exam for a maximum of 48 hours, you should start the exam no later than 5:00 PM on Wednesday, May 22, 2024. Late submissions would not be graded and would automatically get a grade of zero. If you encounter difficulties with canvas, please reach out to the TA with your final submission and a screenshot proving that you sent the email within the 48-hour limit.</a:t>
          </a:r>
        </a:p>
        <a:p>
          <a:endParaRPr lang="en-US" sz="1400">
            <a:latin typeface="+mj-lt"/>
          </a:endParaRPr>
        </a:p>
        <a:p>
          <a:endParaRPr lang="en-US" sz="1400">
            <a:latin typeface="+mj-lt"/>
          </a:endParaRPr>
        </a:p>
        <a:p>
          <a:r>
            <a:rPr lang="en-US" sz="1600" b="1" u="sng" baseline="0">
              <a:latin typeface="+mj-lt"/>
            </a:rPr>
            <a:t>Please use the following guidelines in working on this exam:</a:t>
          </a:r>
        </a:p>
        <a:p>
          <a:endParaRPr lang="en-US" sz="1600" baseline="0">
            <a:latin typeface="+mj-lt"/>
          </a:endParaRPr>
        </a:p>
        <a:p>
          <a:r>
            <a:rPr lang="en-US" sz="1600" baseline="0">
              <a:latin typeface="+mj-lt"/>
            </a:rPr>
            <a:t>1. </a:t>
          </a:r>
          <a:r>
            <a:rPr lang="en-US" sz="1600" b="0" i="0" u="none" strike="noStrike">
              <a:solidFill>
                <a:schemeClr val="tx1"/>
              </a:solidFill>
              <a:latin typeface="+mj-lt"/>
              <a:ea typeface="+mn-ea"/>
              <a:cs typeface="+mn-cs"/>
            </a:rPr>
            <a:t>Liabilities Subject to Compromise (LSTC) should be eliminated upon emergence per the plan of reorganization. This will result in Cancellation</a:t>
          </a:r>
          <a:r>
            <a:rPr lang="en-US" sz="1600" b="0" i="0" u="none" strike="noStrike" baseline="0">
              <a:solidFill>
                <a:schemeClr val="tx1"/>
              </a:solidFill>
              <a:latin typeface="+mj-lt"/>
              <a:ea typeface="+mn-ea"/>
              <a:cs typeface="+mn-cs"/>
            </a:rPr>
            <a:t> of Debt Income (C</a:t>
          </a:r>
          <a:r>
            <a:rPr lang="en-US" sz="1600" b="0" i="0" u="none" strike="noStrike">
              <a:solidFill>
                <a:schemeClr val="tx1"/>
              </a:solidFill>
              <a:latin typeface="+mj-lt"/>
              <a:ea typeface="+mn-ea"/>
              <a:cs typeface="+mn-cs"/>
            </a:rPr>
            <a:t>ODI). </a:t>
          </a:r>
        </a:p>
        <a:p>
          <a:endParaRPr lang="en-US" sz="1600" b="0" i="0" u="none" strike="noStrike">
            <a:solidFill>
              <a:schemeClr val="tx1"/>
            </a:solidFill>
            <a:latin typeface="+mj-lt"/>
            <a:ea typeface="+mn-ea"/>
            <a:cs typeface="+mn-cs"/>
          </a:endParaRPr>
        </a:p>
        <a:p>
          <a:r>
            <a:rPr lang="en-US" sz="1600">
              <a:latin typeface="+mj-lt"/>
            </a:rPr>
            <a:t>2. If the</a:t>
          </a:r>
          <a:r>
            <a:rPr lang="en-US" sz="1600" baseline="0">
              <a:latin typeface="+mj-lt"/>
            </a:rPr>
            <a:t> criteria for fresh-start accounting are satisfied,  the successor balance </a:t>
          </a:r>
          <a:r>
            <a:rPr lang="en-US" sz="1600" b="0" i="0" u="none" strike="noStrike">
              <a:solidFill>
                <a:schemeClr val="tx1"/>
              </a:solidFill>
              <a:latin typeface="+mj-lt"/>
              <a:ea typeface="+mn-ea"/>
              <a:cs typeface="+mn-cs"/>
            </a:rPr>
            <a:t>sheet should be reset to fair market value in accordance with fresh start accounting rules:</a:t>
          </a:r>
          <a:endParaRPr lang="en-US" sz="1600">
            <a:latin typeface="+mj-lt"/>
          </a:endParaRPr>
        </a:p>
        <a:p>
          <a:pPr lvl="1"/>
          <a:r>
            <a:rPr lang="en-US" sz="1600" b="0" i="0" u="none" strike="noStrike">
              <a:solidFill>
                <a:schemeClr val="tx1"/>
              </a:solidFill>
              <a:latin typeface="+mj-lt"/>
              <a:ea typeface="+mn-ea"/>
              <a:cs typeface="+mn-cs"/>
            </a:rPr>
            <a:t>a.</a:t>
          </a:r>
          <a:r>
            <a:rPr lang="en-US" sz="1600">
              <a:latin typeface="+mj-lt"/>
            </a:rPr>
            <a:t> </a:t>
          </a:r>
          <a:r>
            <a:rPr lang="en-US" sz="1600" b="0" i="0" u="none" strike="noStrike">
              <a:solidFill>
                <a:schemeClr val="tx1"/>
              </a:solidFill>
              <a:latin typeface="+mj-lt"/>
              <a:ea typeface="+mn-ea"/>
              <a:cs typeface="+mn-cs"/>
            </a:rPr>
            <a:t>Common Stock and Additional Paid in Capital should equal to the</a:t>
          </a:r>
          <a:r>
            <a:rPr lang="en-US" sz="1600" b="0" i="0" u="none" strike="noStrike" baseline="0">
              <a:solidFill>
                <a:schemeClr val="tx1"/>
              </a:solidFill>
              <a:latin typeface="+mj-lt"/>
              <a:ea typeface="+mn-ea"/>
              <a:cs typeface="+mn-cs"/>
            </a:rPr>
            <a:t> fair </a:t>
          </a:r>
          <a:r>
            <a:rPr lang="en-US" sz="1600" b="0" i="0" u="none" strike="noStrike">
              <a:solidFill>
                <a:schemeClr val="tx1"/>
              </a:solidFill>
              <a:latin typeface="+mj-lt"/>
              <a:ea typeface="+mn-ea"/>
              <a:cs typeface="+mn-cs"/>
            </a:rPr>
            <a:t>value of reorganized</a:t>
          </a:r>
          <a:r>
            <a:rPr lang="en-US" sz="1600" b="0" i="0" u="none" strike="noStrike" baseline="0">
              <a:solidFill>
                <a:schemeClr val="tx1"/>
              </a:solidFill>
              <a:latin typeface="+mj-lt"/>
              <a:ea typeface="+mn-ea"/>
              <a:cs typeface="+mn-cs"/>
            </a:rPr>
            <a:t> Fermat </a:t>
          </a:r>
          <a:r>
            <a:rPr lang="en-US" sz="1600" b="0" i="0" u="none" strike="noStrike">
              <a:solidFill>
                <a:schemeClr val="tx1"/>
              </a:solidFill>
              <a:latin typeface="+mj-lt"/>
              <a:ea typeface="+mn-ea"/>
              <a:cs typeface="+mn-cs"/>
            </a:rPr>
            <a:t>equity.</a:t>
          </a:r>
          <a:endParaRPr lang="en-US" sz="1600">
            <a:latin typeface="+mj-lt"/>
          </a:endParaRPr>
        </a:p>
        <a:p>
          <a:pPr lvl="1"/>
          <a:r>
            <a:rPr lang="en-US" sz="1600" b="0" i="0" u="none" strike="noStrike">
              <a:solidFill>
                <a:schemeClr val="tx1"/>
              </a:solidFill>
              <a:latin typeface="+mj-lt"/>
              <a:ea typeface="+mn-ea"/>
              <a:cs typeface="+mn-cs"/>
            </a:rPr>
            <a:t>b.</a:t>
          </a:r>
          <a:r>
            <a:rPr lang="en-US" sz="1600">
              <a:latin typeface="+mj-lt"/>
            </a:rPr>
            <a:t> Successor </a:t>
          </a:r>
          <a:r>
            <a:rPr lang="en-US" sz="1600" b="0" i="0" u="none" strike="noStrike">
              <a:solidFill>
                <a:schemeClr val="tx1"/>
              </a:solidFill>
              <a:latin typeface="+mj-lt"/>
              <a:ea typeface="+mn-ea"/>
              <a:cs typeface="+mn-cs"/>
            </a:rPr>
            <a:t>retained earnings should reset to $0.</a:t>
          </a:r>
          <a:endParaRPr lang="en-US" sz="1600">
            <a:latin typeface="+mj-lt"/>
          </a:endParaRPr>
        </a:p>
        <a:p>
          <a:endParaRPr lang="en-US" sz="1600">
            <a:latin typeface="+mj-lt"/>
          </a:endParaRPr>
        </a:p>
        <a:p>
          <a:r>
            <a:rPr lang="en-US" sz="1600">
              <a:latin typeface="+mj-lt"/>
            </a:rPr>
            <a:t>3. </a:t>
          </a:r>
          <a:r>
            <a:rPr lang="en-US" sz="1600" b="0" i="0" u="none" strike="noStrike">
              <a:solidFill>
                <a:schemeClr val="tx1"/>
              </a:solidFill>
              <a:latin typeface="+mj-lt"/>
              <a:ea typeface="+mn-ea"/>
              <a:cs typeface="+mn-cs"/>
            </a:rPr>
            <a:t>Rights</a:t>
          </a:r>
          <a:r>
            <a:rPr lang="en-US" sz="1600" b="0" i="0" u="none" strike="noStrike" baseline="0">
              <a:solidFill>
                <a:schemeClr val="tx1"/>
              </a:solidFill>
              <a:latin typeface="+mj-lt"/>
              <a:ea typeface="+mn-ea"/>
              <a:cs typeface="+mn-cs"/>
            </a:rPr>
            <a:t> Offering:</a:t>
          </a:r>
          <a:endParaRPr lang="en-US" sz="1600" b="0" i="0" u="none" strike="noStrike">
            <a:solidFill>
              <a:schemeClr val="tx1"/>
            </a:solidFill>
            <a:latin typeface="+mj-lt"/>
            <a:ea typeface="+mn-ea"/>
            <a:cs typeface="+mn-cs"/>
          </a:endParaRPr>
        </a:p>
        <a:p>
          <a:pPr lvl="1"/>
          <a:r>
            <a:rPr lang="en-US" sz="1600" b="0" i="0" u="none" strike="noStrike">
              <a:solidFill>
                <a:schemeClr val="tx1"/>
              </a:solidFill>
              <a:latin typeface="+mj-lt"/>
              <a:ea typeface="+mn-ea"/>
              <a:cs typeface="+mn-cs"/>
            </a:rPr>
            <a:t>a.The rights offering backstop fee (3%) should</a:t>
          </a:r>
          <a:r>
            <a:rPr lang="en-US" sz="1600" b="0" i="0" u="none" strike="noStrike" baseline="0">
              <a:solidFill>
                <a:schemeClr val="tx1"/>
              </a:solidFill>
              <a:latin typeface="+mj-lt"/>
              <a:ea typeface="+mn-ea"/>
              <a:cs typeface="+mn-cs"/>
            </a:rPr>
            <a:t> be treated as equity issuance fees and therefore </a:t>
          </a:r>
          <a:r>
            <a:rPr lang="en-US" sz="1600" b="0" i="0" u="none" strike="noStrike">
              <a:solidFill>
                <a:schemeClr val="tx1"/>
              </a:solidFill>
              <a:latin typeface="+mj-lt"/>
              <a:ea typeface="+mn-ea"/>
              <a:cs typeface="+mn-cs"/>
            </a:rPr>
            <a:t>netted against gross proceeds from the rights</a:t>
          </a:r>
          <a:r>
            <a:rPr lang="en-US" sz="1600" b="0" i="0" u="none" strike="noStrike" baseline="0">
              <a:solidFill>
                <a:schemeClr val="tx1"/>
              </a:solidFill>
              <a:latin typeface="+mj-lt"/>
              <a:ea typeface="+mn-ea"/>
              <a:cs typeface="+mn-cs"/>
            </a:rPr>
            <a:t> offering. </a:t>
          </a:r>
          <a:endParaRPr lang="en-US" sz="1600">
            <a:latin typeface="+mj-lt"/>
          </a:endParaRPr>
        </a:p>
        <a:p>
          <a:pPr lvl="1"/>
          <a:r>
            <a:rPr lang="en-US" sz="1600" b="0" i="0" u="none" strike="noStrike">
              <a:solidFill>
                <a:schemeClr val="tx1"/>
              </a:solidFill>
              <a:latin typeface="+mj-lt"/>
              <a:ea typeface="+mn-ea"/>
              <a:cs typeface="+mn-cs"/>
            </a:rPr>
            <a:t>b.</a:t>
          </a:r>
          <a:r>
            <a:rPr lang="en-US" sz="1600">
              <a:latin typeface="+mj-lt"/>
            </a:rPr>
            <a:t> </a:t>
          </a:r>
          <a:r>
            <a:rPr lang="en-US" sz="1600" b="0" i="0" u="none" strike="noStrike">
              <a:solidFill>
                <a:schemeClr val="tx1"/>
              </a:solidFill>
              <a:latin typeface="+mj-lt"/>
              <a:ea typeface="+mn-ea"/>
              <a:cs typeface="+mn-cs"/>
            </a:rPr>
            <a:t>The creditor recovery on their claims is derived from the value of the stock distributed to creditors and is calculated prior to dilution from the rights offering.</a:t>
          </a:r>
          <a:endParaRPr lang="en-US" sz="1600">
            <a:latin typeface="+mj-lt"/>
          </a:endParaRPr>
        </a:p>
        <a:p>
          <a:endParaRPr lang="en-US" sz="1600" b="0" i="0" u="none" strike="noStrike">
            <a:solidFill>
              <a:schemeClr val="tx1"/>
            </a:solidFill>
            <a:latin typeface="+mj-lt"/>
            <a:ea typeface="+mn-ea"/>
            <a:cs typeface="+mn-cs"/>
          </a:endParaRPr>
        </a:p>
        <a:p>
          <a:r>
            <a:rPr lang="en-US" sz="1600" b="0" i="0" u="none" strike="noStrike">
              <a:solidFill>
                <a:schemeClr val="tx1"/>
              </a:solidFill>
              <a:latin typeface="+mj-lt"/>
              <a:ea typeface="+mn-ea"/>
              <a:cs typeface="+mn-cs"/>
            </a:rPr>
            <a:t>4.</a:t>
          </a:r>
          <a:r>
            <a:rPr lang="en-US" sz="1600">
              <a:latin typeface="+mj-lt"/>
            </a:rPr>
            <a:t> Treatment</a:t>
          </a:r>
          <a:r>
            <a:rPr lang="en-US" sz="1600" baseline="0">
              <a:latin typeface="+mj-lt"/>
            </a:rPr>
            <a:t> of CODI and Fermat's Tax Attributes:</a:t>
          </a:r>
          <a:endParaRPr lang="en-US" sz="1600" b="0" i="0" u="none" strike="noStrike">
            <a:solidFill>
              <a:schemeClr val="tx1"/>
            </a:solidFill>
            <a:latin typeface="+mj-lt"/>
            <a:ea typeface="+mn-ea"/>
            <a:cs typeface="+mn-cs"/>
          </a:endParaRPr>
        </a:p>
        <a:p>
          <a:pPr lvl="1"/>
          <a:r>
            <a:rPr lang="en-US" sz="1600" b="0" i="0" u="none" strike="noStrike">
              <a:solidFill>
                <a:schemeClr val="tx1"/>
              </a:solidFill>
              <a:latin typeface="+mj-lt"/>
              <a:ea typeface="+mn-ea"/>
              <a:cs typeface="+mn-cs"/>
            </a:rPr>
            <a:t>a.</a:t>
          </a:r>
          <a:r>
            <a:rPr lang="en-US" sz="1600">
              <a:latin typeface="+mj-lt"/>
            </a:rPr>
            <a:t> </a:t>
          </a:r>
          <a:r>
            <a:rPr lang="en-US" sz="1600" b="0" i="0" u="none" strike="noStrike">
              <a:solidFill>
                <a:schemeClr val="tx1"/>
              </a:solidFill>
              <a:latin typeface="+mj-lt"/>
              <a:ea typeface="+mn-ea"/>
              <a:cs typeface="+mn-cs"/>
            </a:rPr>
            <a:t>The Company has existing</a:t>
          </a:r>
          <a:r>
            <a:rPr lang="en-US" sz="1600" b="0" i="0" u="none" strike="noStrike" baseline="0">
              <a:solidFill>
                <a:schemeClr val="tx1"/>
              </a:solidFill>
              <a:latin typeface="+mj-lt"/>
              <a:ea typeface="+mn-ea"/>
              <a:cs typeface="+mn-cs"/>
            </a:rPr>
            <a:t> </a:t>
          </a:r>
          <a:r>
            <a:rPr lang="en-US" sz="1600" b="0" i="0" u="none" strike="noStrike">
              <a:solidFill>
                <a:schemeClr val="tx1"/>
              </a:solidFill>
              <a:latin typeface="+mj-lt"/>
              <a:ea typeface="+mn-ea"/>
              <a:cs typeface="+mn-cs"/>
            </a:rPr>
            <a:t>NOLs of $65.6</a:t>
          </a:r>
          <a:r>
            <a:rPr lang="en-US" sz="1600" b="0" i="0" u="none" strike="noStrike" baseline="0">
              <a:solidFill>
                <a:schemeClr val="tx1"/>
              </a:solidFill>
              <a:latin typeface="+mj-lt"/>
              <a:ea typeface="+mn-ea"/>
              <a:cs typeface="+mn-cs"/>
            </a:rPr>
            <a:t> million right before emergence. T</a:t>
          </a:r>
          <a:r>
            <a:rPr lang="en-US" sz="1600" b="0" i="0" u="none" strike="noStrike">
              <a:solidFill>
                <a:schemeClr val="tx1"/>
              </a:solidFill>
              <a:latin typeface="+mj-lt"/>
              <a:ea typeface="+mn-ea"/>
              <a:cs typeface="+mn-cs"/>
            </a:rPr>
            <a:t>here are</a:t>
          </a:r>
          <a:r>
            <a:rPr lang="en-US" sz="1600" b="0" i="0" u="none" strike="noStrike" baseline="0">
              <a:solidFill>
                <a:schemeClr val="tx1"/>
              </a:solidFill>
              <a:latin typeface="+mj-lt"/>
              <a:ea typeface="+mn-ea"/>
              <a:cs typeface="+mn-cs"/>
            </a:rPr>
            <a:t> additional</a:t>
          </a:r>
          <a:r>
            <a:rPr lang="en-US" sz="1600" b="0" i="0" u="none" strike="noStrike">
              <a:solidFill>
                <a:schemeClr val="tx1"/>
              </a:solidFill>
              <a:latin typeface="+mj-lt"/>
              <a:ea typeface="+mn-ea"/>
              <a:cs typeface="+mn-cs"/>
            </a:rPr>
            <a:t> NOLs</a:t>
          </a:r>
          <a:r>
            <a:rPr lang="en-US" sz="1600" b="0" i="0" u="none" strike="noStrike" baseline="0">
              <a:solidFill>
                <a:schemeClr val="tx1"/>
              </a:solidFill>
              <a:latin typeface="+mj-lt"/>
              <a:ea typeface="+mn-ea"/>
              <a:cs typeface="+mn-cs"/>
            </a:rPr>
            <a:t> </a:t>
          </a:r>
          <a:r>
            <a:rPr lang="en-US" sz="1600" b="0" i="0" u="none" strike="noStrike">
              <a:solidFill>
                <a:schemeClr val="tx1"/>
              </a:solidFill>
              <a:latin typeface="+mj-lt"/>
              <a:ea typeface="+mn-ea"/>
              <a:cs typeface="+mn-cs"/>
            </a:rPr>
            <a:t>arising from the Management bonuses,</a:t>
          </a:r>
          <a:r>
            <a:rPr lang="en-US" sz="1600" b="0" i="0" u="none" strike="noStrike" baseline="0">
              <a:solidFill>
                <a:schemeClr val="tx1"/>
              </a:solidFill>
              <a:latin typeface="+mj-lt"/>
              <a:ea typeface="+mn-ea"/>
              <a:cs typeface="+mn-cs"/>
            </a:rPr>
            <a:t> </a:t>
          </a:r>
          <a:r>
            <a:rPr lang="en-US" sz="1600" b="0" i="0" u="none" strike="noStrike">
              <a:solidFill>
                <a:schemeClr val="tx1"/>
              </a:solidFill>
              <a:latin typeface="+mj-lt"/>
              <a:ea typeface="+mn-ea"/>
              <a:cs typeface="+mn-cs"/>
            </a:rPr>
            <a:t>professional fees and write-off of prepetition financing costs that are created at emergence. </a:t>
          </a:r>
          <a:r>
            <a:rPr lang="en-US" sz="1600">
              <a:latin typeface="+mj-lt"/>
            </a:rPr>
            <a:t> </a:t>
          </a:r>
        </a:p>
        <a:p>
          <a:pPr lvl="1"/>
          <a:r>
            <a:rPr lang="en-US" sz="1600" b="0" i="0" u="none" strike="noStrike">
              <a:solidFill>
                <a:schemeClr val="tx1"/>
              </a:solidFill>
              <a:latin typeface="+mj-lt"/>
              <a:ea typeface="+mn-ea"/>
              <a:cs typeface="+mn-cs"/>
            </a:rPr>
            <a:t>b.</a:t>
          </a:r>
          <a:r>
            <a:rPr lang="en-US" sz="1600">
              <a:latin typeface="+mj-lt"/>
            </a:rPr>
            <a:t> Any CODI recognized</a:t>
          </a:r>
          <a:r>
            <a:rPr lang="en-US" sz="1600" baseline="0">
              <a:latin typeface="+mj-lt"/>
            </a:rPr>
            <a:t> at emergence is not taxable income but it is used to </a:t>
          </a:r>
          <a:r>
            <a:rPr lang="en-US" sz="1600" b="0" i="0" baseline="0">
              <a:solidFill>
                <a:schemeClr val="tx1"/>
              </a:solidFill>
              <a:effectLst/>
              <a:latin typeface="+mn-lt"/>
              <a:ea typeface="+mn-ea"/>
              <a:cs typeface="+mn-cs"/>
            </a:rPr>
            <a:t>reduce Fermat's tax attributes as follows: any available NOLS at emergence is first used to reduce CODI. </a:t>
          </a:r>
          <a:r>
            <a:rPr lang="en-US" sz="1600" b="0" i="0" u="none" strike="noStrike">
              <a:solidFill>
                <a:schemeClr val="tx1"/>
              </a:solidFill>
              <a:latin typeface="+mj-lt"/>
              <a:ea typeface="+mn-ea"/>
              <a:cs typeface="+mn-cs"/>
            </a:rPr>
            <a:t>If there are insufficient</a:t>
          </a:r>
          <a:r>
            <a:rPr lang="en-US" sz="1600" b="0" i="0" u="none" strike="noStrike" baseline="0">
              <a:solidFill>
                <a:schemeClr val="tx1"/>
              </a:solidFill>
              <a:latin typeface="+mj-lt"/>
              <a:ea typeface="+mn-ea"/>
              <a:cs typeface="+mn-cs"/>
            </a:rPr>
            <a:t> </a:t>
          </a:r>
          <a:r>
            <a:rPr lang="en-US" sz="1600" b="0" i="0" u="none" strike="noStrike">
              <a:solidFill>
                <a:schemeClr val="tx1"/>
              </a:solidFill>
              <a:latin typeface="+mj-lt"/>
              <a:ea typeface="+mn-ea"/>
              <a:cs typeface="+mn-cs"/>
            </a:rPr>
            <a:t>NOLs to absorb any remaining CODI, Fermat must then</a:t>
          </a:r>
          <a:r>
            <a:rPr lang="en-US" sz="1600" b="0" i="0" u="none" strike="noStrike" baseline="0">
              <a:solidFill>
                <a:schemeClr val="tx1"/>
              </a:solidFill>
              <a:latin typeface="+mj-lt"/>
              <a:ea typeface="+mn-ea"/>
              <a:cs typeface="+mn-cs"/>
            </a:rPr>
            <a:t> </a:t>
          </a:r>
          <a:r>
            <a:rPr lang="en-US" sz="1600" b="0" i="0" u="none" strike="noStrike">
              <a:solidFill>
                <a:schemeClr val="tx1"/>
              </a:solidFill>
              <a:latin typeface="+mj-lt"/>
              <a:ea typeface="+mn-ea"/>
              <a:cs typeface="+mn-cs"/>
            </a:rPr>
            <a:t>write down the tax basis in its PP&amp;E.</a:t>
          </a:r>
          <a:r>
            <a:rPr lang="en-US" sz="1600">
              <a:latin typeface="+mj-lt"/>
            </a:rPr>
            <a:t> </a:t>
          </a:r>
          <a:r>
            <a:rPr lang="en-US" sz="1600" b="0" i="0" u="none" strike="noStrike">
              <a:solidFill>
                <a:schemeClr val="tx1"/>
              </a:solidFill>
              <a:latin typeface="+mj-lt"/>
              <a:ea typeface="+mn-ea"/>
              <a:cs typeface="+mn-cs"/>
            </a:rPr>
            <a:t>Writing down Fermat's tax (but not book) basis in its PP&amp;E will result</a:t>
          </a:r>
          <a:r>
            <a:rPr lang="en-US" sz="1600" b="0" i="0" u="none" strike="noStrike" baseline="0">
              <a:solidFill>
                <a:schemeClr val="tx1"/>
              </a:solidFill>
              <a:latin typeface="+mj-lt"/>
              <a:ea typeface="+mn-ea"/>
              <a:cs typeface="+mn-cs"/>
            </a:rPr>
            <a:t> in </a:t>
          </a:r>
          <a:r>
            <a:rPr lang="en-US" sz="1600" b="0" i="0" u="none" strike="noStrike">
              <a:solidFill>
                <a:schemeClr val="tx1"/>
              </a:solidFill>
              <a:latin typeface="+mj-lt"/>
              <a:ea typeface="+mn-ea"/>
              <a:cs typeface="+mn-cs"/>
            </a:rPr>
            <a:t>a deferred tax liability.</a:t>
          </a:r>
        </a:p>
        <a:p>
          <a:pPr lvl="1"/>
          <a:endParaRPr lang="en-US" sz="1600" b="0" i="0" u="none" strike="noStrike">
            <a:solidFill>
              <a:schemeClr val="tx1"/>
            </a:solidFill>
            <a:latin typeface="+mj-lt"/>
            <a:ea typeface="+mn-ea"/>
            <a:cs typeface="+mn-cs"/>
          </a:endParaRPr>
        </a:p>
        <a:p>
          <a:r>
            <a:rPr lang="en-US" sz="1600" b="0" i="0" u="none" strike="noStrike">
              <a:solidFill>
                <a:schemeClr val="tx1"/>
              </a:solidFill>
              <a:latin typeface="+mj-lt"/>
              <a:ea typeface="+mn-ea"/>
              <a:cs typeface="+mn-cs"/>
            </a:rPr>
            <a:t>5.</a:t>
          </a:r>
          <a:r>
            <a:rPr lang="en-US" sz="1600" b="0" i="0" u="none" strike="noStrike" baseline="0">
              <a:solidFill>
                <a:schemeClr val="tx1"/>
              </a:solidFill>
              <a:latin typeface="+mj-lt"/>
              <a:ea typeface="+mn-ea"/>
              <a:cs typeface="+mn-cs"/>
            </a:rPr>
            <a:t> Other assumptions:</a:t>
          </a:r>
          <a:endParaRPr lang="en-US" sz="1600" b="0" i="0" u="none" strike="noStrike">
            <a:solidFill>
              <a:schemeClr val="tx1"/>
            </a:solidFill>
            <a:latin typeface="+mj-lt"/>
            <a:ea typeface="+mn-ea"/>
            <a:cs typeface="+mn-cs"/>
          </a:endParaRPr>
        </a:p>
        <a:p>
          <a:pPr lvl="1"/>
          <a:r>
            <a:rPr lang="en-US" sz="1600" b="0" i="0" u="none" strike="noStrike">
              <a:solidFill>
                <a:schemeClr val="tx1"/>
              </a:solidFill>
              <a:latin typeface="+mj-lt"/>
              <a:ea typeface="+mn-ea"/>
              <a:cs typeface="+mn-cs"/>
            </a:rPr>
            <a:t>a.</a:t>
          </a:r>
          <a:r>
            <a:rPr lang="en-US" sz="1600">
              <a:latin typeface="+mj-lt"/>
            </a:rPr>
            <a:t> </a:t>
          </a:r>
          <a:r>
            <a:rPr lang="en-US" sz="1600" b="0" i="0" u="none" strike="noStrike">
              <a:solidFill>
                <a:schemeClr val="tx1"/>
              </a:solidFill>
              <a:latin typeface="+mj-lt"/>
              <a:ea typeface="+mn-ea"/>
              <a:cs typeface="+mn-cs"/>
            </a:rPr>
            <a:t>Enterprise value of the successor at</a:t>
          </a:r>
          <a:r>
            <a:rPr lang="en-US" sz="1600" b="0" i="0" u="none" strike="noStrike" baseline="0">
              <a:solidFill>
                <a:schemeClr val="tx1"/>
              </a:solidFill>
              <a:latin typeface="+mj-lt"/>
              <a:ea typeface="+mn-ea"/>
              <a:cs typeface="+mn-cs"/>
            </a:rPr>
            <a:t> emergence </a:t>
          </a:r>
          <a:r>
            <a:rPr lang="en-US" sz="1600" b="0" i="0" u="none" strike="noStrike">
              <a:solidFill>
                <a:schemeClr val="tx1"/>
              </a:solidFill>
              <a:latin typeface="+mj-lt"/>
              <a:ea typeface="+mn-ea"/>
              <a:cs typeface="+mn-cs"/>
            </a:rPr>
            <a:t>is equal to the midpoint of the valuation range (i.e., $385 million).</a:t>
          </a:r>
          <a:r>
            <a:rPr lang="en-US" sz="1600">
              <a:latin typeface="+mj-lt"/>
            </a:rPr>
            <a:t> </a:t>
          </a:r>
        </a:p>
        <a:p>
          <a:pPr marL="457200" marR="0" lvl="1" indent="0" defTabSz="914400" eaLnBrk="1" fontAlgn="auto" latinLnBrk="0" hangingPunct="1">
            <a:lnSpc>
              <a:spcPct val="100000"/>
            </a:lnSpc>
            <a:spcBef>
              <a:spcPts val="0"/>
            </a:spcBef>
            <a:spcAft>
              <a:spcPts val="0"/>
            </a:spcAft>
            <a:buClrTx/>
            <a:buSzTx/>
            <a:buFontTx/>
            <a:buNone/>
            <a:tabLst/>
            <a:defRPr/>
          </a:pPr>
          <a:r>
            <a:rPr lang="en-US" sz="1600">
              <a:solidFill>
                <a:schemeClr val="tx1"/>
              </a:solidFill>
              <a:latin typeface="+mn-lt"/>
              <a:ea typeface="+mn-ea"/>
              <a:cs typeface="+mn-cs"/>
            </a:rPr>
            <a:t>b. T</a:t>
          </a:r>
          <a:r>
            <a:rPr lang="en-US" sz="1600" b="0" i="0">
              <a:solidFill>
                <a:schemeClr val="tx1"/>
              </a:solidFill>
              <a:latin typeface="+mn-lt"/>
              <a:ea typeface="+mn-ea"/>
              <a:cs typeface="+mn-cs"/>
            </a:rPr>
            <a:t>he fair values of Fermat's</a:t>
          </a:r>
          <a:r>
            <a:rPr lang="en-US" sz="1600" b="0" i="0" baseline="0">
              <a:solidFill>
                <a:schemeClr val="tx1"/>
              </a:solidFill>
              <a:latin typeface="+mn-lt"/>
              <a:ea typeface="+mn-ea"/>
              <a:cs typeface="+mn-cs"/>
            </a:rPr>
            <a:t> identifiable assets </a:t>
          </a:r>
          <a:r>
            <a:rPr lang="en-US" sz="1600" b="0" i="0">
              <a:solidFill>
                <a:schemeClr val="tx1"/>
              </a:solidFill>
              <a:latin typeface="+mn-lt"/>
              <a:ea typeface="+mn-ea"/>
              <a:cs typeface="+mn-cs"/>
            </a:rPr>
            <a:t>and liabilities</a:t>
          </a:r>
          <a:r>
            <a:rPr lang="en-US" sz="1600" b="0" i="0" baseline="0">
              <a:solidFill>
                <a:schemeClr val="tx1"/>
              </a:solidFill>
              <a:latin typeface="+mn-lt"/>
              <a:ea typeface="+mn-ea"/>
              <a:cs typeface="+mn-cs"/>
            </a:rPr>
            <a:t> </a:t>
          </a:r>
          <a:r>
            <a:rPr lang="en-US" sz="1600" b="0" i="0">
              <a:solidFill>
                <a:schemeClr val="tx1"/>
              </a:solidFill>
              <a:latin typeface="+mn-lt"/>
              <a:ea typeface="+mn-ea"/>
              <a:cs typeface="+mn-cs"/>
            </a:rPr>
            <a:t>at emergence are</a:t>
          </a:r>
          <a:r>
            <a:rPr lang="en-US" sz="1600" b="0" i="0" baseline="0">
              <a:solidFill>
                <a:schemeClr val="tx1"/>
              </a:solidFill>
              <a:latin typeface="+mn-lt"/>
              <a:ea typeface="+mn-ea"/>
              <a:cs typeface="+mn-cs"/>
            </a:rPr>
            <a:t> </a:t>
          </a:r>
          <a:r>
            <a:rPr lang="en-US" sz="1600" b="0" i="0">
              <a:solidFill>
                <a:schemeClr val="tx1"/>
              </a:solidFill>
              <a:latin typeface="+mn-lt"/>
              <a:ea typeface="+mn-ea"/>
              <a:cs typeface="+mn-cs"/>
            </a:rPr>
            <a:t>equal to their corresponding book values.</a:t>
          </a:r>
        </a:p>
        <a:p>
          <a:pPr marL="457200" marR="0" lvl="1" indent="0" defTabSz="914400" eaLnBrk="1" fontAlgn="auto" latinLnBrk="0" hangingPunct="1">
            <a:lnSpc>
              <a:spcPct val="100000"/>
            </a:lnSpc>
            <a:spcBef>
              <a:spcPts val="0"/>
            </a:spcBef>
            <a:spcAft>
              <a:spcPts val="0"/>
            </a:spcAft>
            <a:buClrTx/>
            <a:buSzTx/>
            <a:buFontTx/>
            <a:buNone/>
            <a:tabLst/>
            <a:defRPr/>
          </a:pPr>
          <a:r>
            <a:rPr lang="en-US" sz="1600" baseline="0">
              <a:latin typeface="+mj-lt"/>
            </a:rPr>
            <a:t>c. Fresh start adjustment to any goodwill created upon emergence should be treated as a permanent book-tax difference. </a:t>
          </a:r>
        </a:p>
        <a:p>
          <a:pPr lvl="1"/>
          <a:r>
            <a:rPr lang="en-US" sz="1600" b="0" i="0">
              <a:solidFill>
                <a:schemeClr val="tx1"/>
              </a:solidFill>
              <a:latin typeface="+mn-lt"/>
              <a:ea typeface="+mn-ea"/>
              <a:cs typeface="+mn-cs"/>
            </a:rPr>
            <a:t>d. In</a:t>
          </a:r>
          <a:r>
            <a:rPr lang="en-US" sz="1600" b="0" i="0" baseline="0">
              <a:solidFill>
                <a:schemeClr val="tx1"/>
              </a:solidFill>
              <a:latin typeface="+mn-lt"/>
              <a:ea typeface="+mn-ea"/>
              <a:cs typeface="+mn-cs"/>
            </a:rPr>
            <a:t> the "Financials" and "Recap-Fresh Start Schedule" tabs, the "Reorganization items, net" account includes any Fresh Start Adjustments, CODI, Management Emergence Bonus, Professional Success Fees, and write off of any debt financing fees. </a:t>
          </a:r>
          <a:r>
            <a:rPr lang="en-US" sz="1600" b="0" i="0">
              <a:solidFill>
                <a:schemeClr val="tx1"/>
              </a:solidFill>
              <a:latin typeface="+mn-lt"/>
              <a:ea typeface="+mn-ea"/>
              <a:cs typeface="+mn-cs"/>
            </a:rPr>
            <a:t>Company will incur</a:t>
          </a:r>
          <a:r>
            <a:rPr lang="en-US" sz="1600" b="0" i="0" baseline="0">
              <a:solidFill>
                <a:schemeClr val="tx1"/>
              </a:solidFill>
              <a:latin typeface="+mn-lt"/>
              <a:ea typeface="+mn-ea"/>
              <a:cs typeface="+mn-cs"/>
            </a:rPr>
            <a:t> </a:t>
          </a:r>
          <a:r>
            <a:rPr lang="en-US" sz="1600" b="0" i="0">
              <a:solidFill>
                <a:schemeClr val="tx1"/>
              </a:solidFill>
              <a:latin typeface="+mn-lt"/>
              <a:ea typeface="+mn-ea"/>
              <a:cs typeface="+mn-cs"/>
            </a:rPr>
            <a:t>financing fees related to the debt exit facility and must write off at emergence any remaining financing65.6 fees relating to borrowings</a:t>
          </a:r>
          <a:r>
            <a:rPr lang="en-US" sz="1600">
              <a:solidFill>
                <a:schemeClr val="tx1"/>
              </a:solidFill>
              <a:latin typeface="+mn-lt"/>
              <a:ea typeface="+mn-ea"/>
              <a:cs typeface="+mn-cs"/>
            </a:rPr>
            <a:t> </a:t>
          </a:r>
          <a:r>
            <a:rPr lang="en-US" sz="1600" b="0" i="0">
              <a:solidFill>
                <a:schemeClr val="tx1"/>
              </a:solidFill>
              <a:latin typeface="+mn-lt"/>
              <a:ea typeface="+mn-ea"/>
              <a:cs typeface="+mn-cs"/>
            </a:rPr>
            <a:t>terminated in the transaction.</a:t>
          </a:r>
          <a:r>
            <a:rPr lang="en-US" sz="1600" b="0" i="0" baseline="0">
              <a:solidFill>
                <a:schemeClr val="tx1"/>
              </a:solidFill>
              <a:latin typeface="+mn-lt"/>
              <a:ea typeface="+mn-ea"/>
              <a:cs typeface="+mn-cs"/>
            </a:rPr>
            <a:t> </a:t>
          </a:r>
          <a:r>
            <a:rPr lang="en-US" sz="1600" b="0" i="0">
              <a:solidFill>
                <a:schemeClr val="tx1"/>
              </a:solidFill>
              <a:latin typeface="+mn-lt"/>
              <a:ea typeface="+mn-ea"/>
              <a:cs typeface="+mn-cs"/>
            </a:rPr>
            <a:t>Professional Success fees and Management Emergence bonuses are expensed in their entirety at emergence.</a:t>
          </a:r>
          <a:endParaRPr lang="en-US" sz="1600">
            <a:solidFill>
              <a:schemeClr val="tx1"/>
            </a:solidFill>
            <a:latin typeface="+mn-lt"/>
            <a:ea typeface="+mn-ea"/>
            <a:cs typeface="+mn-cs"/>
          </a:endParaRPr>
        </a:p>
        <a:p>
          <a:pPr lvl="1"/>
          <a:r>
            <a:rPr lang="en-US" sz="1600" b="0" i="0">
              <a:solidFill>
                <a:schemeClr val="tx1"/>
              </a:solidFill>
              <a:latin typeface="+mn-lt"/>
              <a:ea typeface="+mn-ea"/>
              <a:cs typeface="+mn-cs"/>
            </a:rPr>
            <a:t>e.</a:t>
          </a:r>
          <a:r>
            <a:rPr lang="en-US" sz="1600">
              <a:solidFill>
                <a:schemeClr val="tx1"/>
              </a:solidFill>
              <a:latin typeface="+mn-lt"/>
              <a:ea typeface="+mn-ea"/>
              <a:cs typeface="+mn-cs"/>
            </a:rPr>
            <a:t> Financing</a:t>
          </a:r>
          <a:r>
            <a:rPr lang="en-US" sz="1600" baseline="0">
              <a:solidFill>
                <a:schemeClr val="tx1"/>
              </a:solidFill>
              <a:latin typeface="+mn-lt"/>
              <a:ea typeface="+mn-ea"/>
              <a:cs typeface="+mn-cs"/>
            </a:rPr>
            <a:t> </a:t>
          </a:r>
          <a:r>
            <a:rPr lang="en-US" sz="1600">
              <a:solidFill>
                <a:schemeClr val="tx1"/>
              </a:solidFill>
              <a:latin typeface="+mn-lt"/>
              <a:ea typeface="+mn-ea"/>
              <a:cs typeface="+mn-cs"/>
            </a:rPr>
            <a:t>fees</a:t>
          </a:r>
          <a:r>
            <a:rPr lang="en-US" sz="1600" baseline="0">
              <a:solidFill>
                <a:schemeClr val="tx1"/>
              </a:solidFill>
              <a:latin typeface="+mn-lt"/>
              <a:ea typeface="+mn-ea"/>
              <a:cs typeface="+mn-cs"/>
            </a:rPr>
            <a:t> for the exit facility is 3.5% of the amount of the exit facility, professional success fees is $7 million, and </a:t>
          </a:r>
          <a:r>
            <a:rPr lang="en-US" sz="1600" b="0" i="0" baseline="0">
              <a:solidFill>
                <a:schemeClr val="tx1"/>
              </a:solidFill>
              <a:latin typeface="+mn-lt"/>
              <a:ea typeface="+mn-ea"/>
              <a:cs typeface="+mn-cs"/>
            </a:rPr>
            <a:t>m</a:t>
          </a:r>
          <a:r>
            <a:rPr lang="en-US" sz="1600" b="0" i="0">
              <a:solidFill>
                <a:schemeClr val="tx1"/>
              </a:solidFill>
              <a:latin typeface="+mn-lt"/>
              <a:ea typeface="+mn-ea"/>
              <a:cs typeface="+mn-cs"/>
            </a:rPr>
            <a:t>anagement</a:t>
          </a:r>
          <a:r>
            <a:rPr lang="en-US" sz="1600" b="0" i="0" baseline="0">
              <a:solidFill>
                <a:schemeClr val="tx1"/>
              </a:solidFill>
              <a:latin typeface="+mn-lt"/>
              <a:ea typeface="+mn-ea"/>
              <a:cs typeface="+mn-cs"/>
            </a:rPr>
            <a:t>  Emergence Bonus is $5 million. </a:t>
          </a:r>
        </a:p>
        <a:p>
          <a:endParaRPr lang="en-US" sz="1200" b="0" i="0" baseline="0">
            <a:solidFill>
              <a:schemeClr val="tx1"/>
            </a:solidFill>
            <a:latin typeface="+mn-lt"/>
            <a:ea typeface="+mn-ea"/>
            <a:cs typeface="+mn-cs"/>
          </a:endParaRPr>
        </a:p>
        <a:p>
          <a:endParaRPr lang="en-US" sz="1200" b="0" i="0" baseline="0">
            <a:solidFill>
              <a:schemeClr val="tx1"/>
            </a:solidFill>
            <a:latin typeface="+mn-lt"/>
            <a:ea typeface="+mn-ea"/>
            <a:cs typeface="+mn-cs"/>
          </a:endParaRPr>
        </a:p>
        <a:p>
          <a:r>
            <a:rPr lang="en-US" sz="1600" b="1" u="sng">
              <a:solidFill>
                <a:schemeClr val="tx1"/>
              </a:solidFill>
              <a:effectLst/>
              <a:latin typeface="+mn-lt"/>
              <a:ea typeface="+mn-ea"/>
              <a:cs typeface="+mn-cs"/>
            </a:rPr>
            <a:t>Chicago Booth</a:t>
          </a:r>
          <a:r>
            <a:rPr lang="en-US" sz="1600" b="1" u="sng" baseline="0">
              <a:solidFill>
                <a:schemeClr val="tx1"/>
              </a:solidFill>
              <a:effectLst/>
              <a:latin typeface="+mn-lt"/>
              <a:ea typeface="+mn-ea"/>
              <a:cs typeface="+mn-cs"/>
            </a:rPr>
            <a:t> Honor Code:</a:t>
          </a:r>
        </a:p>
        <a:p>
          <a:endParaRPr lang="en-US" sz="1600" u="sng">
            <a:effectLst/>
          </a:endParaRPr>
        </a:p>
        <a:p>
          <a:r>
            <a:rPr lang="en-US" sz="1600" b="1" baseline="0">
              <a:solidFill>
                <a:schemeClr val="tx1"/>
              </a:solidFill>
              <a:effectLst/>
              <a:latin typeface="+mn-lt"/>
              <a:ea typeface="+mn-ea"/>
              <a:cs typeface="+mn-cs"/>
            </a:rPr>
            <a:t>By typing your names below, you hereby certify that you have not violated the Chicago Booth Honor Code on this exam. This implies that (1) you and your teamate have not discussed this exam with any other individual or team, and (2) you have also not used or consulted any other materials other than your own class notes for 21</a:t>
          </a:r>
        </a:p>
        <a:p>
          <a:r>
            <a:rPr lang="en-US" sz="1600" b="1" baseline="0">
              <a:solidFill>
                <a:schemeClr val="tx1"/>
              </a:solidFill>
              <a:effectLst/>
              <a:latin typeface="+mn-lt"/>
              <a:ea typeface="+mn-ea"/>
              <a:cs typeface="+mn-cs"/>
            </a:rPr>
            <a:t>this course.</a:t>
          </a:r>
        </a:p>
        <a:p>
          <a:endParaRPr lang="en-US" sz="1600">
            <a:effectLst/>
          </a:endParaRPr>
        </a:p>
        <a:p>
          <a:r>
            <a:rPr lang="en-US" sz="1600" b="1" baseline="0">
              <a:solidFill>
                <a:schemeClr val="tx1"/>
              </a:solidFill>
              <a:effectLst/>
              <a:latin typeface="+mn-lt"/>
              <a:ea typeface="+mn-ea"/>
              <a:cs typeface="+mn-cs"/>
            </a:rPr>
            <a:t>Both team members should type your names here:  </a:t>
          </a:r>
          <a:endParaRPr lang="en-US" sz="1600">
            <a:effectLst/>
          </a:endParaRPr>
        </a:p>
        <a:p>
          <a:endParaRPr lang="en-US" sz="1200" b="0" i="0" baseline="0">
            <a:solidFill>
              <a:schemeClr val="tx1"/>
            </a:solidFill>
            <a:latin typeface="+mn-lt"/>
            <a:ea typeface="+mn-ea"/>
            <a:cs typeface="+mn-cs"/>
          </a:endParaRPr>
        </a:p>
        <a:p>
          <a:r>
            <a:rPr lang="en-US" sz="1600" b="0" i="0" baseline="0">
              <a:solidFill>
                <a:schemeClr val="tx1"/>
              </a:solidFill>
              <a:latin typeface="+mn-lt"/>
              <a:ea typeface="+mn-ea"/>
              <a:cs typeface="+mn-cs"/>
            </a:rPr>
            <a:t>Team Member 1: ____Andy Wang__________________________</a:t>
          </a:r>
        </a:p>
        <a:p>
          <a:endParaRPr lang="en-US" sz="1600" b="0" i="0" baseline="0">
            <a:solidFill>
              <a:schemeClr val="tx1"/>
            </a:solidFill>
            <a:latin typeface="+mn-lt"/>
            <a:ea typeface="+mn-ea"/>
            <a:cs typeface="+mn-cs"/>
          </a:endParaRPr>
        </a:p>
        <a:p>
          <a:r>
            <a:rPr lang="en-US" sz="1600" b="0" i="0" baseline="0">
              <a:solidFill>
                <a:schemeClr val="tx1"/>
              </a:solidFill>
              <a:latin typeface="+mn-lt"/>
              <a:ea typeface="+mn-ea"/>
              <a:cs typeface="+mn-cs"/>
            </a:rPr>
            <a:t>Team Member 2: _Ruiyang Xu_____________________________</a:t>
          </a:r>
        </a:p>
        <a:p>
          <a:endParaRPr lang="en-US" sz="1200" b="0" i="0" baseline="0">
            <a:solidFill>
              <a:schemeClr val="tx1"/>
            </a:solidFill>
            <a:latin typeface="+mn-lt"/>
            <a:ea typeface="+mn-ea"/>
            <a:cs typeface="+mn-cs"/>
          </a:endParaRPr>
        </a:p>
        <a:p>
          <a:endParaRPr lang="en-US" sz="1200" b="0" i="0" baseline="0">
            <a:solidFill>
              <a:schemeClr val="tx1"/>
            </a:solidFill>
            <a:latin typeface="+mn-lt"/>
            <a:ea typeface="+mn-ea"/>
            <a:cs typeface="+mn-cs"/>
          </a:endParaRPr>
        </a:p>
        <a:p>
          <a:endParaRPr lang="en-US" sz="1200" b="0" i="0" baseline="0">
            <a:solidFill>
              <a:schemeClr val="tx1"/>
            </a:solidFill>
            <a:latin typeface="+mn-lt"/>
            <a:ea typeface="+mn-ea"/>
            <a:cs typeface="+mn-cs"/>
          </a:endParaRPr>
        </a:p>
        <a:p>
          <a:endParaRPr lang="en-US" sz="1200"/>
        </a:p>
        <a:p>
          <a:endParaRPr lang="en-US" sz="1200" b="0" i="0" u="none" strike="noStrike">
            <a:solidFill>
              <a:schemeClr val="tx1"/>
            </a:solidFill>
            <a:latin typeface="+mj-lt"/>
            <a:ea typeface="+mn-ea"/>
            <a:cs typeface="+mn-cs"/>
          </a:endParaRPr>
        </a:p>
        <a:p>
          <a:endParaRPr lang="en-US" sz="1200" b="0" i="0" u="none" strike="noStrike">
            <a:solidFill>
              <a:schemeClr val="tx1"/>
            </a:solidFill>
            <a:latin typeface="+mj-lt"/>
            <a:ea typeface="+mn-ea"/>
            <a:cs typeface="+mn-cs"/>
          </a:endParaRPr>
        </a:p>
        <a:p>
          <a:endParaRPr lang="en-US" sz="1200" b="1" baseline="0">
            <a:latin typeface="+mj-lt"/>
          </a:endParaRPr>
        </a:p>
        <a:p>
          <a:endParaRPr lang="en-US" sz="1200" b="1" baseline="0">
            <a:latin typeface="+mj-lt"/>
          </a:endParaRPr>
        </a:p>
        <a:p>
          <a:endParaRPr lang="en-US" sz="1200" b="1" baseline="0">
            <a:latin typeface="+mj-lt"/>
          </a:endParaRPr>
        </a:p>
        <a:p>
          <a:endParaRPr lang="en-US" sz="1200" b="1" baseline="0">
            <a:latin typeface="+mj-lt"/>
          </a:endParaRPr>
        </a:p>
        <a:p>
          <a:endParaRPr lang="en-US" sz="1200" b="1" baseline="0">
            <a:latin typeface="+mj-lt"/>
          </a:endParaRPr>
        </a:p>
        <a:p>
          <a:endParaRPr lang="en-US" sz="1200" b="1" baseline="0">
            <a:latin typeface="+mj-lt"/>
          </a:endParaRPr>
        </a:p>
        <a:p>
          <a:r>
            <a:rPr lang="en-US" sz="1200" b="1" baseline="0">
              <a:latin typeface="+mj-lt"/>
            </a:rPr>
            <a:t> </a:t>
          </a:r>
          <a:endParaRPr lang="en-US" sz="1200" b="1">
            <a:latin typeface="+mj-lt"/>
          </a:endParaRPr>
        </a:p>
        <a:p>
          <a:endParaRPr lang="en-US" sz="1200">
            <a:latin typeface="+mj-lt"/>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SHROPS~1\LOCALS~1\Temp\notes782185\Recap%20Mod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solidated"/>
    </sheetNames>
    <sheetDataSet>
      <sheetData sheetId="0" refreshError="1"/>
    </sheetDataSet>
  </externalBook>
</externalLink>
</file>

<file path=xl/theme/theme1.xml><?xml version="1.0" encoding="utf-8"?>
<a:theme xmlns:a="http://schemas.openxmlformats.org/drawingml/2006/main" name="LazardPrimary_A4">
  <a:themeElements>
    <a:clrScheme name="LazardPrimary_A4">
      <a:dk1>
        <a:sysClr val="windowText" lastClr="000000"/>
      </a:dk1>
      <a:lt1>
        <a:sysClr val="window" lastClr="FFFFFF"/>
      </a:lt1>
      <a:dk2>
        <a:srgbClr val="1E3656"/>
      </a:dk2>
      <a:lt2>
        <a:srgbClr val="E1E1E1"/>
      </a:lt2>
      <a:accent1>
        <a:srgbClr val="335A8F"/>
      </a:accent1>
      <a:accent2>
        <a:srgbClr val="BEBEBE"/>
      </a:accent2>
      <a:accent3>
        <a:srgbClr val="CDDFF4"/>
      </a:accent3>
      <a:accent4>
        <a:srgbClr val="8FA7C8"/>
      </a:accent4>
      <a:accent5>
        <a:srgbClr val="A10D34"/>
      </a:accent5>
      <a:accent6>
        <a:srgbClr val="337F7B"/>
      </a:accent6>
      <a:hlink>
        <a:srgbClr val="0000FF"/>
      </a:hlink>
      <a:folHlink>
        <a:srgbClr val="800080"/>
      </a:folHlink>
    </a:clrScheme>
    <a:fontScheme name="LazardPrimary_A4">
      <a:majorFont>
        <a:latin typeface="Garamond"/>
        <a:ea typeface=""/>
        <a:cs typeface=""/>
      </a:majorFont>
      <a:minorFont>
        <a:latin typeface="Garamond"/>
        <a:ea typeface=""/>
        <a:cs typeface=""/>
      </a:minorFont>
    </a:fontScheme>
    <a:fmtScheme name="LazardPrimary_A4">
      <a:fillStyleLst>
        <a:solidFill>
          <a:schemeClr val="phClr"/>
        </a:solidFill>
        <a:gradFill rotWithShape="1">
          <a:gsLst>
            <a:gs pos="0">
              <a:schemeClr val="phClr">
                <a:tint val="35000"/>
                <a:satMod val="260000"/>
              </a:schemeClr>
            </a:gs>
            <a:gs pos="30000">
              <a:schemeClr val="phClr">
                <a:tint val="38000"/>
                <a:satMod val="260000"/>
              </a:schemeClr>
            </a:gs>
            <a:gs pos="75000">
              <a:schemeClr val="phClr">
                <a:tint val="55000"/>
                <a:satMod val="255000"/>
              </a:schemeClr>
            </a:gs>
            <a:gs pos="100000">
              <a:schemeClr val="phClr">
                <a:tint val="70000"/>
                <a:satMod val="255000"/>
              </a:schemeClr>
            </a:gs>
          </a:gsLst>
          <a:path path="circle">
            <a:fillToRect l="5000" t="100000" r="120000" b="10000"/>
          </a:path>
        </a:gradFill>
        <a:gradFill rotWithShape="1">
          <a:gsLst>
            <a:gs pos="0">
              <a:schemeClr val="phClr">
                <a:shade val="63000"/>
                <a:satMod val="165000"/>
              </a:schemeClr>
            </a:gs>
            <a:gs pos="30000">
              <a:schemeClr val="phClr">
                <a:shade val="58000"/>
                <a:satMod val="165000"/>
              </a:schemeClr>
            </a:gs>
            <a:gs pos="75000">
              <a:schemeClr val="phClr">
                <a:shade val="30000"/>
                <a:satMod val="175000"/>
              </a:schemeClr>
            </a:gs>
            <a:gs pos="100000">
              <a:schemeClr val="phClr">
                <a:shade val="15000"/>
                <a:satMod val="175000"/>
              </a:schemeClr>
            </a:gs>
          </a:gsLst>
          <a:path path="circle">
            <a:fillToRect l="5000" t="100000" r="120000" b="10000"/>
          </a:path>
        </a:gradFill>
      </a:fillStyleLst>
      <a:lnStyleLst>
        <a:ln w="12700" cap="flat" cmpd="sng" algn="ctr">
          <a:solidFill>
            <a:schemeClr val="phClr">
              <a:shade val="70000"/>
              <a:satMod val="150000"/>
            </a:schemeClr>
          </a:solidFill>
          <a:prstDash val="solid"/>
        </a:ln>
        <a:ln w="25400" cap="flat" cmpd="sng" algn="ctr">
          <a:solidFill>
            <a:schemeClr val="phClr"/>
          </a:solidFill>
          <a:prstDash val="solid"/>
        </a:ln>
        <a:ln w="34925" cap="flat" cmpd="sng" algn="ctr">
          <a:solidFill>
            <a:schemeClr val="phClr"/>
          </a:solidFill>
          <a:prstDash val="solid"/>
        </a:ln>
      </a:lnStyleLst>
      <a:effectStyleLst>
        <a:effectStyle>
          <a:effectLst>
            <a:outerShdw blurRad="50800" dist="25000" dir="5400000" rotWithShape="0">
              <a:srgbClr val="000000">
                <a:alpha val="40000"/>
              </a:srgbClr>
            </a:outerShdw>
          </a:effectLst>
        </a:effectStyle>
        <a:effectStyle>
          <a:effectLst>
            <a:outerShdw blurRad="50800" dist="20000" dir="5400000" rotWithShape="0">
              <a:srgbClr val="000000">
                <a:alpha val="42000"/>
              </a:srgbClr>
            </a:outerShdw>
          </a:effectLst>
        </a:effectStyle>
        <a:effectStyle>
          <a:effectLst>
            <a:outerShdw blurRad="50800" dist="20000" dir="5400000" rotWithShape="0">
              <a:srgbClr val="000000">
                <a:alpha val="42000"/>
              </a:srgbClr>
            </a:outerShdw>
          </a:effectLst>
          <a:scene3d>
            <a:camera prst="orthographicFront">
              <a:rot lat="0" lon="0" rev="0"/>
            </a:camera>
            <a:lightRig rig="balanced" dir="t"/>
          </a:scene3d>
          <a:sp3d>
            <a:bevelT w="47625" h="6985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custClrLst>
    <a:custClr name="LazLtYellow">
      <a:srgbClr val="FFEF9E"/>
    </a:custClr>
    <a:custClr name="lazYellow">
      <a:srgbClr val="EFD303"/>
    </a:custClr>
    <a:custClr name="LazOrange">
      <a:srgbClr val="FF9900"/>
    </a:custClr>
    <a:custClr name="LazDkOrange">
      <a:srgbClr val="D34C08"/>
    </a:custClr>
    <a:custClr name="LazOlive">
      <a:srgbClr val="BAC983"/>
    </a:custClr>
    <a:custClr name="LazLtTeal">
      <a:srgbClr val="7AA778"/>
    </a:custClr>
    <a:custClr name="LazLtGreen">
      <a:srgbClr val="7DBD42"/>
    </a:custClr>
    <a:custClr name="LazDkGreen">
      <a:srgbClr val="3C5A0D"/>
    </a:custClr>
    <a:custClr name="LazPink">
      <a:srgbClr val="EB9683"/>
    </a:custClr>
    <a:custClr name="LazLilac">
      <a:srgbClr val="E6CDE1"/>
    </a:custClr>
    <a:custClr name="LazLavender">
      <a:srgbClr val="C096BB"/>
    </a:custClr>
    <a:custClr name="LazPurple">
      <a:srgbClr val="85507F"/>
    </a:custClr>
    <a:custClr name="LazDkGray">
      <a:srgbClr val="8F8F8F"/>
    </a:custClr>
    <a:custClr name="LazDkstGray">
      <a:srgbClr val="5A5A5A"/>
    </a:custClr>
    <a:custClr name="LazKhaki">
      <a:srgbClr val="736400"/>
    </a:custClr>
    <a:custClr name="LazBrown">
      <a:srgbClr val="4C0000"/>
    </a:custClr>
    <a:custClr name="LazLtBrown">
      <a:srgbClr val="903D00"/>
    </a:custClr>
  </a:custClr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7:J58"/>
  <sheetViews>
    <sheetView showGridLines="0" topLeftCell="A51" zoomScale="115" zoomScaleSheetLayoutView="85" workbookViewId="0">
      <selection activeCell="O109" sqref="O109"/>
    </sheetView>
  </sheetViews>
  <sheetFormatPr defaultColWidth="8.85546875" defaultRowHeight="14.1"/>
  <cols>
    <col min="1" max="1" width="2.85546875" style="459" customWidth="1"/>
    <col min="2" max="3" width="3.140625" style="459" customWidth="1"/>
    <col min="4" max="17" width="8.85546875" style="459"/>
    <col min="18" max="18" width="2.85546875" style="459" customWidth="1"/>
    <col min="19" max="16384" width="8.85546875" style="459"/>
  </cols>
  <sheetData>
    <row r="7" spans="1:10">
      <c r="A7" s="463"/>
      <c r="B7" s="463"/>
      <c r="C7" s="463"/>
      <c r="D7" s="463"/>
      <c r="E7" s="463"/>
      <c r="F7" s="463"/>
      <c r="G7" s="463"/>
      <c r="H7" s="463"/>
      <c r="I7" s="463"/>
      <c r="J7" s="463"/>
    </row>
    <row r="8" spans="1:10">
      <c r="A8" s="463"/>
      <c r="B8" s="463"/>
      <c r="C8" s="463"/>
      <c r="D8" s="463"/>
      <c r="E8" s="463"/>
      <c r="F8" s="463"/>
      <c r="G8" s="463"/>
      <c r="H8" s="463"/>
      <c r="I8" s="463"/>
      <c r="J8" s="463"/>
    </row>
    <row r="9" spans="1:10">
      <c r="A9" s="463"/>
      <c r="B9" s="465"/>
      <c r="C9" s="464"/>
      <c r="D9" s="464"/>
      <c r="E9" s="463"/>
      <c r="F9" s="463"/>
      <c r="G9" s="463"/>
      <c r="H9" s="463"/>
      <c r="I9" s="463"/>
      <c r="J9" s="463"/>
    </row>
    <row r="10" spans="1:10">
      <c r="A10" s="463"/>
      <c r="B10" s="465"/>
      <c r="C10" s="464"/>
      <c r="D10" s="464"/>
      <c r="E10" s="463"/>
      <c r="F10" s="463"/>
      <c r="G10" s="463"/>
      <c r="H10" s="463"/>
      <c r="I10" s="463"/>
      <c r="J10" s="463"/>
    </row>
    <row r="11" spans="1:10">
      <c r="A11" s="463"/>
      <c r="B11" s="465"/>
      <c r="C11" s="464"/>
      <c r="D11" s="464"/>
      <c r="E11" s="463"/>
      <c r="F11" s="463"/>
      <c r="G11" s="463"/>
      <c r="H11" s="463"/>
      <c r="I11" s="463"/>
      <c r="J11" s="463"/>
    </row>
    <row r="12" spans="1:10" ht="17.850000000000001" customHeight="1">
      <c r="A12" s="463"/>
      <c r="B12" s="466"/>
      <c r="C12" s="464"/>
      <c r="D12" s="464"/>
      <c r="E12" s="463"/>
      <c r="F12" s="463"/>
      <c r="G12" s="463"/>
      <c r="H12" s="463"/>
      <c r="I12" s="463"/>
      <c r="J12" s="463"/>
    </row>
    <row r="13" spans="1:10">
      <c r="A13" s="463"/>
      <c r="B13" s="465"/>
      <c r="C13" s="464"/>
      <c r="D13" s="464"/>
      <c r="E13" s="463"/>
      <c r="F13" s="463"/>
      <c r="G13" s="463"/>
      <c r="H13" s="463"/>
      <c r="I13" s="463"/>
      <c r="J13" s="463"/>
    </row>
    <row r="14" spans="1:10">
      <c r="A14" s="463"/>
      <c r="B14" s="463"/>
      <c r="C14" s="464"/>
      <c r="D14" s="464"/>
      <c r="E14" s="463"/>
      <c r="F14" s="463"/>
      <c r="G14" s="463"/>
      <c r="H14" s="463"/>
      <c r="I14" s="463"/>
      <c r="J14" s="463"/>
    </row>
    <row r="15" spans="1:10">
      <c r="A15" s="463"/>
      <c r="B15" s="463"/>
      <c r="C15" s="464"/>
      <c r="D15" s="464"/>
      <c r="E15" s="463"/>
      <c r="F15" s="463"/>
      <c r="G15" s="463"/>
      <c r="H15" s="463"/>
      <c r="I15" s="463"/>
      <c r="J15" s="463"/>
    </row>
    <row r="17" spans="2:2" s="460" customFormat="1">
      <c r="B17" s="462"/>
    </row>
    <row r="18" spans="2:2" s="460" customFormat="1">
      <c r="B18" s="461"/>
    </row>
    <row r="19" spans="2:2" s="460" customFormat="1"/>
    <row r="20" spans="2:2" s="460" customFormat="1"/>
    <row r="21" spans="2:2" s="460" customFormat="1"/>
    <row r="22" spans="2:2" s="460" customFormat="1"/>
    <row r="23" spans="2:2" s="460" customFormat="1"/>
    <row r="24" spans="2:2" s="460" customFormat="1"/>
    <row r="25" spans="2:2" s="460" customFormat="1"/>
    <row r="26" spans="2:2" s="460" customFormat="1"/>
    <row r="27" spans="2:2" s="460" customFormat="1"/>
    <row r="28" spans="2:2" s="460" customFormat="1"/>
    <row r="29" spans="2:2" s="460" customFormat="1"/>
    <row r="30" spans="2:2" s="460" customFormat="1"/>
    <row r="31" spans="2:2" s="460" customFormat="1"/>
    <row r="32" spans="2:2" s="460" customFormat="1"/>
    <row r="33" s="460" customFormat="1"/>
    <row r="34" s="460" customFormat="1"/>
    <row r="35" s="460" customFormat="1"/>
    <row r="36" s="460" customFormat="1"/>
    <row r="37" s="460" customFormat="1"/>
    <row r="38" s="460" customFormat="1"/>
    <row r="39" s="460" customFormat="1"/>
    <row r="40" s="460" customFormat="1"/>
    <row r="41" s="460" customFormat="1"/>
    <row r="42" s="460" customFormat="1"/>
    <row r="43" s="460" customFormat="1"/>
    <row r="44" s="460" customFormat="1"/>
    <row r="45" s="460" customFormat="1"/>
    <row r="46" s="460" customFormat="1"/>
    <row r="47" s="460" customFormat="1"/>
    <row r="48" s="460" customFormat="1"/>
    <row r="49" s="460" customFormat="1"/>
    <row r="50" s="460" customFormat="1"/>
    <row r="51" s="460" customFormat="1"/>
    <row r="52" s="460" customFormat="1"/>
    <row r="53" s="460" customFormat="1"/>
    <row r="54" s="460" customFormat="1"/>
    <row r="55" s="460" customFormat="1"/>
    <row r="56" s="460" customFormat="1"/>
    <row r="57" s="460" customFormat="1"/>
    <row r="58" s="460" customFormat="1"/>
  </sheetData>
  <pageMargins left="0.5" right="0.5" top="0.75" bottom="0.75" header="0.3" footer="0.3"/>
  <pageSetup scale="93" fitToWidth="0" fitToHeight="0"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6"/>
  <sheetViews>
    <sheetView showGridLines="0" zoomScale="192" zoomScaleNormal="154" workbookViewId="0">
      <selection activeCell="K8" sqref="K8"/>
    </sheetView>
  </sheetViews>
  <sheetFormatPr defaultColWidth="9" defaultRowHeight="15"/>
  <cols>
    <col min="6" max="6" width="12.85546875" customWidth="1"/>
    <col min="8" max="8" width="17.140625" customWidth="1"/>
  </cols>
  <sheetData>
    <row r="1" spans="1:11">
      <c r="A1" s="514" t="s">
        <v>0</v>
      </c>
      <c r="B1" s="491"/>
      <c r="C1" s="491"/>
      <c r="D1" s="491"/>
      <c r="E1" s="491"/>
      <c r="F1" s="491"/>
      <c r="G1" s="491"/>
      <c r="H1" s="491"/>
      <c r="I1" s="491"/>
      <c r="J1" s="491"/>
      <c r="K1" s="492"/>
    </row>
    <row r="2" spans="1:11">
      <c r="A2" s="614"/>
      <c r="B2" s="615"/>
      <c r="C2" s="615"/>
      <c r="D2" s="615"/>
      <c r="E2" s="615"/>
      <c r="F2" s="615"/>
      <c r="G2" s="615"/>
      <c r="H2" s="615"/>
      <c r="I2" s="616"/>
      <c r="J2" s="617"/>
      <c r="K2" s="618"/>
    </row>
    <row r="3" spans="1:11">
      <c r="A3" s="493"/>
      <c r="B3" s="484" t="s">
        <v>1</v>
      </c>
      <c r="C3" s="472"/>
      <c r="D3" s="483" t="s">
        <v>2</v>
      </c>
      <c r="E3" s="482"/>
      <c r="F3" s="482"/>
      <c r="G3" s="481" t="s">
        <v>3</v>
      </c>
      <c r="H3" s="481" t="s">
        <v>4</v>
      </c>
      <c r="I3" s="472"/>
      <c r="J3" s="473"/>
      <c r="K3" s="494"/>
    </row>
    <row r="4" spans="1:11">
      <c r="A4" s="493"/>
      <c r="B4" s="484"/>
      <c r="C4" s="472"/>
      <c r="D4" s="483"/>
      <c r="E4" s="482"/>
      <c r="F4" s="482"/>
      <c r="G4" s="481"/>
      <c r="H4" s="481"/>
      <c r="I4" s="472"/>
      <c r="J4" s="473"/>
      <c r="K4" s="494"/>
    </row>
    <row r="5" spans="1:11">
      <c r="A5" s="493">
        <v>1</v>
      </c>
      <c r="B5" s="476" t="s">
        <v>5</v>
      </c>
      <c r="C5" s="477"/>
      <c r="D5" s="477"/>
      <c r="E5" s="495"/>
      <c r="F5" s="495"/>
      <c r="G5" s="495"/>
      <c r="H5" s="467"/>
      <c r="I5" s="472"/>
      <c r="J5" s="473"/>
      <c r="K5" s="494"/>
    </row>
    <row r="6" spans="1:11">
      <c r="A6" s="493"/>
      <c r="B6" s="472"/>
      <c r="C6" s="496"/>
      <c r="D6" s="472"/>
      <c r="E6" s="472" t="s">
        <v>6</v>
      </c>
      <c r="F6" s="472"/>
      <c r="G6" s="595">
        <f>H7</f>
        <v>225</v>
      </c>
      <c r="H6" s="595"/>
      <c r="I6" s="480"/>
      <c r="J6" s="473"/>
      <c r="K6" s="494"/>
    </row>
    <row r="7" spans="1:11">
      <c r="A7" s="493"/>
      <c r="B7" s="472"/>
      <c r="C7" s="496"/>
      <c r="D7" s="472"/>
      <c r="E7" s="472" t="s">
        <v>7</v>
      </c>
      <c r="F7" s="472"/>
      <c r="G7" s="596"/>
      <c r="H7" s="596">
        <f>Financials!J130</f>
        <v>225</v>
      </c>
      <c r="I7" s="480"/>
      <c r="J7" s="473"/>
      <c r="K7" s="494"/>
    </row>
    <row r="8" spans="1:11">
      <c r="A8" s="493"/>
      <c r="B8" s="472"/>
      <c r="C8" s="496"/>
      <c r="D8" s="472"/>
      <c r="E8" s="472"/>
      <c r="F8" s="472"/>
      <c r="G8" s="596"/>
      <c r="H8" s="596"/>
      <c r="I8" s="480"/>
      <c r="J8" s="473"/>
      <c r="K8" s="494"/>
    </row>
    <row r="9" spans="1:11">
      <c r="A9" s="493"/>
      <c r="B9" s="472"/>
      <c r="C9" s="496"/>
      <c r="D9" s="472"/>
      <c r="E9" s="472" t="s">
        <v>8</v>
      </c>
      <c r="F9" s="472"/>
      <c r="G9" s="596">
        <f>Financials!J195</f>
        <v>4.05</v>
      </c>
      <c r="H9" s="596"/>
      <c r="I9" s="480"/>
      <c r="J9" s="473"/>
      <c r="K9" s="494"/>
    </row>
    <row r="10" spans="1:11">
      <c r="A10" s="493"/>
      <c r="B10" s="472"/>
      <c r="C10" s="496"/>
      <c r="D10" s="472"/>
      <c r="E10" s="472" t="s">
        <v>6</v>
      </c>
      <c r="F10" s="472"/>
      <c r="G10" s="596"/>
      <c r="H10" s="596">
        <f>G9</f>
        <v>4.05</v>
      </c>
      <c r="I10" s="480"/>
      <c r="J10" s="473"/>
      <c r="K10" s="494"/>
    </row>
    <row r="11" spans="1:11">
      <c r="A11" s="493">
        <v>2</v>
      </c>
      <c r="B11" s="476" t="s">
        <v>9</v>
      </c>
      <c r="C11" s="476"/>
      <c r="D11" s="476"/>
      <c r="E11" s="497"/>
      <c r="F11" s="467"/>
      <c r="G11" s="597"/>
      <c r="H11" s="597"/>
      <c r="I11" s="480"/>
      <c r="J11" s="473"/>
      <c r="K11" s="494"/>
    </row>
    <row r="12" spans="1:11">
      <c r="A12" s="493"/>
      <c r="B12" s="472"/>
      <c r="C12" s="496"/>
      <c r="D12" s="472"/>
      <c r="E12" s="472" t="s">
        <v>10</v>
      </c>
      <c r="F12" s="472"/>
      <c r="G12" s="595">
        <f>-Financials!J146</f>
        <v>205</v>
      </c>
      <c r="H12" s="595"/>
      <c r="I12" s="480"/>
      <c r="J12" s="473"/>
      <c r="K12" s="494"/>
    </row>
    <row r="13" spans="1:11">
      <c r="A13" s="493"/>
      <c r="B13" s="472"/>
      <c r="C13" s="496"/>
      <c r="D13" s="472"/>
      <c r="E13" s="472" t="s">
        <v>6</v>
      </c>
      <c r="F13" s="472"/>
      <c r="G13" s="596"/>
      <c r="H13" s="596">
        <f>G12</f>
        <v>205</v>
      </c>
      <c r="I13" s="480"/>
      <c r="J13" s="473"/>
      <c r="K13" s="494"/>
    </row>
    <row r="14" spans="1:11">
      <c r="A14" s="493"/>
      <c r="B14" s="472"/>
      <c r="C14" s="496"/>
      <c r="D14" s="472"/>
      <c r="E14" s="472"/>
      <c r="F14" s="472"/>
      <c r="G14" s="596"/>
      <c r="H14" s="596"/>
      <c r="I14" s="480"/>
      <c r="J14" s="473"/>
      <c r="K14" s="494"/>
    </row>
    <row r="15" spans="1:11">
      <c r="A15" s="493"/>
      <c r="B15" s="472"/>
      <c r="C15" s="496"/>
      <c r="D15" s="472"/>
      <c r="E15" s="472" t="s">
        <v>11</v>
      </c>
      <c r="F15" s="472"/>
      <c r="G15" s="596">
        <f>Financials!J22</f>
        <v>2.916666666666667</v>
      </c>
      <c r="H15" s="596"/>
      <c r="I15" s="480"/>
      <c r="J15" s="473"/>
      <c r="K15" s="494"/>
    </row>
    <row r="16" spans="1:11">
      <c r="A16" s="493"/>
      <c r="B16" s="472"/>
      <c r="C16" s="496"/>
      <c r="D16" s="472"/>
      <c r="E16" s="472" t="s">
        <v>8</v>
      </c>
      <c r="F16" s="472"/>
      <c r="G16" s="596"/>
      <c r="H16" s="596">
        <f>G15</f>
        <v>2.916666666666667</v>
      </c>
      <c r="I16" s="480"/>
      <c r="J16" s="473"/>
      <c r="K16" s="494"/>
    </row>
    <row r="17" spans="1:11">
      <c r="A17" s="493"/>
      <c r="B17" s="472"/>
      <c r="C17" s="496"/>
      <c r="D17" s="472"/>
      <c r="E17" s="472"/>
      <c r="F17" s="472"/>
      <c r="G17" s="596"/>
      <c r="H17" s="596"/>
      <c r="I17" s="480"/>
      <c r="J17" s="470"/>
      <c r="K17" s="498"/>
    </row>
    <row r="18" spans="1:11">
      <c r="A18" s="493">
        <v>3</v>
      </c>
      <c r="B18" s="476" t="s">
        <v>12</v>
      </c>
      <c r="C18" s="479"/>
      <c r="D18" s="479"/>
      <c r="E18" s="479"/>
      <c r="F18" s="479"/>
      <c r="G18" s="598"/>
      <c r="H18" s="599"/>
      <c r="I18" s="480"/>
      <c r="J18" s="473"/>
      <c r="K18" s="494"/>
    </row>
    <row r="19" spans="1:11">
      <c r="A19" s="493"/>
      <c r="B19" s="472"/>
      <c r="C19" s="472"/>
      <c r="D19" s="472"/>
      <c r="E19" s="472" t="s">
        <v>13</v>
      </c>
      <c r="F19" s="479"/>
      <c r="G19" s="595">
        <f>Financials!K147</f>
        <v>100</v>
      </c>
      <c r="H19" s="599"/>
      <c r="I19" s="480"/>
      <c r="J19" s="473"/>
      <c r="K19" s="494"/>
    </row>
    <row r="20" spans="1:11">
      <c r="A20" s="493"/>
      <c r="B20" s="472"/>
      <c r="C20" s="477"/>
      <c r="D20" s="472"/>
      <c r="E20" s="472" t="s">
        <v>14</v>
      </c>
      <c r="F20" s="472"/>
      <c r="G20" s="595">
        <f>Financials!K148</f>
        <v>200</v>
      </c>
      <c r="H20" s="596"/>
      <c r="I20" s="480"/>
      <c r="J20" s="473"/>
      <c r="K20" s="494"/>
    </row>
    <row r="21" spans="1:11">
      <c r="A21" s="493"/>
      <c r="B21" s="472"/>
      <c r="C21" s="477"/>
      <c r="D21" s="472"/>
      <c r="E21" s="472" t="s">
        <v>15</v>
      </c>
      <c r="F21" s="472"/>
      <c r="G21" s="595"/>
      <c r="H21" s="595">
        <f>Financials!J321</f>
        <v>300</v>
      </c>
      <c r="I21" s="480"/>
      <c r="J21" s="473"/>
      <c r="K21" s="494"/>
    </row>
    <row r="22" spans="1:11">
      <c r="A22" s="493"/>
      <c r="B22" s="472"/>
      <c r="C22" s="477"/>
      <c r="D22" s="472"/>
      <c r="E22" s="472"/>
      <c r="F22" s="472"/>
      <c r="G22" s="595"/>
      <c r="H22" s="595"/>
      <c r="I22" s="480"/>
      <c r="J22" s="473"/>
      <c r="K22" s="494"/>
    </row>
    <row r="23" spans="1:11">
      <c r="A23" s="499">
        <v>4</v>
      </c>
      <c r="B23" s="476" t="s">
        <v>16</v>
      </c>
      <c r="C23" s="500"/>
      <c r="D23" s="476"/>
      <c r="E23" s="476"/>
      <c r="F23" s="476"/>
      <c r="G23" s="596"/>
      <c r="H23" s="595"/>
      <c r="I23" s="480"/>
      <c r="J23" s="473"/>
      <c r="K23" s="494"/>
    </row>
    <row r="24" spans="1:11">
      <c r="A24" s="493"/>
      <c r="B24" s="472"/>
      <c r="C24" s="496"/>
      <c r="D24" s="472"/>
      <c r="E24" s="472" t="s">
        <v>17</v>
      </c>
      <c r="F24" s="472"/>
      <c r="G24" s="595">
        <f>Financials!J45</f>
        <v>0.9770833333333333</v>
      </c>
      <c r="H24" s="578"/>
      <c r="I24" s="480"/>
      <c r="J24" s="470"/>
      <c r="K24" s="498"/>
    </row>
    <row r="25" spans="1:11">
      <c r="A25" s="493"/>
      <c r="B25" s="472"/>
      <c r="C25" s="472"/>
      <c r="D25" s="472"/>
      <c r="E25" s="472" t="s">
        <v>18</v>
      </c>
      <c r="F25" s="472"/>
      <c r="G25" s="576"/>
      <c r="H25" s="595">
        <f>G24</f>
        <v>0.9770833333333333</v>
      </c>
      <c r="I25" s="513"/>
      <c r="J25" s="473"/>
      <c r="K25" s="494"/>
    </row>
    <row r="26" spans="1:11" ht="15.95" thickBot="1">
      <c r="A26" s="504"/>
      <c r="B26" s="505"/>
      <c r="C26" s="505"/>
      <c r="D26" s="505"/>
      <c r="E26" s="505"/>
      <c r="F26" s="505"/>
      <c r="G26" s="512"/>
      <c r="H26" s="511"/>
      <c r="I26" s="510"/>
      <c r="J26" s="507"/>
      <c r="K26" s="50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2:N79"/>
  <sheetViews>
    <sheetView topLeftCell="B28" zoomScale="183" zoomScaleNormal="236" zoomScalePageLayoutView="200" workbookViewId="0">
      <selection activeCell="J61" sqref="J61"/>
    </sheetView>
  </sheetViews>
  <sheetFormatPr defaultColWidth="8.85546875" defaultRowHeight="14.1"/>
  <cols>
    <col min="1" max="2" width="3.85546875" style="467" customWidth="1"/>
    <col min="3" max="3" width="11" style="467" customWidth="1"/>
    <col min="4" max="7" width="8.85546875" style="467"/>
    <col min="8" max="8" width="14" style="467" customWidth="1"/>
    <col min="9" max="11" width="8.85546875" style="467"/>
    <col min="12" max="12" width="29" style="467" customWidth="1"/>
    <col min="13" max="13" width="33" style="467" customWidth="1"/>
    <col min="14" max="16384" width="8.85546875" style="467"/>
  </cols>
  <sheetData>
    <row r="2" spans="3:13" ht="15" thickBot="1"/>
    <row r="3" spans="3:13">
      <c r="C3" s="514" t="s">
        <v>19</v>
      </c>
      <c r="D3" s="491"/>
      <c r="E3" s="491"/>
      <c r="F3" s="491"/>
      <c r="G3" s="491"/>
      <c r="H3" s="491"/>
      <c r="I3" s="491"/>
      <c r="J3" s="491"/>
      <c r="K3" s="491"/>
      <c r="L3" s="491"/>
      <c r="M3" s="492"/>
    </row>
    <row r="4" spans="3:13">
      <c r="C4" s="614"/>
      <c r="D4" s="615"/>
      <c r="E4" s="615"/>
      <c r="F4" s="615"/>
      <c r="G4" s="615"/>
      <c r="H4" s="615"/>
      <c r="I4" s="615"/>
      <c r="J4" s="615"/>
      <c r="K4" s="616"/>
      <c r="L4" s="617"/>
      <c r="M4" s="618"/>
    </row>
    <row r="5" spans="3:13">
      <c r="C5" s="493"/>
      <c r="D5" s="484" t="s">
        <v>1</v>
      </c>
      <c r="E5" s="472"/>
      <c r="F5" s="483" t="s">
        <v>2</v>
      </c>
      <c r="G5" s="482"/>
      <c r="H5" s="482"/>
      <c r="I5" s="481" t="s">
        <v>3</v>
      </c>
      <c r="J5" s="481" t="s">
        <v>4</v>
      </c>
      <c r="K5" s="472"/>
      <c r="L5" s="473"/>
      <c r="M5" s="494"/>
    </row>
    <row r="6" spans="3:13">
      <c r="C6" s="493"/>
      <c r="D6" s="484"/>
      <c r="E6" s="472"/>
      <c r="F6" s="483"/>
      <c r="G6" s="482"/>
      <c r="H6" s="482"/>
      <c r="I6" s="481"/>
      <c r="J6" s="481"/>
      <c r="K6" s="472"/>
      <c r="L6" s="473"/>
      <c r="M6" s="494"/>
    </row>
    <row r="7" spans="3:13">
      <c r="C7" s="493">
        <v>1</v>
      </c>
      <c r="D7" s="476" t="s">
        <v>20</v>
      </c>
      <c r="E7" s="477"/>
      <c r="F7" s="477"/>
      <c r="G7" s="495"/>
      <c r="H7" s="495"/>
      <c r="I7" s="495"/>
      <c r="K7" s="472"/>
      <c r="L7" s="473"/>
      <c r="M7" s="494"/>
    </row>
    <row r="8" spans="3:13">
      <c r="C8" s="493"/>
      <c r="D8" s="476"/>
      <c r="E8" s="477"/>
      <c r="F8" s="477"/>
      <c r="G8" s="495"/>
      <c r="H8" s="495"/>
      <c r="I8" s="495"/>
      <c r="K8" s="472"/>
      <c r="L8" s="473"/>
      <c r="M8" s="494"/>
    </row>
    <row r="9" spans="3:13">
      <c r="C9" s="493"/>
      <c r="D9" s="472"/>
      <c r="E9" s="496"/>
      <c r="F9" s="472"/>
      <c r="G9" s="472" t="s">
        <v>6</v>
      </c>
      <c r="H9" s="472"/>
      <c r="I9" s="567">
        <f>'Recap-Fresh Start Schedule'!S30</f>
        <v>275</v>
      </c>
      <c r="J9" s="472"/>
      <c r="K9" s="472"/>
      <c r="L9" s="473"/>
      <c r="M9" s="494"/>
    </row>
    <row r="10" spans="3:13">
      <c r="C10" s="493"/>
      <c r="D10" s="472"/>
      <c r="E10" s="496"/>
      <c r="F10" s="472"/>
      <c r="H10" s="472" t="s">
        <v>21</v>
      </c>
      <c r="J10" s="571">
        <f>I9</f>
        <v>275</v>
      </c>
      <c r="K10" s="472"/>
      <c r="L10" s="473"/>
      <c r="M10" s="494"/>
    </row>
    <row r="11" spans="3:13">
      <c r="C11" s="493"/>
      <c r="D11" s="472"/>
      <c r="E11" s="496"/>
      <c r="F11" s="472"/>
      <c r="G11" s="472"/>
      <c r="H11" s="472"/>
      <c r="I11" s="568"/>
      <c r="K11" s="472"/>
      <c r="L11" s="473"/>
      <c r="M11" s="494"/>
    </row>
    <row r="12" spans="3:13">
      <c r="C12" s="493"/>
      <c r="D12" s="472"/>
      <c r="E12" s="496"/>
      <c r="F12" s="472"/>
      <c r="G12" s="472" t="s">
        <v>22</v>
      </c>
      <c r="H12" s="472"/>
      <c r="I12" s="569">
        <f>'Recap-Fresh Start Schedule'!Y9</f>
        <v>9.6250000000000018</v>
      </c>
      <c r="J12" s="471"/>
      <c r="K12" s="472"/>
      <c r="L12" s="473"/>
      <c r="M12" s="494"/>
    </row>
    <row r="13" spans="3:13">
      <c r="C13" s="493"/>
      <c r="D13" s="472"/>
      <c r="E13" s="496"/>
      <c r="F13" s="472"/>
      <c r="H13" s="472" t="s">
        <v>6</v>
      </c>
      <c r="J13" s="571">
        <f>I12</f>
        <v>9.6250000000000018</v>
      </c>
      <c r="K13" s="472"/>
      <c r="L13" s="473"/>
      <c r="M13" s="494"/>
    </row>
    <row r="14" spans="3:13">
      <c r="C14" s="493"/>
      <c r="D14" s="472"/>
      <c r="E14" s="496"/>
      <c r="F14" s="472"/>
      <c r="G14" s="472"/>
      <c r="H14" s="472"/>
      <c r="I14" s="471"/>
      <c r="J14" s="471"/>
      <c r="K14" s="472"/>
      <c r="L14" s="473"/>
      <c r="M14" s="494"/>
    </row>
    <row r="15" spans="3:13">
      <c r="C15" s="493">
        <v>2</v>
      </c>
      <c r="D15" s="476" t="s">
        <v>23</v>
      </c>
      <c r="E15" s="476"/>
      <c r="F15" s="476"/>
      <c r="G15" s="497"/>
      <c r="K15" s="472"/>
      <c r="L15" s="473"/>
      <c r="M15" s="494"/>
    </row>
    <row r="16" spans="3:13">
      <c r="C16" s="493"/>
      <c r="D16" s="476"/>
      <c r="E16" s="476"/>
      <c r="F16" s="476"/>
      <c r="G16" s="497"/>
      <c r="K16" s="472"/>
      <c r="L16" s="473"/>
      <c r="M16" s="494"/>
    </row>
    <row r="17" spans="3:13">
      <c r="C17" s="493"/>
      <c r="D17" s="472"/>
      <c r="E17" s="496"/>
      <c r="F17" s="472"/>
      <c r="G17" s="472" t="s">
        <v>6</v>
      </c>
      <c r="H17" s="472"/>
      <c r="I17" s="567">
        <f>'Recap-Fresh Start Schedule'!S31</f>
        <v>50</v>
      </c>
      <c r="J17" s="472"/>
      <c r="K17" s="472"/>
      <c r="L17" s="473"/>
      <c r="M17" s="494"/>
    </row>
    <row r="18" spans="3:13">
      <c r="C18" s="493"/>
      <c r="D18" s="472"/>
      <c r="E18" s="496"/>
      <c r="F18" s="472"/>
      <c r="G18" s="472"/>
      <c r="H18" s="472" t="s">
        <v>24</v>
      </c>
      <c r="I18" s="471"/>
      <c r="J18" s="579">
        <f>I17-J19</f>
        <v>48.5</v>
      </c>
      <c r="K18" s="472"/>
      <c r="L18" s="473"/>
      <c r="M18" s="494"/>
    </row>
    <row r="19" spans="3:13">
      <c r="C19" s="493"/>
      <c r="D19" s="472"/>
      <c r="E19" s="496"/>
      <c r="F19" s="472"/>
      <c r="G19" s="472"/>
      <c r="H19" s="472" t="s">
        <v>25</v>
      </c>
      <c r="I19" s="471"/>
      <c r="J19" s="575">
        <f>'Recap-Fresh Start Schedule'!Y10</f>
        <v>1.5</v>
      </c>
      <c r="K19" s="472"/>
      <c r="L19" s="473"/>
      <c r="M19" s="494"/>
    </row>
    <row r="20" spans="3:13">
      <c r="C20" s="493"/>
      <c r="D20" s="472"/>
      <c r="E20" s="496"/>
      <c r="F20" s="472"/>
      <c r="G20" s="472"/>
      <c r="H20" s="472"/>
      <c r="I20" s="568"/>
      <c r="J20" s="568"/>
      <c r="K20" s="472"/>
      <c r="L20" s="470"/>
      <c r="M20" s="498"/>
    </row>
    <row r="21" spans="3:13">
      <c r="C21" s="493"/>
      <c r="D21" s="472"/>
      <c r="E21" s="496"/>
      <c r="F21" s="472"/>
      <c r="G21" s="472" t="s">
        <v>25</v>
      </c>
      <c r="H21" s="472"/>
      <c r="I21" s="568">
        <f>J19</f>
        <v>1.5</v>
      </c>
      <c r="J21" s="568"/>
      <c r="K21" s="472"/>
      <c r="L21" s="470"/>
      <c r="M21" s="498"/>
    </row>
    <row r="22" spans="3:13">
      <c r="C22" s="493"/>
      <c r="D22" s="472"/>
      <c r="E22" s="496"/>
      <c r="F22" s="472"/>
      <c r="G22" s="472"/>
      <c r="H22" s="472" t="s">
        <v>6</v>
      </c>
      <c r="I22" s="568"/>
      <c r="J22" s="568">
        <f>I21</f>
        <v>1.5</v>
      </c>
      <c r="K22" s="472"/>
      <c r="L22" s="470"/>
      <c r="M22" s="498"/>
    </row>
    <row r="23" spans="3:13">
      <c r="C23" s="493"/>
      <c r="D23" s="472"/>
      <c r="E23" s="496"/>
      <c r="F23" s="472"/>
      <c r="G23" s="472"/>
      <c r="H23" s="472"/>
      <c r="I23" s="568"/>
      <c r="J23" s="568"/>
      <c r="K23" s="472"/>
      <c r="L23" s="470"/>
      <c r="M23" s="498"/>
    </row>
    <row r="24" spans="3:13">
      <c r="C24" s="493">
        <v>3</v>
      </c>
      <c r="D24" s="476" t="s">
        <v>26</v>
      </c>
      <c r="E24" s="479"/>
      <c r="F24" s="479"/>
      <c r="G24" s="479"/>
      <c r="H24" s="479"/>
      <c r="I24" s="573"/>
      <c r="J24" s="574"/>
      <c r="K24" s="472"/>
      <c r="L24" s="473"/>
      <c r="M24" s="494"/>
    </row>
    <row r="25" spans="3:13">
      <c r="C25" s="493"/>
      <c r="D25" s="476"/>
      <c r="E25" s="479"/>
      <c r="F25" s="479"/>
      <c r="G25" s="479"/>
      <c r="H25" s="479"/>
      <c r="I25" s="573"/>
      <c r="J25" s="574"/>
      <c r="K25" s="472"/>
      <c r="L25" s="473"/>
      <c r="M25" s="494"/>
    </row>
    <row r="26" spans="3:13">
      <c r="C26" s="493"/>
      <c r="D26" s="476"/>
      <c r="E26" s="479"/>
      <c r="F26" s="479"/>
      <c r="G26" s="472" t="s">
        <v>27</v>
      </c>
      <c r="H26" s="479"/>
      <c r="I26" s="567">
        <f>Financials!M131</f>
        <v>225</v>
      </c>
      <c r="J26" s="574"/>
      <c r="K26" s="472"/>
      <c r="L26" s="473"/>
      <c r="M26" s="494"/>
    </row>
    <row r="27" spans="3:13">
      <c r="C27" s="493"/>
      <c r="D27" s="476"/>
      <c r="E27" s="479"/>
      <c r="F27" s="479"/>
      <c r="G27" s="472" t="s">
        <v>28</v>
      </c>
      <c r="H27" s="479"/>
      <c r="I27" s="575">
        <f>'Recap-Fresh Start Schedule'!Y31</f>
        <v>100</v>
      </c>
      <c r="J27" s="568"/>
      <c r="K27" s="472"/>
      <c r="L27" s="473"/>
      <c r="M27" s="494"/>
    </row>
    <row r="28" spans="3:13">
      <c r="C28" s="493"/>
      <c r="D28" s="472"/>
      <c r="E28" s="472"/>
      <c r="F28" s="472"/>
      <c r="G28" s="472"/>
      <c r="H28" s="472" t="s">
        <v>6</v>
      </c>
      <c r="I28" s="576"/>
      <c r="J28" s="568">
        <f>SUM(I26:I27)</f>
        <v>325</v>
      </c>
      <c r="K28" s="472"/>
      <c r="L28" s="473"/>
      <c r="M28" s="494"/>
    </row>
    <row r="29" spans="3:13">
      <c r="C29" s="493"/>
      <c r="D29" s="472"/>
      <c r="E29" s="477"/>
      <c r="F29" s="472"/>
      <c r="G29" s="472"/>
      <c r="H29" s="472"/>
      <c r="I29" s="576"/>
      <c r="J29" s="576"/>
      <c r="K29" s="472"/>
      <c r="L29" s="473"/>
      <c r="M29" s="494"/>
    </row>
    <row r="30" spans="3:13">
      <c r="C30" s="493"/>
      <c r="D30" s="472"/>
      <c r="E30" s="472"/>
      <c r="F30" s="472"/>
      <c r="G30" s="472" t="s">
        <v>11</v>
      </c>
      <c r="H30" s="472"/>
      <c r="I30" s="572">
        <f>J31</f>
        <v>6.2565909090909066</v>
      </c>
      <c r="J30" s="577"/>
      <c r="K30" s="472"/>
      <c r="L30" s="473"/>
      <c r="M30" s="494"/>
    </row>
    <row r="31" spans="3:13">
      <c r="C31" s="493"/>
      <c r="D31" s="472"/>
      <c r="F31" s="472"/>
      <c r="G31" s="472"/>
      <c r="H31" s="472" t="s">
        <v>8</v>
      </c>
      <c r="I31" s="568"/>
      <c r="J31" s="569">
        <f>-'Recap-Fresh Start Schedule'!Y18</f>
        <v>6.2565909090909066</v>
      </c>
      <c r="K31" s="472"/>
      <c r="L31" s="473"/>
      <c r="M31" s="494"/>
    </row>
    <row r="32" spans="3:13">
      <c r="C32" s="493"/>
      <c r="D32" s="472"/>
      <c r="F32" s="472"/>
      <c r="G32" s="472"/>
      <c r="H32" s="472"/>
      <c r="I32" s="568"/>
      <c r="J32" s="577"/>
      <c r="K32" s="472"/>
      <c r="L32" s="473"/>
      <c r="M32" s="494"/>
    </row>
    <row r="33" spans="3:14">
      <c r="C33" s="499">
        <v>4</v>
      </c>
      <c r="D33" s="476" t="s">
        <v>29</v>
      </c>
      <c r="E33" s="500"/>
      <c r="F33" s="476"/>
      <c r="G33" s="476"/>
      <c r="H33" s="476"/>
      <c r="I33" s="568"/>
      <c r="J33" s="577"/>
      <c r="K33" s="472"/>
      <c r="L33" s="473"/>
      <c r="M33" s="494"/>
    </row>
    <row r="34" spans="3:14">
      <c r="C34" s="499"/>
      <c r="D34" s="476"/>
      <c r="E34" s="500"/>
      <c r="F34" s="476"/>
      <c r="G34" s="476"/>
      <c r="H34" s="476"/>
      <c r="I34" s="568"/>
      <c r="J34" s="577"/>
      <c r="K34" s="472"/>
      <c r="L34" s="473"/>
      <c r="M34" s="494"/>
    </row>
    <row r="35" spans="3:14">
      <c r="C35" s="493"/>
      <c r="D35" s="472"/>
      <c r="E35" s="496"/>
      <c r="F35" s="472"/>
      <c r="G35" s="472" t="s">
        <v>30</v>
      </c>
      <c r="H35" s="472"/>
      <c r="I35" s="579">
        <f>SUM('Recap-Fresh Start Schedule'!Y8,'Recap-Fresh Start Schedule'!Y11)</f>
        <v>12</v>
      </c>
      <c r="J35" s="577"/>
      <c r="K35" s="472"/>
      <c r="L35" s="470"/>
      <c r="M35" s="498"/>
    </row>
    <row r="36" spans="3:14">
      <c r="C36" s="493"/>
      <c r="D36" s="472"/>
      <c r="E36" s="496"/>
      <c r="F36" s="472"/>
      <c r="G36" s="472"/>
      <c r="H36" s="472" t="s">
        <v>6</v>
      </c>
      <c r="I36" s="568"/>
      <c r="J36" s="577">
        <f>I35</f>
        <v>12</v>
      </c>
      <c r="K36" s="472"/>
      <c r="L36" s="582"/>
      <c r="M36" s="498"/>
    </row>
    <row r="37" spans="3:14">
      <c r="C37" s="493"/>
      <c r="D37" s="472"/>
      <c r="E37" s="472"/>
      <c r="F37" s="472"/>
      <c r="G37" s="472"/>
      <c r="H37" s="472"/>
      <c r="I37" s="576"/>
      <c r="J37" s="578"/>
      <c r="K37" s="478"/>
      <c r="L37" s="473"/>
      <c r="M37" s="494"/>
    </row>
    <row r="38" spans="3:14">
      <c r="C38" s="499">
        <v>5</v>
      </c>
      <c r="D38" s="476" t="s">
        <v>31</v>
      </c>
      <c r="E38" s="476"/>
      <c r="F38" s="476"/>
      <c r="G38" s="476"/>
      <c r="H38" s="472"/>
      <c r="I38" s="576"/>
      <c r="J38" s="576"/>
      <c r="K38" s="472"/>
      <c r="L38" s="473"/>
      <c r="M38" s="494"/>
    </row>
    <row r="39" spans="3:14">
      <c r="C39" s="499"/>
      <c r="D39" s="476"/>
      <c r="E39" s="476"/>
      <c r="F39" s="476"/>
      <c r="G39" s="476"/>
      <c r="H39" s="472"/>
      <c r="I39" s="576"/>
      <c r="J39" s="576"/>
      <c r="K39" s="472"/>
      <c r="L39" s="473"/>
      <c r="M39" s="494"/>
    </row>
    <row r="40" spans="3:14">
      <c r="C40" s="493"/>
      <c r="D40" s="472"/>
      <c r="F40" s="472"/>
      <c r="G40" s="472" t="s">
        <v>32</v>
      </c>
      <c r="H40" s="472"/>
      <c r="I40" s="569">
        <f>'Bankruptcy Filing JE'!H21-I27</f>
        <v>200</v>
      </c>
      <c r="J40" s="576"/>
      <c r="K40" s="472"/>
      <c r="L40" s="473"/>
      <c r="M40" s="494"/>
    </row>
    <row r="41" spans="3:14">
      <c r="C41" s="493"/>
      <c r="D41" s="472"/>
      <c r="E41" s="496"/>
      <c r="F41" s="472"/>
      <c r="G41" s="472"/>
      <c r="H41" s="472" t="s">
        <v>33</v>
      </c>
      <c r="I41" s="568"/>
      <c r="J41" s="569">
        <f ca="1">'Recap-Fresh Start Schedule'!S11</f>
        <v>150.02082452097306</v>
      </c>
      <c r="K41" s="472"/>
      <c r="L41" s="473"/>
      <c r="M41" s="494"/>
    </row>
    <row r="42" spans="3:14">
      <c r="C42" s="493"/>
      <c r="D42" s="472"/>
      <c r="E42" s="496"/>
      <c r="F42" s="472"/>
      <c r="G42" s="472"/>
      <c r="H42" s="472" t="s">
        <v>34</v>
      </c>
      <c r="I42" s="568"/>
      <c r="J42" s="568">
        <f ca="1">I40-J41</f>
        <v>49.979175479026935</v>
      </c>
      <c r="K42" s="472"/>
      <c r="L42" s="473"/>
      <c r="M42" s="494"/>
      <c r="N42" s="475"/>
    </row>
    <row r="43" spans="3:14">
      <c r="C43" s="493"/>
      <c r="D43" s="472"/>
      <c r="E43" s="496"/>
      <c r="F43" s="472"/>
      <c r="K43" s="472"/>
      <c r="L43" s="473"/>
      <c r="M43" s="494"/>
    </row>
    <row r="44" spans="3:14">
      <c r="C44" s="493">
        <v>6</v>
      </c>
      <c r="D44" s="476" t="s">
        <v>35</v>
      </c>
      <c r="E44" s="496"/>
      <c r="F44" s="472"/>
      <c r="G44" s="472"/>
      <c r="H44" s="472"/>
      <c r="I44" s="471"/>
      <c r="J44" s="471"/>
      <c r="K44" s="472"/>
      <c r="M44" s="501"/>
      <c r="N44" s="474"/>
    </row>
    <row r="45" spans="3:14">
      <c r="C45" s="493"/>
      <c r="D45" s="476"/>
      <c r="E45" s="496"/>
      <c r="F45" s="472"/>
      <c r="G45" s="472"/>
      <c r="H45" s="472"/>
      <c r="I45" s="471"/>
      <c r="J45" s="471"/>
      <c r="K45" s="472"/>
      <c r="M45" s="501"/>
      <c r="N45" s="474"/>
    </row>
    <row r="46" spans="3:14">
      <c r="C46" s="493"/>
      <c r="D46" s="472"/>
      <c r="E46" s="496"/>
      <c r="F46" s="472"/>
      <c r="G46" s="472" t="s">
        <v>36</v>
      </c>
      <c r="H46" s="472"/>
      <c r="I46" s="569">
        <f>'Recap-Fresh Start Schedule'!G37</f>
        <v>165</v>
      </c>
      <c r="J46" s="568"/>
      <c r="K46" s="472"/>
      <c r="M46" s="501"/>
      <c r="N46" s="474"/>
    </row>
    <row r="47" spans="3:14">
      <c r="C47" s="493"/>
      <c r="D47" s="472"/>
      <c r="E47" s="496"/>
      <c r="F47" s="472"/>
      <c r="G47" s="472"/>
      <c r="H47" s="472" t="s">
        <v>37</v>
      </c>
      <c r="I47" s="568"/>
      <c r="J47" s="568">
        <f>I46</f>
        <v>165</v>
      </c>
      <c r="K47" s="472"/>
      <c r="L47" s="470"/>
      <c r="M47" s="498"/>
    </row>
    <row r="48" spans="3:14">
      <c r="C48" s="493"/>
      <c r="D48" s="476"/>
      <c r="E48" s="496"/>
      <c r="F48" s="472"/>
      <c r="G48" s="472"/>
      <c r="H48" s="472"/>
      <c r="I48" s="471"/>
      <c r="J48" s="471"/>
      <c r="K48" s="472"/>
      <c r="L48" s="470"/>
      <c r="M48" s="498"/>
    </row>
    <row r="49" spans="3:13">
      <c r="C49" s="493">
        <v>7</v>
      </c>
      <c r="D49" s="476" t="s">
        <v>38</v>
      </c>
      <c r="E49" s="500"/>
      <c r="F49" s="476"/>
      <c r="G49" s="476"/>
      <c r="H49" s="500"/>
      <c r="I49" s="476"/>
      <c r="J49" s="476"/>
      <c r="K49" s="476"/>
      <c r="L49" s="489"/>
      <c r="M49" s="503"/>
    </row>
    <row r="50" spans="3:13">
      <c r="C50" s="493"/>
      <c r="D50" s="476"/>
      <c r="E50" s="500"/>
      <c r="F50" s="476"/>
      <c r="G50" s="476"/>
      <c r="H50" s="500"/>
      <c r="I50" s="476"/>
      <c r="J50" s="476"/>
      <c r="K50" s="476"/>
      <c r="L50" s="489"/>
      <c r="M50" s="503"/>
    </row>
    <row r="51" spans="3:13">
      <c r="C51" s="493"/>
      <c r="D51" s="476" t="s">
        <v>39</v>
      </c>
      <c r="E51" s="500"/>
      <c r="F51" s="476"/>
      <c r="G51" s="476"/>
      <c r="H51" s="500"/>
      <c r="I51" s="476"/>
      <c r="J51" s="476"/>
      <c r="K51" s="476"/>
      <c r="L51" s="490"/>
      <c r="M51" s="503"/>
    </row>
    <row r="52" spans="3:13">
      <c r="C52" s="493"/>
      <c r="D52" s="476"/>
      <c r="E52" s="500"/>
      <c r="F52" s="476"/>
      <c r="G52" s="472" t="s">
        <v>40</v>
      </c>
      <c r="H52" s="500"/>
      <c r="I52" s="569">
        <f ca="1">-'Tax Worksheet'!B19</f>
        <v>10.62706583092857</v>
      </c>
      <c r="J52" s="569"/>
      <c r="K52" s="476"/>
      <c r="L52" s="490"/>
      <c r="M52" s="503"/>
    </row>
    <row r="53" spans="3:13">
      <c r="C53" s="493"/>
      <c r="D53" s="472"/>
      <c r="E53" s="496"/>
      <c r="F53" s="472"/>
      <c r="G53" s="472"/>
      <c r="H53" s="496" t="s">
        <v>17</v>
      </c>
      <c r="I53" s="569"/>
      <c r="J53" s="579">
        <f ca="1">I52</f>
        <v>10.62706583092857</v>
      </c>
      <c r="K53" s="472"/>
      <c r="L53" s="485"/>
      <c r="M53" s="502"/>
    </row>
    <row r="54" spans="3:13">
      <c r="C54" s="493"/>
      <c r="D54" s="476" t="s">
        <v>41</v>
      </c>
      <c r="E54" s="496"/>
      <c r="F54" s="472"/>
      <c r="G54" s="472"/>
      <c r="H54" s="496"/>
      <c r="I54" s="569"/>
      <c r="J54" s="569"/>
      <c r="K54" s="472"/>
      <c r="L54" s="485"/>
      <c r="M54" s="502"/>
    </row>
    <row r="55" spans="3:13">
      <c r="C55" s="493"/>
      <c r="D55" s="472"/>
      <c r="E55" s="496"/>
      <c r="F55" s="472"/>
      <c r="G55" s="472" t="s">
        <v>40</v>
      </c>
      <c r="H55" s="496"/>
      <c r="I55" s="569">
        <f ca="1">'Tax Worksheet'!B20</f>
        <v>0</v>
      </c>
      <c r="J55" s="569"/>
      <c r="K55" s="472"/>
      <c r="L55" s="485"/>
      <c r="M55" s="502"/>
    </row>
    <row r="56" spans="3:13">
      <c r="C56" s="493"/>
      <c r="D56" s="472"/>
      <c r="E56" s="496"/>
      <c r="F56" s="472"/>
      <c r="G56" s="472"/>
      <c r="H56" s="496" t="s">
        <v>42</v>
      </c>
      <c r="I56" s="569"/>
      <c r="J56" s="579">
        <f ca="1">I55</f>
        <v>0</v>
      </c>
      <c r="K56" s="472"/>
      <c r="L56" s="471"/>
      <c r="M56" s="502"/>
    </row>
    <row r="57" spans="3:13">
      <c r="C57" s="493"/>
      <c r="D57" s="472"/>
      <c r="E57" s="496"/>
      <c r="F57" s="472"/>
      <c r="G57" s="472"/>
      <c r="H57" s="496"/>
      <c r="I57" s="472"/>
      <c r="J57" s="472"/>
      <c r="K57" s="472"/>
      <c r="L57" s="471"/>
      <c r="M57" s="502"/>
    </row>
    <row r="58" spans="3:13">
      <c r="C58" s="493">
        <v>8</v>
      </c>
      <c r="D58" s="476" t="s">
        <v>43</v>
      </c>
      <c r="E58" s="496"/>
      <c r="F58" s="472"/>
      <c r="G58" s="472"/>
      <c r="H58" s="472"/>
      <c r="I58" s="471"/>
      <c r="J58" s="471"/>
      <c r="K58" s="472"/>
      <c r="L58" s="470"/>
      <c r="M58" s="498"/>
    </row>
    <row r="59" spans="3:13">
      <c r="C59" s="493"/>
      <c r="D59" s="472"/>
      <c r="E59" s="496"/>
      <c r="F59" s="472"/>
      <c r="G59" s="472"/>
      <c r="H59" s="472"/>
      <c r="I59" s="471"/>
      <c r="J59" s="471"/>
      <c r="K59" s="472"/>
      <c r="L59" s="470"/>
      <c r="M59" s="498"/>
    </row>
    <row r="60" spans="3:13">
      <c r="C60" s="493"/>
      <c r="D60" s="472"/>
      <c r="E60" s="496"/>
      <c r="F60" s="472"/>
      <c r="G60" s="472" t="s">
        <v>44</v>
      </c>
      <c r="H60" s="472"/>
      <c r="I60" s="569">
        <f ca="1">-'Recap-Fresh Start Schedule'!K17</f>
        <v>190.98044032237692</v>
      </c>
      <c r="J60" s="568"/>
      <c r="K60" s="472"/>
      <c r="L60" s="470"/>
      <c r="M60" s="498"/>
    </row>
    <row r="61" spans="3:13" ht="15" thickBot="1">
      <c r="C61" s="504"/>
      <c r="D61" s="505"/>
      <c r="E61" s="505"/>
      <c r="F61" s="505"/>
      <c r="G61" s="505"/>
      <c r="H61" s="505" t="s">
        <v>45</v>
      </c>
      <c r="I61" s="600"/>
      <c r="J61" s="601">
        <f ca="1">I60</f>
        <v>190.98044032237692</v>
      </c>
      <c r="K61" s="506"/>
      <c r="L61" s="507"/>
      <c r="M61" s="508"/>
    </row>
    <row r="63" spans="3:13">
      <c r="I63" s="469"/>
    </row>
    <row r="64" spans="3:13">
      <c r="I64" s="468"/>
    </row>
    <row r="65" spans="9:9">
      <c r="I65" s="468"/>
    </row>
    <row r="66" spans="9:9">
      <c r="I66" s="468"/>
    </row>
    <row r="67" spans="9:9">
      <c r="I67" s="468"/>
    </row>
    <row r="69" spans="9:9">
      <c r="I69" s="468"/>
    </row>
    <row r="70" spans="9:9">
      <c r="I70" s="468"/>
    </row>
    <row r="71" spans="9:9">
      <c r="I71" s="468"/>
    </row>
    <row r="72" spans="9:9">
      <c r="I72" s="469"/>
    </row>
    <row r="75" spans="9:9">
      <c r="I75" s="468"/>
    </row>
    <row r="76" spans="9:9">
      <c r="I76" s="468"/>
    </row>
    <row r="78" spans="9:9">
      <c r="I78" s="468"/>
    </row>
    <row r="79" spans="9:9">
      <c r="I79" s="468"/>
    </row>
  </sheetData>
  <pageMargins left="0.7" right="0.7" top="0.75" bottom="0.75" header="0.3" footer="0.3"/>
  <pageSetup orientation="portrait" horizontalDpi="4294967292" verticalDpi="4294967292" r:id="rId1"/>
  <ignoredErrors>
    <ignoredError sqref="I10:J11 I13:J15 J12 I18 J17" unlockedFormula="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V378"/>
  <sheetViews>
    <sheetView showGridLines="0" zoomScale="150" zoomScaleNormal="100" zoomScaleSheetLayoutView="85" workbookViewId="0">
      <selection activeCell="N93" sqref="N93"/>
    </sheetView>
  </sheetViews>
  <sheetFormatPr defaultColWidth="9.140625" defaultRowHeight="14.1"/>
  <cols>
    <col min="1" max="1" width="35.85546875" style="1" customWidth="1"/>
    <col min="2" max="2" width="5.42578125" style="1" customWidth="1"/>
    <col min="3" max="3" width="5.5703125" style="1" customWidth="1"/>
    <col min="4" max="4" width="1.85546875" style="1" customWidth="1"/>
    <col min="5" max="10" width="9.140625" style="1" customWidth="1"/>
    <col min="11" max="11" width="10" style="1" bestFit="1" customWidth="1"/>
    <col min="12" max="13" width="9.140625" style="1" customWidth="1"/>
    <col min="14" max="14" width="10.85546875" style="1" customWidth="1"/>
    <col min="15" max="15" width="10.42578125" style="1" bestFit="1" customWidth="1"/>
    <col min="16" max="16" width="9.140625" style="1" customWidth="1"/>
    <col min="17" max="17" width="9.140625" style="1"/>
    <col min="18" max="18" width="11.5703125" style="1" customWidth="1"/>
    <col min="19" max="19" width="11.42578125" style="1" customWidth="1"/>
    <col min="20" max="16384" width="9.140625" style="1"/>
  </cols>
  <sheetData>
    <row r="1" spans="1:19" ht="15.95">
      <c r="A1" s="116" t="str">
        <f>UPPER("Fermat Technologies")</f>
        <v>FERMAT TECHNOLOGIES</v>
      </c>
      <c r="P1" s="395"/>
    </row>
    <row r="2" spans="1:19" ht="15.75" customHeight="1">
      <c r="A2" s="116" t="s">
        <v>46</v>
      </c>
      <c r="B2" s="116"/>
      <c r="C2" s="7"/>
      <c r="D2" s="7"/>
      <c r="E2" s="7"/>
      <c r="F2" s="7"/>
      <c r="G2" s="7"/>
      <c r="H2" s="7"/>
      <c r="I2" s="7"/>
      <c r="J2" s="7"/>
      <c r="K2" s="7"/>
      <c r="L2" s="7"/>
      <c r="M2" s="7"/>
      <c r="N2" s="7"/>
      <c r="O2" s="7"/>
      <c r="P2" s="395"/>
    </row>
    <row r="3" spans="1:19" ht="12.75" customHeight="1">
      <c r="A3" s="118" t="s">
        <v>47</v>
      </c>
      <c r="B3" s="174"/>
      <c r="C3" s="12"/>
      <c r="D3" s="12"/>
      <c r="E3" s="12"/>
      <c r="F3" s="12"/>
      <c r="G3" s="12"/>
      <c r="H3" s="12"/>
      <c r="I3" s="12"/>
      <c r="J3" s="12"/>
      <c r="K3" s="12"/>
      <c r="L3" s="12"/>
      <c r="M3" s="12"/>
      <c r="N3" s="12"/>
      <c r="O3" s="12"/>
      <c r="P3" s="12"/>
    </row>
    <row r="4" spans="1:19" ht="12.75" customHeight="1"/>
    <row r="5" spans="1:19" ht="4.5" customHeight="1"/>
    <row r="6" spans="1:19" ht="12.75" customHeight="1">
      <c r="A6" s="53" t="s">
        <v>48</v>
      </c>
      <c r="B6" s="53"/>
      <c r="C6" s="53"/>
      <c r="D6" s="53"/>
      <c r="E6" s="53"/>
      <c r="F6" s="53"/>
      <c r="G6" s="53"/>
      <c r="H6" s="53"/>
      <c r="I6" s="53"/>
      <c r="J6" s="53"/>
      <c r="K6" s="53"/>
      <c r="L6" s="53"/>
      <c r="M6" s="53"/>
      <c r="N6" s="53"/>
      <c r="O6" s="53"/>
      <c r="P6" s="53"/>
    </row>
    <row r="7" spans="1:19" ht="12.75" customHeight="1" thickBot="1">
      <c r="A7" s="63"/>
      <c r="B7" s="63"/>
      <c r="C7" s="63"/>
      <c r="D7" s="63"/>
      <c r="E7" s="87"/>
      <c r="F7" s="87"/>
      <c r="G7" s="87"/>
      <c r="H7" s="87"/>
      <c r="I7" s="87"/>
      <c r="J7" s="63"/>
      <c r="K7" s="63"/>
      <c r="L7" s="87"/>
      <c r="M7" s="87"/>
      <c r="N7" s="63"/>
      <c r="O7" s="63"/>
      <c r="P7" s="87"/>
    </row>
    <row r="8" spans="1:19" ht="12.75" customHeight="1">
      <c r="A8" s="94"/>
      <c r="B8" s="63"/>
      <c r="C8" s="63"/>
      <c r="D8" s="290">
        <v>39082</v>
      </c>
      <c r="E8" s="604">
        <v>43465</v>
      </c>
      <c r="F8" s="604">
        <v>43830</v>
      </c>
      <c r="G8" s="605">
        <v>44196</v>
      </c>
      <c r="H8" s="606">
        <v>44286</v>
      </c>
      <c r="I8" s="607">
        <v>44377</v>
      </c>
      <c r="J8" s="608" t="s">
        <v>49</v>
      </c>
      <c r="K8" s="609">
        <f>I8</f>
        <v>44377</v>
      </c>
      <c r="L8" s="607">
        <v>44469</v>
      </c>
      <c r="M8" s="607">
        <v>44561</v>
      </c>
      <c r="N8" s="610" t="s">
        <v>50</v>
      </c>
      <c r="O8" s="609">
        <f>M8</f>
        <v>44561</v>
      </c>
      <c r="P8" s="611">
        <v>44561</v>
      </c>
    </row>
    <row r="9" spans="1:19" ht="12.75" customHeight="1">
      <c r="A9" s="63"/>
      <c r="B9" s="63"/>
      <c r="C9" s="63"/>
      <c r="D9" s="63"/>
      <c r="E9" s="192"/>
      <c r="F9" s="313"/>
      <c r="G9" s="389"/>
      <c r="H9" s="62"/>
      <c r="I9" s="63"/>
      <c r="J9" s="421"/>
      <c r="K9" s="63"/>
      <c r="L9" s="63"/>
      <c r="M9" s="63"/>
      <c r="N9" s="421"/>
      <c r="O9" s="63"/>
      <c r="P9" s="257"/>
    </row>
    <row r="10" spans="1:19" ht="12.75" customHeight="1">
      <c r="A10" s="2" t="s">
        <v>51</v>
      </c>
      <c r="B10" s="2"/>
      <c r="C10" s="2"/>
      <c r="D10" s="2"/>
      <c r="E10" s="391">
        <v>356.29399999999998</v>
      </c>
      <c r="F10" s="391">
        <v>338.82600000000002</v>
      </c>
      <c r="G10" s="392">
        <v>269.86399999999998</v>
      </c>
      <c r="H10" s="393">
        <v>69.489519000000001</v>
      </c>
      <c r="I10" s="269">
        <v>30</v>
      </c>
      <c r="J10" s="454"/>
      <c r="K10" s="331">
        <f>SUM(I10:J10)</f>
        <v>30</v>
      </c>
      <c r="L10" s="269">
        <v>69.3</v>
      </c>
      <c r="M10" s="269">
        <v>70.983711999999997</v>
      </c>
      <c r="N10" s="450"/>
      <c r="O10" s="331">
        <f>SUM(M10:N10)</f>
        <v>70.983711999999997</v>
      </c>
      <c r="P10" s="394">
        <f>SUM(H10:J10,L10:N10)</f>
        <v>239.77323099999998</v>
      </c>
    </row>
    <row r="11" spans="1:19" ht="12.75" customHeight="1">
      <c r="E11" s="194"/>
      <c r="F11" s="262"/>
      <c r="G11" s="390"/>
      <c r="H11" s="95"/>
      <c r="J11" s="421"/>
      <c r="K11" s="329"/>
      <c r="L11" s="401"/>
      <c r="M11" s="401"/>
      <c r="N11" s="421"/>
      <c r="O11" s="329"/>
      <c r="P11" s="388"/>
    </row>
    <row r="12" spans="1:19" ht="12.75" customHeight="1">
      <c r="A12" s="1" t="s">
        <v>52</v>
      </c>
      <c r="B12" s="377"/>
      <c r="C12" s="377"/>
      <c r="E12" s="195">
        <v>179.18588199999999</v>
      </c>
      <c r="F12" s="195">
        <v>176.816</v>
      </c>
      <c r="G12" s="195">
        <v>140.61118400000001</v>
      </c>
      <c r="H12" s="178">
        <v>36.608879000000002</v>
      </c>
      <c r="I12" s="6">
        <v>36.327534999999997</v>
      </c>
      <c r="J12" s="431"/>
      <c r="K12" s="329">
        <f t="shared" ref="K12:K16" si="0">SUM(I12:J12)</f>
        <v>36.327534999999997</v>
      </c>
      <c r="L12" s="6">
        <v>37.525058000000001</v>
      </c>
      <c r="M12" s="6">
        <f>37.986379-0.0348022446392493</f>
        <v>37.951576755360747</v>
      </c>
      <c r="N12" s="451"/>
      <c r="O12" s="329">
        <f t="shared" ref="O12:O16" si="1">SUM(M12:N12)</f>
        <v>37.951576755360747</v>
      </c>
      <c r="P12" s="207">
        <f t="shared" ref="P12:P16" si="2">SUM(H12:J12,L12:N12)</f>
        <v>148.41304875536076</v>
      </c>
      <c r="Q12" s="386"/>
      <c r="R12" s="386"/>
      <c r="S12" s="386"/>
    </row>
    <row r="13" spans="1:19" ht="12.75" customHeight="1">
      <c r="A13" s="1" t="s">
        <v>53</v>
      </c>
      <c r="B13" s="377"/>
      <c r="C13" s="377"/>
      <c r="E13" s="195">
        <v>79.647620000000003</v>
      </c>
      <c r="F13" s="195">
        <v>87.293999999999997</v>
      </c>
      <c r="G13" s="195">
        <v>67.163960000000003</v>
      </c>
      <c r="H13" s="178">
        <v>16.806118000000001</v>
      </c>
      <c r="I13" s="6">
        <v>16.133005000000001</v>
      </c>
      <c r="J13" s="431"/>
      <c r="K13" s="329">
        <f t="shared" si="0"/>
        <v>16.133005000000001</v>
      </c>
      <c r="L13" s="6">
        <v>16.858431</v>
      </c>
      <c r="M13" s="6">
        <v>17.234165000000001</v>
      </c>
      <c r="N13" s="487"/>
      <c r="O13" s="329">
        <f t="shared" si="1"/>
        <v>17.234165000000001</v>
      </c>
      <c r="P13" s="207">
        <f t="shared" si="2"/>
        <v>67.03171900000001</v>
      </c>
      <c r="Q13" s="386"/>
      <c r="R13" s="386"/>
      <c r="S13" s="386"/>
    </row>
    <row r="14" spans="1:19" ht="12.75" customHeight="1">
      <c r="A14" s="1" t="s">
        <v>54</v>
      </c>
      <c r="B14" s="377"/>
      <c r="C14" s="377"/>
      <c r="E14" s="195">
        <v>12.120290000000001</v>
      </c>
      <c r="F14" s="195">
        <v>14.08</v>
      </c>
      <c r="G14" s="195">
        <v>11.754287999999999</v>
      </c>
      <c r="H14" s="178">
        <v>2.5100709999999999</v>
      </c>
      <c r="I14" s="6">
        <v>2.004715</v>
      </c>
      <c r="J14" s="431"/>
      <c r="K14" s="329">
        <f t="shared" si="0"/>
        <v>2.004715</v>
      </c>
      <c r="L14" s="6">
        <v>2.290918</v>
      </c>
      <c r="M14" s="6">
        <v>3.1346370000000001</v>
      </c>
      <c r="N14" s="451"/>
      <c r="O14" s="329">
        <f t="shared" si="1"/>
        <v>3.1346370000000001</v>
      </c>
      <c r="P14" s="207">
        <f t="shared" si="2"/>
        <v>9.9403410000000001</v>
      </c>
      <c r="Q14" s="386"/>
      <c r="R14" s="386"/>
      <c r="S14" s="386"/>
    </row>
    <row r="15" spans="1:19" ht="12.75" customHeight="1">
      <c r="A15" s="1" t="s">
        <v>55</v>
      </c>
      <c r="C15" s="305"/>
      <c r="E15" s="195"/>
      <c r="F15" s="195"/>
      <c r="G15" s="202"/>
      <c r="H15" s="178"/>
      <c r="I15" s="6"/>
      <c r="J15" s="451"/>
      <c r="K15" s="329"/>
      <c r="L15" s="6"/>
      <c r="M15" s="6"/>
      <c r="N15" s="451"/>
      <c r="O15" s="329">
        <f t="shared" si="1"/>
        <v>0</v>
      </c>
      <c r="P15" s="207">
        <f t="shared" si="2"/>
        <v>0</v>
      </c>
    </row>
    <row r="16" spans="1:19" ht="12.75" customHeight="1">
      <c r="A16" s="1" t="s">
        <v>56</v>
      </c>
      <c r="C16" s="305"/>
      <c r="E16" s="199">
        <f>E265</f>
        <v>13.249815999999999</v>
      </c>
      <c r="F16" s="199">
        <f>F265</f>
        <v>13.7848001</v>
      </c>
      <c r="G16" s="304">
        <f>G265</f>
        <v>14.256513533333333</v>
      </c>
      <c r="H16" s="289">
        <f>H265</f>
        <v>3.5403046133333329</v>
      </c>
      <c r="I16" s="110">
        <f>I265</f>
        <v>3.5594854599999999</v>
      </c>
      <c r="J16" s="451"/>
      <c r="K16" s="329">
        <f t="shared" si="0"/>
        <v>3.5594854599999999</v>
      </c>
      <c r="L16" s="110">
        <f>L265</f>
        <v>3.6001300649999997</v>
      </c>
      <c r="M16" s="110">
        <f>M265</f>
        <v>3.6407773283333329</v>
      </c>
      <c r="N16" s="451"/>
      <c r="O16" s="329">
        <f t="shared" si="1"/>
        <v>3.6407773283333329</v>
      </c>
      <c r="P16" s="207">
        <f t="shared" si="2"/>
        <v>14.340697466666665</v>
      </c>
    </row>
    <row r="17" spans="1:19" s="2" customFormat="1" ht="12.75" customHeight="1">
      <c r="A17" s="30" t="s">
        <v>57</v>
      </c>
      <c r="B17" s="30"/>
      <c r="E17" s="619">
        <f>SUM(E12:E16)</f>
        <v>284.20360800000003</v>
      </c>
      <c r="F17" s="619">
        <f t="shared" ref="F17:G17" si="3">SUM(F12:F16)</f>
        <v>291.97480009999998</v>
      </c>
      <c r="G17" s="620">
        <f t="shared" si="3"/>
        <v>233.78594553333335</v>
      </c>
      <c r="H17" s="176">
        <f t="shared" ref="H17:N17" si="4">SUM(H12:H16)</f>
        <v>59.465372613333329</v>
      </c>
      <c r="I17" s="621">
        <f t="shared" si="4"/>
        <v>58.02474045999999</v>
      </c>
      <c r="J17" s="419">
        <f t="shared" si="4"/>
        <v>0</v>
      </c>
      <c r="K17" s="622">
        <f t="shared" si="4"/>
        <v>58.02474045999999</v>
      </c>
      <c r="L17" s="621">
        <f t="shared" si="4"/>
        <v>60.274537064999997</v>
      </c>
      <c r="M17" s="621">
        <f t="shared" si="4"/>
        <v>61.961156083694085</v>
      </c>
      <c r="N17" s="419">
        <f t="shared" si="4"/>
        <v>0</v>
      </c>
      <c r="O17" s="622">
        <f t="shared" ref="O17" si="5">SUM(O12:O16)</f>
        <v>61.961156083694085</v>
      </c>
      <c r="P17" s="208">
        <f t="shared" ref="P17" si="6">SUM(P12:P16)</f>
        <v>239.72580622202742</v>
      </c>
      <c r="R17" s="177"/>
    </row>
    <row r="18" spans="1:19" ht="12.75" customHeight="1">
      <c r="E18" s="194"/>
      <c r="F18" s="194"/>
      <c r="G18" s="54"/>
      <c r="H18" s="95"/>
      <c r="J18" s="421"/>
      <c r="K18" s="329"/>
      <c r="N18" s="421"/>
      <c r="O18" s="329"/>
      <c r="P18" s="207"/>
      <c r="R18" s="16"/>
    </row>
    <row r="19" spans="1:19" s="2" customFormat="1" ht="12.75" customHeight="1">
      <c r="A19" s="30" t="s">
        <v>58</v>
      </c>
      <c r="B19" s="30"/>
      <c r="E19" s="193">
        <f t="shared" ref="E19:P19" si="7">E10-E17</f>
        <v>72.090391999999952</v>
      </c>
      <c r="F19" s="193">
        <f t="shared" si="7"/>
        <v>46.85119990000004</v>
      </c>
      <c r="G19" s="268">
        <f t="shared" si="7"/>
        <v>36.078054466666629</v>
      </c>
      <c r="H19" s="101">
        <f t="shared" si="7"/>
        <v>10.024146386666672</v>
      </c>
      <c r="I19" s="2">
        <f t="shared" si="7"/>
        <v>-28.02474045999999</v>
      </c>
      <c r="J19" s="441">
        <f t="shared" si="7"/>
        <v>0</v>
      </c>
      <c r="K19" s="328">
        <f t="shared" si="7"/>
        <v>-28.02474045999999</v>
      </c>
      <c r="L19" s="2">
        <f t="shared" si="7"/>
        <v>9.0254629350000002</v>
      </c>
      <c r="M19" s="2">
        <f t="shared" si="7"/>
        <v>9.0225559163059117</v>
      </c>
      <c r="N19" s="441">
        <f t="shared" si="7"/>
        <v>0</v>
      </c>
      <c r="O19" s="328">
        <f t="shared" si="7"/>
        <v>9.0225559163059117</v>
      </c>
      <c r="P19" s="306">
        <f t="shared" si="7"/>
        <v>4.7424777972565835E-2</v>
      </c>
    </row>
    <row r="20" spans="1:19" ht="12.75" customHeight="1">
      <c r="A20" s="2" t="s">
        <v>59</v>
      </c>
      <c r="C20" s="305"/>
      <c r="E20" s="195">
        <v>0</v>
      </c>
      <c r="F20" s="195">
        <v>0</v>
      </c>
      <c r="G20" s="202">
        <v>0</v>
      </c>
      <c r="H20" s="178">
        <v>1.438947</v>
      </c>
      <c r="I20" s="6">
        <v>2.4895719999999999</v>
      </c>
      <c r="J20" s="451"/>
      <c r="K20" s="329">
        <v>2.4895719999999999</v>
      </c>
      <c r="L20" s="6">
        <v>4</v>
      </c>
      <c r="M20" s="6">
        <v>4</v>
      </c>
      <c r="N20" s="537">
        <f ca="1">'Recap-Fresh Start Schedule'!Y21</f>
        <v>-159.25785575244089</v>
      </c>
      <c r="O20" s="329">
        <f ca="1">SUM(M20:N20)</f>
        <v>-155.25785575244089</v>
      </c>
      <c r="P20" s="207">
        <f ca="1">SUM(H20:J20,L20:N20)</f>
        <v>-147.32933675244089</v>
      </c>
    </row>
    <row r="21" spans="1:19" ht="12.75" customHeight="1">
      <c r="A21" s="1" t="s">
        <v>60</v>
      </c>
      <c r="E21" s="194"/>
      <c r="F21" s="195">
        <v>0</v>
      </c>
      <c r="G21" s="202">
        <v>0</v>
      </c>
      <c r="H21" s="178">
        <v>0</v>
      </c>
      <c r="I21" s="6">
        <v>0</v>
      </c>
      <c r="J21" s="427"/>
      <c r="K21" s="329">
        <f t="shared" ref="K21:K22" si="8">SUM(I21:J21)</f>
        <v>0</v>
      </c>
      <c r="L21" s="6">
        <v>0</v>
      </c>
      <c r="M21" s="6">
        <v>0</v>
      </c>
      <c r="N21" s="443"/>
      <c r="O21" s="329">
        <f t="shared" ref="O21:O22" si="9">SUM(M21:N21)</f>
        <v>0</v>
      </c>
      <c r="P21" s="207">
        <f t="shared" ref="P21:P22" si="10">SUM(H21:J21,L21:N21)</f>
        <v>0</v>
      </c>
      <c r="R21" s="2"/>
      <c r="S21" s="2"/>
    </row>
    <row r="22" spans="1:19" ht="12.75" customHeight="1">
      <c r="A22" s="1" t="s">
        <v>11</v>
      </c>
      <c r="E22" s="198"/>
      <c r="F22" s="198">
        <f>F164</f>
        <v>51.960665946969691</v>
      </c>
      <c r="G22" s="203">
        <f>G164</f>
        <v>46.422386363636363</v>
      </c>
      <c r="H22" s="179">
        <f>H164</f>
        <v>11.199242424242424</v>
      </c>
      <c r="I22" s="57">
        <f>I164</f>
        <v>11.182020202020201</v>
      </c>
      <c r="J22" s="455">
        <f>SUM(J158:J163)</f>
        <v>2.916666666666667</v>
      </c>
      <c r="K22" s="329">
        <f t="shared" si="8"/>
        <v>14.098686868686869</v>
      </c>
      <c r="L22" s="57">
        <f>L164</f>
        <v>6.4768813131313125</v>
      </c>
      <c r="M22" s="57">
        <f>M164</f>
        <v>6.4768813131313125</v>
      </c>
      <c r="N22" s="443"/>
      <c r="O22" s="329">
        <f t="shared" si="9"/>
        <v>6.4768813131313125</v>
      </c>
      <c r="P22" s="207">
        <f t="shared" si="10"/>
        <v>38.25169191919192</v>
      </c>
      <c r="R22" s="2"/>
      <c r="S22" s="2"/>
    </row>
    <row r="23" spans="1:19" s="2" customFormat="1" ht="12.75" customHeight="1">
      <c r="A23" s="30" t="s">
        <v>61</v>
      </c>
      <c r="B23" s="30"/>
      <c r="E23" s="197"/>
      <c r="F23" s="619">
        <f t="shared" ref="F23:P23" si="11">F19-SUM(F20:F22)</f>
        <v>-5.1094660469696507</v>
      </c>
      <c r="G23" s="619">
        <f t="shared" si="11"/>
        <v>-10.344331896969734</v>
      </c>
      <c r="H23" s="619">
        <f t="shared" si="11"/>
        <v>-2.6140430375757528</v>
      </c>
      <c r="I23" s="619">
        <f t="shared" si="11"/>
        <v>-41.69633266202019</v>
      </c>
      <c r="J23" s="619">
        <f t="shared" si="11"/>
        <v>-2.916666666666667</v>
      </c>
      <c r="K23" s="619">
        <f t="shared" si="11"/>
        <v>-44.612999328686854</v>
      </c>
      <c r="L23" s="619">
        <f t="shared" si="11"/>
        <v>-1.4514183781313115</v>
      </c>
      <c r="M23" s="619">
        <f t="shared" si="11"/>
        <v>-1.4543253968254</v>
      </c>
      <c r="N23" s="619">
        <f ca="1">N19+SUM(N20:N22)</f>
        <v>-159.25785575244089</v>
      </c>
      <c r="O23" s="619">
        <f t="shared" ca="1" si="11"/>
        <v>157.80353035561549</v>
      </c>
      <c r="P23" s="619">
        <f t="shared" ca="1" si="11"/>
        <v>109.12506961122153</v>
      </c>
    </row>
    <row r="24" spans="1:19" ht="12.75" customHeight="1">
      <c r="E24" s="194"/>
      <c r="F24" s="194"/>
      <c r="G24" s="54"/>
      <c r="H24" s="175"/>
      <c r="I24" s="56"/>
      <c r="J24" s="451"/>
      <c r="K24" s="329"/>
      <c r="L24" s="56"/>
      <c r="M24" s="56"/>
      <c r="N24" s="451"/>
      <c r="O24" s="329"/>
      <c r="P24" s="209"/>
      <c r="R24" s="2"/>
      <c r="S24" s="2"/>
    </row>
    <row r="25" spans="1:19" ht="12.75" customHeight="1">
      <c r="A25" s="1" t="s">
        <v>62</v>
      </c>
      <c r="E25" s="194"/>
      <c r="F25" s="194">
        <f>F338</f>
        <v>-1.7116711257348327</v>
      </c>
      <c r="G25" s="54">
        <f>G338</f>
        <v>-3.4653511854848609</v>
      </c>
      <c r="H25" s="289">
        <f>H338</f>
        <v>-0.87570441758787709</v>
      </c>
      <c r="I25" s="110">
        <f>I338</f>
        <v>-13.968271441776762</v>
      </c>
      <c r="J25" s="431">
        <f>J338</f>
        <v>-0.9770833333333333</v>
      </c>
      <c r="K25" s="329">
        <f>SUM(I25:J25)</f>
        <v>-14.945354775110095</v>
      </c>
      <c r="L25" s="110">
        <f>L338</f>
        <v>-0.4862251566739893</v>
      </c>
      <c r="M25" s="1">
        <f>M338</f>
        <v>-0.48719900793650894</v>
      </c>
      <c r="N25" s="534">
        <f ca="1">N338</f>
        <v>10.62706583092857</v>
      </c>
      <c r="O25" s="329">
        <f ca="1">SUM(M25:N25)</f>
        <v>10.139866822992062</v>
      </c>
      <c r="P25" s="207">
        <f ca="1">SUM(H25:J25,L25:N25)</f>
        <v>-6.1674175263799018</v>
      </c>
    </row>
    <row r="26" spans="1:19" ht="12.75" customHeight="1" thickBot="1">
      <c r="A26" s="28" t="s">
        <v>63</v>
      </c>
      <c r="B26" s="28"/>
      <c r="E26" s="201"/>
      <c r="F26" s="200">
        <f>F23-F25</f>
        <v>-3.397794921234818</v>
      </c>
      <c r="G26" s="204">
        <f>G23-G25</f>
        <v>-6.8789807114848731</v>
      </c>
      <c r="H26" s="180">
        <f t="shared" ref="H26" si="12">H23-H25</f>
        <v>-1.7383386199878759</v>
      </c>
      <c r="I26" s="58">
        <f t="shared" ref="I26:L26" si="13">I23-I25</f>
        <v>-27.728061220243426</v>
      </c>
      <c r="J26" s="452">
        <f t="shared" ref="J26" si="14">J23-J25</f>
        <v>-1.9395833333333337</v>
      </c>
      <c r="K26" s="330">
        <f t="shared" si="13"/>
        <v>-29.667644553576757</v>
      </c>
      <c r="L26" s="58">
        <f t="shared" si="13"/>
        <v>-0.96519322145732223</v>
      </c>
      <c r="M26" s="58">
        <f>M23-M25</f>
        <v>-0.96712638888889102</v>
      </c>
      <c r="N26" s="452">
        <f ca="1">N23-N25</f>
        <v>-169.88492158336945</v>
      </c>
      <c r="O26" s="330">
        <f t="shared" ref="O26" ca="1" si="15">O23-O25</f>
        <v>147.66366353262345</v>
      </c>
      <c r="P26" s="210">
        <f ca="1">P23-P25</f>
        <v>115.29248713760144</v>
      </c>
      <c r="S26" s="55"/>
    </row>
    <row r="27" spans="1:19" ht="12.75" customHeight="1" thickTop="1">
      <c r="A27" s="28"/>
      <c r="B27" s="28"/>
      <c r="E27" s="201"/>
      <c r="F27" s="201"/>
      <c r="G27" s="205"/>
      <c r="H27" s="212"/>
      <c r="I27" s="15"/>
      <c r="J27" s="439"/>
      <c r="K27" s="331"/>
      <c r="L27" s="15"/>
      <c r="M27" s="15"/>
      <c r="N27" s="439"/>
      <c r="O27" s="331"/>
      <c r="P27" s="211"/>
      <c r="S27" s="55"/>
    </row>
    <row r="28" spans="1:19" ht="12.75" customHeight="1">
      <c r="A28" s="281" t="s">
        <v>64</v>
      </c>
      <c r="B28" s="282"/>
      <c r="C28" s="283"/>
      <c r="D28" s="283"/>
      <c r="E28" s="284">
        <f>E19+E16+E15</f>
        <v>85.340207999999947</v>
      </c>
      <c r="F28" s="284">
        <f>F19+F16+F15</f>
        <v>60.636000000000038</v>
      </c>
      <c r="G28" s="285">
        <f>G19+G16+G15</f>
        <v>50.334567999999962</v>
      </c>
      <c r="H28" s="286">
        <f>H19+H16+H15</f>
        <v>13.564451000000005</v>
      </c>
      <c r="I28" s="287">
        <f>I19+I16+I15</f>
        <v>-24.465254999999988</v>
      </c>
      <c r="J28" s="453">
        <v>0</v>
      </c>
      <c r="K28" s="332">
        <f>SUM(I28:J28)</f>
        <v>-24.465254999999988</v>
      </c>
      <c r="L28" s="287">
        <f>L19+L16+L15</f>
        <v>12.625593</v>
      </c>
      <c r="M28" s="287">
        <f>M19+M16+M15</f>
        <v>12.663333244639244</v>
      </c>
      <c r="N28" s="453">
        <v>0</v>
      </c>
      <c r="O28" s="332">
        <f>SUM(M28:N28)</f>
        <v>12.663333244639244</v>
      </c>
      <c r="P28" s="288">
        <f t="shared" ref="P28" si="16">SUM(H28:J28,L28:N28)</f>
        <v>14.388122244639261</v>
      </c>
      <c r="S28" s="55"/>
    </row>
    <row r="29" spans="1:19" s="99" customFormat="1" ht="12.75" customHeight="1">
      <c r="A29" s="368" t="s">
        <v>65</v>
      </c>
      <c r="B29" s="362"/>
      <c r="E29" s="370">
        <f>E28/E10</f>
        <v>0.23952187799962937</v>
      </c>
      <c r="F29" s="370">
        <f>F28/F10</f>
        <v>0.17895911175647689</v>
      </c>
      <c r="G29" s="371">
        <f>G28/G10</f>
        <v>0.18651827587229111</v>
      </c>
      <c r="H29" s="372">
        <f>H28/H10</f>
        <v>0.19520139432825842</v>
      </c>
      <c r="I29" s="373">
        <f>I28/I10</f>
        <v>-0.81550849999999964</v>
      </c>
      <c r="J29" s="456"/>
      <c r="K29" s="373">
        <f>K28/K10</f>
        <v>-0.81550849999999964</v>
      </c>
      <c r="L29" s="373">
        <f>L28/L10</f>
        <v>0.1821874891774892</v>
      </c>
      <c r="M29" s="373">
        <f>M28/M10</f>
        <v>0.17839773220987998</v>
      </c>
      <c r="N29" s="456"/>
      <c r="O29" s="373">
        <f>O28/O10</f>
        <v>0.17839773220987998</v>
      </c>
      <c r="P29" s="374">
        <f>P28/P10</f>
        <v>6.0007208413683434E-2</v>
      </c>
      <c r="S29" s="369"/>
    </row>
    <row r="30" spans="1:19" s="63" customFormat="1" ht="12.75" customHeight="1">
      <c r="A30" s="90"/>
      <c r="B30" s="90"/>
      <c r="E30" s="375"/>
      <c r="F30" s="91"/>
      <c r="G30" s="91"/>
      <c r="H30" s="91"/>
      <c r="I30" s="91"/>
      <c r="O30" s="91"/>
      <c r="P30" s="91"/>
    </row>
    <row r="31" spans="1:19" s="63" customFormat="1" ht="12.75" customHeight="1">
      <c r="A31" s="90"/>
      <c r="B31" s="90"/>
      <c r="E31" s="376"/>
      <c r="F31" s="376"/>
      <c r="G31" s="376"/>
      <c r="H31" s="376"/>
      <c r="I31" s="376"/>
      <c r="J31" s="72"/>
      <c r="K31" s="72"/>
      <c r="L31" s="72"/>
      <c r="M31" s="72"/>
      <c r="N31" s="72"/>
      <c r="O31" s="72"/>
      <c r="P31" s="376"/>
    </row>
    <row r="32" spans="1:19" ht="12.75" customHeight="1">
      <c r="A32" s="53" t="s">
        <v>66</v>
      </c>
      <c r="B32" s="53"/>
      <c r="C32" s="53"/>
      <c r="D32" s="53"/>
      <c r="E32" s="53"/>
      <c r="F32" s="53"/>
      <c r="G32" s="53"/>
      <c r="H32" s="53"/>
      <c r="I32" s="53"/>
      <c r="J32" s="53"/>
      <c r="K32" s="53"/>
      <c r="L32" s="53"/>
      <c r="M32" s="53"/>
      <c r="N32" s="53"/>
      <c r="O32" s="53"/>
      <c r="P32" s="53"/>
    </row>
    <row r="33" spans="1:18" s="63" customFormat="1" ht="12.75" customHeight="1" thickBot="1">
      <c r="A33" s="90"/>
      <c r="B33" s="90"/>
      <c r="H33" s="72"/>
      <c r="I33" s="72"/>
      <c r="J33" s="72"/>
      <c r="K33" s="72"/>
      <c r="L33" s="72"/>
      <c r="M33" s="72"/>
      <c r="N33" s="72"/>
      <c r="O33" s="72"/>
      <c r="P33" s="72"/>
    </row>
    <row r="34" spans="1:18" ht="12.75" customHeight="1">
      <c r="A34" s="94"/>
      <c r="B34" s="63"/>
      <c r="C34" s="63"/>
      <c r="D34" s="63"/>
      <c r="E34" s="604">
        <f>E$8</f>
        <v>43465</v>
      </c>
      <c r="F34" s="604">
        <f t="shared" ref="F34:P34" si="17">F$8</f>
        <v>43830</v>
      </c>
      <c r="G34" s="605">
        <f t="shared" si="17"/>
        <v>44196</v>
      </c>
      <c r="H34" s="606">
        <f t="shared" si="17"/>
        <v>44286</v>
      </c>
      <c r="I34" s="607">
        <f t="shared" si="17"/>
        <v>44377</v>
      </c>
      <c r="J34" s="608" t="str">
        <f t="shared" si="17"/>
        <v>FILING</v>
      </c>
      <c r="K34" s="609">
        <f t="shared" si="17"/>
        <v>44377</v>
      </c>
      <c r="L34" s="607">
        <f t="shared" si="17"/>
        <v>44469</v>
      </c>
      <c r="M34" s="607">
        <f>M$8</f>
        <v>44561</v>
      </c>
      <c r="N34" s="610" t="str">
        <f>N$8</f>
        <v>Adjustments</v>
      </c>
      <c r="O34" s="609">
        <f t="shared" si="17"/>
        <v>44561</v>
      </c>
      <c r="P34" s="611">
        <f t="shared" si="17"/>
        <v>44561</v>
      </c>
    </row>
    <row r="35" spans="1:18" ht="12.75" customHeight="1">
      <c r="A35" s="20" t="s">
        <v>67</v>
      </c>
      <c r="B35" s="20"/>
      <c r="E35" s="192"/>
      <c r="F35" s="192"/>
      <c r="G35" s="278"/>
      <c r="H35" s="71"/>
      <c r="I35" s="72"/>
      <c r="J35" s="447"/>
      <c r="K35" s="72"/>
      <c r="L35" s="72"/>
      <c r="M35" s="72"/>
      <c r="N35" s="447"/>
      <c r="O35" s="72"/>
      <c r="P35" s="248"/>
    </row>
    <row r="36" spans="1:18" ht="12.75" customHeight="1">
      <c r="A36" s="1" t="s">
        <v>68</v>
      </c>
      <c r="C36" s="5"/>
      <c r="D36" s="5"/>
      <c r="E36" s="242">
        <f>63.5+24.7+53.5</f>
        <v>141.69999999999999</v>
      </c>
      <c r="F36" s="225">
        <f>F94</f>
        <v>120.54536107876716</v>
      </c>
      <c r="G36" s="241">
        <f>G94</f>
        <v>97.550458387158471</v>
      </c>
      <c r="H36" s="73">
        <f>H94</f>
        <v>93.801349233555555</v>
      </c>
      <c r="I36" s="74">
        <f>I94</f>
        <v>68.266979041819326</v>
      </c>
      <c r="J36" s="423">
        <f>J93</f>
        <v>15.95</v>
      </c>
      <c r="K36" s="74">
        <f>K94</f>
        <v>84.216979041819314</v>
      </c>
      <c r="L36" s="74">
        <f>L94</f>
        <v>63.266266132078819</v>
      </c>
      <c r="M36" s="74">
        <f ca="1">M94</f>
        <v>63.145824520973086</v>
      </c>
      <c r="N36" s="537">
        <f>'Recap-Fresh Start Schedule'!I10</f>
        <v>-23.125</v>
      </c>
      <c r="O36" s="63">
        <f ca="1">SUM(M36:N36)</f>
        <v>40.020824520973086</v>
      </c>
      <c r="P36" s="249">
        <f ca="1">SUM(M36:N36)</f>
        <v>40.020824520973086</v>
      </c>
    </row>
    <row r="37" spans="1:18" ht="12.75" customHeight="1">
      <c r="A37" s="1" t="s">
        <v>69</v>
      </c>
      <c r="C37" s="6"/>
      <c r="D37" s="6"/>
      <c r="E37" s="195">
        <v>62.453000000000003</v>
      </c>
      <c r="F37" s="199">
        <f>F221</f>
        <v>55.140450410958906</v>
      </c>
      <c r="G37" s="218">
        <f>G221</f>
        <v>45.567199999999993</v>
      </c>
      <c r="H37" s="289">
        <f>H221</f>
        <v>47.252872920000001</v>
      </c>
      <c r="I37" s="110">
        <f>I221</f>
        <v>20.571428571428569</v>
      </c>
      <c r="J37" s="431"/>
      <c r="K37" s="63">
        <f>SUM(I37:J37)</f>
        <v>20.571428571428569</v>
      </c>
      <c r="L37" s="110">
        <f>L221</f>
        <v>46.551521739130429</v>
      </c>
      <c r="M37" s="110">
        <f>M221</f>
        <v>47.836849391304348</v>
      </c>
      <c r="N37" s="449"/>
      <c r="O37" s="63">
        <f>SUM(M37:N37)</f>
        <v>47.836849391304348</v>
      </c>
      <c r="P37" s="291">
        <f t="shared" ref="P37:P39" si="18">SUM(M37:N37)</f>
        <v>47.836849391304348</v>
      </c>
    </row>
    <row r="38" spans="1:18" ht="12.75" customHeight="1">
      <c r="A38" s="1" t="s">
        <v>70</v>
      </c>
      <c r="C38" s="6"/>
      <c r="D38" s="6"/>
      <c r="E38" s="195">
        <v>44.219000000000001</v>
      </c>
      <c r="F38" s="199">
        <f>F224</f>
        <v>42.14518356164384</v>
      </c>
      <c r="G38" s="199">
        <f>G224</f>
        <v>35.498561206557383</v>
      </c>
      <c r="H38" s="289">
        <f>H224</f>
        <v>35.958054484444446</v>
      </c>
      <c r="I38" s="110">
        <f>I224</f>
        <v>34.930322115384612</v>
      </c>
      <c r="J38" s="431"/>
      <c r="K38" s="63">
        <f>SUM(I38:J38)</f>
        <v>34.930322115384612</v>
      </c>
      <c r="L38" s="110">
        <f>L224</f>
        <v>36.015898058695655</v>
      </c>
      <c r="M38" s="110">
        <f>M224</f>
        <v>35.228963640302261</v>
      </c>
      <c r="N38" s="449"/>
      <c r="O38" s="63">
        <f>SUM(M38:N38)</f>
        <v>35.228963640302261</v>
      </c>
      <c r="P38" s="291">
        <f t="shared" si="18"/>
        <v>35.228963640302261</v>
      </c>
    </row>
    <row r="39" spans="1:18" ht="12.75" customHeight="1">
      <c r="A39" s="1" t="s">
        <v>71</v>
      </c>
      <c r="C39" s="6"/>
      <c r="D39" s="6"/>
      <c r="E39" s="195">
        <v>8.4969999999999999</v>
      </c>
      <c r="F39" s="194">
        <f>F227</f>
        <v>9.148302000000001</v>
      </c>
      <c r="G39" s="228">
        <f>G227</f>
        <v>8.3657839999999997</v>
      </c>
      <c r="H39" s="95">
        <f>H227</f>
        <v>9.4505745840000017</v>
      </c>
      <c r="I39" s="1">
        <f>I227</f>
        <v>3.96</v>
      </c>
      <c r="J39" s="421"/>
      <c r="K39" s="63">
        <f>SUM(I39:J39)</f>
        <v>3.96</v>
      </c>
      <c r="L39" s="1">
        <f>L227</f>
        <v>8.0388000000000002</v>
      </c>
      <c r="M39" s="1">
        <f>M227</f>
        <v>7.6662408959999997</v>
      </c>
      <c r="N39" s="449"/>
      <c r="O39" s="63">
        <f>SUM(M39:N39)</f>
        <v>7.6662408959999997</v>
      </c>
      <c r="P39" s="207">
        <f t="shared" si="18"/>
        <v>7.6662408959999997</v>
      </c>
      <c r="R39" s="33"/>
    </row>
    <row r="40" spans="1:18" ht="12.75" customHeight="1">
      <c r="A40" s="28" t="s">
        <v>72</v>
      </c>
      <c r="B40" s="28"/>
      <c r="C40" s="15"/>
      <c r="D40" s="15"/>
      <c r="E40" s="623">
        <f t="shared" ref="E40:M40" si="19">SUM(E36:E39)</f>
        <v>256.86899999999997</v>
      </c>
      <c r="F40" s="623">
        <f t="shared" si="19"/>
        <v>226.97929705136991</v>
      </c>
      <c r="G40" s="624">
        <f t="shared" si="19"/>
        <v>186.98200359371583</v>
      </c>
      <c r="H40" s="75">
        <f t="shared" si="19"/>
        <v>186.46285122200001</v>
      </c>
      <c r="I40" s="625">
        <f t="shared" si="19"/>
        <v>127.7287297286325</v>
      </c>
      <c r="J40" s="440">
        <f t="shared" si="19"/>
        <v>15.95</v>
      </c>
      <c r="K40" s="625">
        <f t="shared" si="19"/>
        <v>143.6787297286325</v>
      </c>
      <c r="L40" s="625">
        <f t="shared" si="19"/>
        <v>153.87248592990491</v>
      </c>
      <c r="M40" s="625">
        <f t="shared" ca="1" si="19"/>
        <v>153.87787844857971</v>
      </c>
      <c r="N40" s="440">
        <f>SUM(N36:N39)</f>
        <v>-23.125</v>
      </c>
      <c r="O40" s="625">
        <f ca="1">SUM(O36:O39)</f>
        <v>130.75287844857971</v>
      </c>
      <c r="P40" s="240">
        <f t="shared" ref="P40" ca="1" si="20">SUM(P36:P39)</f>
        <v>130.75287844857971</v>
      </c>
    </row>
    <row r="41" spans="1:18" ht="12.75" customHeight="1">
      <c r="A41" s="34"/>
      <c r="B41" s="28"/>
      <c r="C41" s="15"/>
      <c r="D41" s="15"/>
      <c r="E41" s="201"/>
      <c r="F41" s="201"/>
      <c r="G41" s="237"/>
      <c r="H41" s="76"/>
      <c r="I41" s="77"/>
      <c r="J41" s="439"/>
      <c r="K41" s="77"/>
      <c r="L41" s="77"/>
      <c r="M41" s="77"/>
      <c r="N41" s="439"/>
      <c r="O41" s="77"/>
      <c r="P41" s="239"/>
    </row>
    <row r="42" spans="1:18" ht="12.75" customHeight="1">
      <c r="A42" s="10" t="s">
        <v>73</v>
      </c>
      <c r="B42" s="10"/>
      <c r="C42" s="6"/>
      <c r="D42" s="6"/>
      <c r="E42" s="199">
        <f>E271</f>
        <v>173.81399999999999</v>
      </c>
      <c r="F42" s="194">
        <f>F271</f>
        <v>182.49170289999998</v>
      </c>
      <c r="G42" s="228">
        <f>G271</f>
        <v>185.99618936666664</v>
      </c>
      <c r="H42" s="62">
        <f>H271</f>
        <v>183.84088475333331</v>
      </c>
      <c r="I42" s="63">
        <f>I271</f>
        <v>183.90959929333332</v>
      </c>
      <c r="J42" s="421"/>
      <c r="K42" s="63">
        <f>SUM(I42:J42)</f>
        <v>183.90959929333332</v>
      </c>
      <c r="L42" s="63">
        <f>L271</f>
        <v>184.27012022833333</v>
      </c>
      <c r="M42" s="63">
        <f>M271</f>
        <v>184.25786189999999</v>
      </c>
      <c r="N42" s="449"/>
      <c r="O42" s="63">
        <f>SUM(M42:N42)</f>
        <v>184.25786189999999</v>
      </c>
      <c r="P42" s="206">
        <f>SUM(M42:N42)</f>
        <v>184.25786189999999</v>
      </c>
    </row>
    <row r="43" spans="1:18" ht="12.75" customHeight="1">
      <c r="A43" s="10" t="s">
        <v>45</v>
      </c>
      <c r="B43" s="10"/>
      <c r="C43" s="6"/>
      <c r="D43" s="6"/>
      <c r="E43" s="199">
        <f>E65-SUM(E40,E42,E44:E45)</f>
        <v>326.81700000000001</v>
      </c>
      <c r="F43" s="194">
        <f>E43</f>
        <v>326.81700000000001</v>
      </c>
      <c r="G43" s="194">
        <f>F43</f>
        <v>326.81700000000001</v>
      </c>
      <c r="H43" s="62">
        <f>G43</f>
        <v>326.81700000000001</v>
      </c>
      <c r="I43" s="63">
        <f t="shared" ref="I43:M43" si="21">H43</f>
        <v>326.81700000000001</v>
      </c>
      <c r="J43" s="421"/>
      <c r="K43" s="63">
        <f>SUM(I43:J43)</f>
        <v>326.81700000000001</v>
      </c>
      <c r="L43" s="63">
        <f>I43</f>
        <v>326.81700000000001</v>
      </c>
      <c r="M43" s="63">
        <f t="shared" si="21"/>
        <v>326.81700000000001</v>
      </c>
      <c r="N43" s="537">
        <f ca="1">-'Recap-Fresh Start JE'!J61</f>
        <v>-190.98044032237692</v>
      </c>
      <c r="O43" s="63">
        <f ca="1">SUM(M43:N43)</f>
        <v>135.83655967762309</v>
      </c>
      <c r="P43" s="206">
        <f t="shared" ref="P42:P45" ca="1" si="22">SUM(M43:N43)</f>
        <v>135.83655967762309</v>
      </c>
    </row>
    <row r="44" spans="1:18" ht="12.75" customHeight="1">
      <c r="A44" s="1" t="s">
        <v>22</v>
      </c>
      <c r="C44" s="6"/>
      <c r="D44" s="6"/>
      <c r="E44" s="194">
        <f>E209</f>
        <v>13</v>
      </c>
      <c r="F44" s="194">
        <f>F209</f>
        <v>10.303030303030303</v>
      </c>
      <c r="G44" s="228">
        <f>G209</f>
        <v>7.6060606060606055</v>
      </c>
      <c r="H44" s="62">
        <f>H209</f>
        <v>6.9318181818181817</v>
      </c>
      <c r="I44" s="63">
        <f>I209</f>
        <v>6.2575757575757578</v>
      </c>
      <c r="J44" s="421">
        <f>SUM(J207:J208)</f>
        <v>1.1333333333333329</v>
      </c>
      <c r="K44" s="63">
        <f>SUM(I44:J44)</f>
        <v>7.3909090909090907</v>
      </c>
      <c r="L44" s="63">
        <f>L209</f>
        <v>6.8237499999999978</v>
      </c>
      <c r="M44" s="63">
        <f>M209</f>
        <v>6.2565909090909066</v>
      </c>
      <c r="N44" s="537">
        <f>'Recap-Fresh Start Schedule'!I18</f>
        <v>3.3684090909090951</v>
      </c>
      <c r="O44" s="63">
        <f>SUM(M44:N44)</f>
        <v>9.6250000000000018</v>
      </c>
      <c r="P44" s="206">
        <f t="shared" si="22"/>
        <v>9.6250000000000018</v>
      </c>
    </row>
    <row r="45" spans="1:18" ht="12.75" customHeight="1">
      <c r="A45" s="1" t="s">
        <v>74</v>
      </c>
      <c r="C45" s="6"/>
      <c r="D45" s="6"/>
      <c r="E45" s="194">
        <f>E373</f>
        <v>0</v>
      </c>
      <c r="F45" s="194">
        <f>F373</f>
        <v>1.7116711257348327</v>
      </c>
      <c r="G45" s="228">
        <f>G373</f>
        <v>5.1770223112196936</v>
      </c>
      <c r="H45" s="62">
        <f>H373</f>
        <v>6.0527267288075706</v>
      </c>
      <c r="I45" s="63">
        <f>I373</f>
        <v>20.020998170584335</v>
      </c>
      <c r="J45" s="421">
        <f>J371</f>
        <v>0.9770833333333333</v>
      </c>
      <c r="K45" s="63">
        <f>SUM(I45:J45)</f>
        <v>20.998081503917668</v>
      </c>
      <c r="L45" s="63">
        <f>L373</f>
        <v>21.484306660591656</v>
      </c>
      <c r="M45" s="63">
        <f>M373</f>
        <v>21.971505668528167</v>
      </c>
      <c r="N45" s="537">
        <f ca="1">'Recap-Fresh Start Schedule'!I19</f>
        <v>-10.62706583092857</v>
      </c>
      <c r="O45" s="63">
        <f ca="1">SUM(M45:N45)</f>
        <v>11.344439837599596</v>
      </c>
      <c r="P45" s="206">
        <f t="shared" ca="1" si="22"/>
        <v>11.344439837599596</v>
      </c>
    </row>
    <row r="46" spans="1:18" ht="12.75" customHeight="1">
      <c r="A46" s="28" t="s">
        <v>75</v>
      </c>
      <c r="B46" s="28"/>
      <c r="C46" s="15"/>
      <c r="D46" s="15"/>
      <c r="E46" s="623">
        <f>SUM(E42:E45,E40)</f>
        <v>770.5</v>
      </c>
      <c r="F46" s="623">
        <f>SUM(F42:F45,F40)</f>
        <v>748.30270138013498</v>
      </c>
      <c r="G46" s="624">
        <f>SUM(G42:G45,G40)</f>
        <v>712.5782758776628</v>
      </c>
      <c r="H46" s="75">
        <f>SUM(H42:H45,H40)</f>
        <v>710.10528088595902</v>
      </c>
      <c r="I46" s="625">
        <f>SUM(I42:I45,I40)</f>
        <v>664.73390295012598</v>
      </c>
      <c r="J46" s="440">
        <f>SUM(J42:J45)+J40</f>
        <v>18.060416666666665</v>
      </c>
      <c r="K46" s="625">
        <f>SUM(K42:K45,K40)</f>
        <v>682.79431961679256</v>
      </c>
      <c r="L46" s="625">
        <f>SUM(L42:L45,L40)</f>
        <v>693.26766281882988</v>
      </c>
      <c r="M46" s="625">
        <f ca="1">SUM(M42:M45,M40)</f>
        <v>693.18083692619882</v>
      </c>
      <c r="N46" s="440">
        <f ca="1">SUM(N40:N45)</f>
        <v>-221.36409706239638</v>
      </c>
      <c r="O46" s="625">
        <f ca="1">SUM(O42:O45,O40)</f>
        <v>471.81673986380235</v>
      </c>
      <c r="P46" s="240">
        <f t="shared" ref="P46" ca="1" si="23">SUM(P42:P45,P40)</f>
        <v>471.81673986380235</v>
      </c>
    </row>
    <row r="47" spans="1:18" ht="12.75" customHeight="1">
      <c r="A47" s="100"/>
      <c r="B47" s="9"/>
      <c r="C47" s="15"/>
      <c r="D47" s="15"/>
      <c r="E47" s="201"/>
      <c r="F47" s="201"/>
      <c r="G47" s="237"/>
      <c r="H47" s="76"/>
      <c r="I47" s="77"/>
      <c r="J47" s="439"/>
      <c r="K47" s="77"/>
      <c r="L47" s="77"/>
      <c r="M47" s="77"/>
      <c r="N47" s="439"/>
      <c r="O47" s="77"/>
      <c r="P47" s="239"/>
    </row>
    <row r="48" spans="1:18" ht="12.75" customHeight="1">
      <c r="A48" s="20" t="s">
        <v>76</v>
      </c>
      <c r="B48" s="42"/>
      <c r="E48" s="194"/>
      <c r="F48" s="194"/>
      <c r="G48" s="228"/>
      <c r="H48" s="62"/>
      <c r="I48" s="63"/>
      <c r="J48" s="421"/>
      <c r="K48" s="63"/>
      <c r="L48" s="63"/>
      <c r="M48" s="63"/>
      <c r="N48" s="421"/>
      <c r="O48" s="63"/>
      <c r="P48" s="206"/>
    </row>
    <row r="49" spans="1:18" ht="12.75" customHeight="1">
      <c r="A49" s="1" t="s">
        <v>77</v>
      </c>
      <c r="C49" s="6"/>
      <c r="D49" s="6"/>
      <c r="E49" s="195">
        <v>21.9</v>
      </c>
      <c r="F49" s="199">
        <f>F233</f>
        <v>24.512026301369865</v>
      </c>
      <c r="G49" s="218">
        <f>G233</f>
        <v>18.709739510382516</v>
      </c>
      <c r="H49" s="289">
        <f>H233</f>
        <v>20.989090626666666</v>
      </c>
      <c r="I49" s="110">
        <f>I233</f>
        <v>21.517078423076921</v>
      </c>
      <c r="J49" s="431"/>
      <c r="K49" s="63">
        <f>SUM(I49:J49)</f>
        <v>21.517078423076921</v>
      </c>
      <c r="L49" s="110">
        <f>L233</f>
        <v>18.195614846571548</v>
      </c>
      <c r="M49" s="110">
        <f>M233</f>
        <v>18.402430542829315</v>
      </c>
      <c r="N49" s="449"/>
      <c r="O49" s="63">
        <f>SUM(M49:N49)</f>
        <v>18.402430542829315</v>
      </c>
      <c r="P49" s="291">
        <f t="shared" ref="P49:P52" si="24">SUM(M49:N49)</f>
        <v>18.402430542829315</v>
      </c>
    </row>
    <row r="50" spans="1:18" ht="12.75" customHeight="1">
      <c r="A50" s="1" t="s">
        <v>78</v>
      </c>
      <c r="C50" s="6"/>
      <c r="D50" s="6"/>
      <c r="E50" s="195">
        <v>33.6</v>
      </c>
      <c r="F50" s="199">
        <f>F236</f>
        <v>32.188470000000002</v>
      </c>
      <c r="G50" s="218">
        <f>G236</f>
        <v>29.145311999999997</v>
      </c>
      <c r="H50" s="289">
        <f>H236</f>
        <v>31.131304512</v>
      </c>
      <c r="I50" s="110">
        <f>I236</f>
        <v>12.959999999999999</v>
      </c>
      <c r="J50" s="431"/>
      <c r="K50" s="63">
        <f>SUM(I50:J50)</f>
        <v>12.959999999999999</v>
      </c>
      <c r="L50" s="110">
        <f>L236</f>
        <v>27.72</v>
      </c>
      <c r="M50" s="110">
        <f>M236</f>
        <v>28.3934848</v>
      </c>
      <c r="N50" s="449"/>
      <c r="O50" s="63">
        <f>SUM(M50:N50)</f>
        <v>28.3934848</v>
      </c>
      <c r="P50" s="291">
        <f t="shared" si="24"/>
        <v>28.3934848</v>
      </c>
    </row>
    <row r="51" spans="1:18" ht="12.75" customHeight="1">
      <c r="A51" s="1" t="s">
        <v>79</v>
      </c>
      <c r="C51" s="6"/>
      <c r="D51" s="6"/>
      <c r="E51" s="199">
        <f>E312</f>
        <v>0</v>
      </c>
      <c r="F51" s="199">
        <f>F312</f>
        <v>0</v>
      </c>
      <c r="G51" s="218">
        <f>G312</f>
        <v>0</v>
      </c>
      <c r="H51" s="289">
        <f>H312</f>
        <v>0</v>
      </c>
      <c r="I51" s="110">
        <f>I312</f>
        <v>0</v>
      </c>
      <c r="J51" s="421">
        <f>-J320</f>
        <v>0</v>
      </c>
      <c r="K51" s="63">
        <f>SUM(I51:J51)</f>
        <v>0</v>
      </c>
      <c r="L51" s="110">
        <f>L312</f>
        <v>0</v>
      </c>
      <c r="M51" s="110">
        <f>M312</f>
        <v>0</v>
      </c>
      <c r="N51" s="449"/>
      <c r="O51" s="63">
        <f>SUM(M51:N51)</f>
        <v>0</v>
      </c>
      <c r="P51" s="206">
        <f t="shared" si="24"/>
        <v>0</v>
      </c>
    </row>
    <row r="52" spans="1:18" ht="12.75" customHeight="1">
      <c r="A52" s="1" t="s">
        <v>80</v>
      </c>
      <c r="C52" s="6"/>
      <c r="D52" s="6"/>
      <c r="E52" s="195">
        <v>0</v>
      </c>
      <c r="F52" s="194">
        <f>-F152</f>
        <v>0</v>
      </c>
      <c r="G52" s="228">
        <f>-G152</f>
        <v>0</v>
      </c>
      <c r="H52" s="62">
        <f>-H152</f>
        <v>0</v>
      </c>
      <c r="I52" s="63">
        <f>-I152</f>
        <v>0</v>
      </c>
      <c r="J52" s="421">
        <f>J130</f>
        <v>225</v>
      </c>
      <c r="K52" s="63">
        <f>SUM(I52:J52)</f>
        <v>225</v>
      </c>
      <c r="L52" s="63">
        <f>-L152</f>
        <v>225</v>
      </c>
      <c r="M52" s="63">
        <f>-M152</f>
        <v>225</v>
      </c>
      <c r="N52" s="590">
        <f>'Recap-Fresh Start Schedule'!I26</f>
        <v>-225</v>
      </c>
      <c r="O52" s="63">
        <f>SUM(M52:N52)</f>
        <v>0</v>
      </c>
      <c r="P52" s="206">
        <f t="shared" si="24"/>
        <v>0</v>
      </c>
    </row>
    <row r="53" spans="1:18" ht="12.75" customHeight="1">
      <c r="A53" s="28" t="s">
        <v>81</v>
      </c>
      <c r="B53" s="28"/>
      <c r="C53" s="15"/>
      <c r="D53" s="15"/>
      <c r="E53" s="623">
        <f t="shared" ref="E53:M53" si="25">SUM(E49:E52)</f>
        <v>55.5</v>
      </c>
      <c r="F53" s="623">
        <f t="shared" si="25"/>
        <v>56.700496301369867</v>
      </c>
      <c r="G53" s="624">
        <f t="shared" si="25"/>
        <v>47.855051510382509</v>
      </c>
      <c r="H53" s="75">
        <f t="shared" si="25"/>
        <v>52.120395138666666</v>
      </c>
      <c r="I53" s="625">
        <f t="shared" si="25"/>
        <v>34.477078423076918</v>
      </c>
      <c r="J53" s="440">
        <f t="shared" si="25"/>
        <v>225</v>
      </c>
      <c r="K53" s="625">
        <f t="shared" si="25"/>
        <v>259.47707842307693</v>
      </c>
      <c r="L53" s="625">
        <f t="shared" si="25"/>
        <v>270.91561484657154</v>
      </c>
      <c r="M53" s="625">
        <f t="shared" si="25"/>
        <v>271.79591534282929</v>
      </c>
      <c r="N53" s="421">
        <f>SUM(N49:N52)</f>
        <v>-225</v>
      </c>
      <c r="O53" s="625">
        <f>SUM(O49:O52)</f>
        <v>46.795915342829318</v>
      </c>
      <c r="P53" s="240">
        <f t="shared" ref="P53" si="26">SUM(P49:P52)</f>
        <v>46.795915342829318</v>
      </c>
    </row>
    <row r="54" spans="1:18" ht="12.75" customHeight="1">
      <c r="A54" s="9"/>
      <c r="B54" s="9"/>
      <c r="C54" s="15"/>
      <c r="D54" s="15"/>
      <c r="E54" s="201"/>
      <c r="F54" s="201"/>
      <c r="G54" s="237"/>
      <c r="H54" s="76"/>
      <c r="I54" s="77"/>
      <c r="J54" s="439"/>
      <c r="K54" s="77"/>
      <c r="L54" s="77"/>
      <c r="M54" s="77"/>
      <c r="N54" s="421"/>
      <c r="O54" s="77"/>
      <c r="P54" s="239"/>
    </row>
    <row r="55" spans="1:18" s="14" customFormat="1" ht="12.75" customHeight="1">
      <c r="A55" s="102" t="s">
        <v>82</v>
      </c>
      <c r="B55" s="50"/>
      <c r="E55" s="197">
        <f>E322</f>
        <v>0</v>
      </c>
      <c r="F55" s="197">
        <f>F322</f>
        <v>0</v>
      </c>
      <c r="G55" s="279">
        <f>G322</f>
        <v>0</v>
      </c>
      <c r="H55" s="64">
        <f>H322</f>
        <v>0</v>
      </c>
      <c r="I55" s="65">
        <f>I322</f>
        <v>0</v>
      </c>
      <c r="J55" s="433">
        <f>SUM(J320:J321)</f>
        <v>300</v>
      </c>
      <c r="K55" s="65">
        <f>K322</f>
        <v>300</v>
      </c>
      <c r="L55" s="65">
        <f>L322</f>
        <v>300</v>
      </c>
      <c r="M55" s="65">
        <f>M322</f>
        <v>300</v>
      </c>
      <c r="N55" s="537">
        <f>'Recap-Fresh Start Schedule'!I29</f>
        <v>-300</v>
      </c>
      <c r="O55" s="65">
        <f>SUM(M55+N55)</f>
        <v>0</v>
      </c>
      <c r="P55" s="250">
        <f>M55+N55</f>
        <v>0</v>
      </c>
    </row>
    <row r="56" spans="1:18" ht="12.75" customHeight="1">
      <c r="A56" s="9"/>
      <c r="B56" s="9"/>
      <c r="C56" s="15"/>
      <c r="D56" s="15"/>
      <c r="E56" s="201"/>
      <c r="F56" s="201"/>
      <c r="G56" s="237"/>
      <c r="H56" s="76"/>
      <c r="I56" s="77"/>
      <c r="J56" s="439"/>
      <c r="K56" s="77"/>
      <c r="L56" s="77"/>
      <c r="M56" s="77"/>
      <c r="N56" s="443"/>
      <c r="O56" s="77"/>
      <c r="P56" s="239"/>
    </row>
    <row r="57" spans="1:18" ht="12.75" customHeight="1">
      <c r="A57" s="1" t="s">
        <v>83</v>
      </c>
      <c r="C57" s="6"/>
      <c r="D57" s="6"/>
      <c r="E57" s="194">
        <f>E153</f>
        <v>550</v>
      </c>
      <c r="F57" s="194">
        <f>F153</f>
        <v>530</v>
      </c>
      <c r="G57" s="228">
        <f>G153</f>
        <v>510</v>
      </c>
      <c r="H57" s="62">
        <f>H153</f>
        <v>505</v>
      </c>
      <c r="I57" s="63">
        <f>I153</f>
        <v>505</v>
      </c>
      <c r="J57" s="421">
        <f>-SUM(I145:I150)</f>
        <v>-505</v>
      </c>
      <c r="K57" s="63">
        <f>SUM(I57:J57)</f>
        <v>0</v>
      </c>
      <c r="L57" s="63">
        <f>L153</f>
        <v>0</v>
      </c>
      <c r="M57" s="63">
        <f>M153</f>
        <v>0</v>
      </c>
      <c r="N57" s="537">
        <f>'Recap-Fresh Start JE'!J10</f>
        <v>275</v>
      </c>
      <c r="O57" s="63">
        <f>SUM(M57:N57)</f>
        <v>275</v>
      </c>
      <c r="P57" s="206">
        <f t="shared" ref="P57:P60" si="27">SUM(M57:N57)</f>
        <v>275</v>
      </c>
    </row>
    <row r="58" spans="1:18" ht="12.75" customHeight="1">
      <c r="A58" s="1" t="s">
        <v>84</v>
      </c>
      <c r="C58" s="6"/>
      <c r="D58" s="6"/>
      <c r="E58" s="195">
        <v>0</v>
      </c>
      <c r="F58" s="195">
        <v>0</v>
      </c>
      <c r="G58" s="217">
        <v>0</v>
      </c>
      <c r="H58" s="62">
        <v>0</v>
      </c>
      <c r="I58" s="63">
        <v>0</v>
      </c>
      <c r="J58" s="421"/>
      <c r="K58" s="63">
        <f t="shared" ref="K58:K60" si="28">SUM(I58:J58)</f>
        <v>0</v>
      </c>
      <c r="L58" s="63">
        <v>0</v>
      </c>
      <c r="M58" s="63">
        <v>0</v>
      </c>
      <c r="N58" s="449"/>
      <c r="O58" s="63">
        <f t="shared" ref="O58:O60" si="29">SUM(M58:N58)</f>
        <v>0</v>
      </c>
      <c r="P58" s="206">
        <f t="shared" si="27"/>
        <v>0</v>
      </c>
    </row>
    <row r="59" spans="1:18" ht="12.75" customHeight="1">
      <c r="A59" s="1" t="s">
        <v>85</v>
      </c>
      <c r="B59" s="43"/>
      <c r="C59" s="6"/>
      <c r="D59" s="6"/>
      <c r="E59" s="195">
        <v>0</v>
      </c>
      <c r="F59" s="194">
        <f>F378</f>
        <v>0</v>
      </c>
      <c r="G59" s="228">
        <f>G378</f>
        <v>0</v>
      </c>
      <c r="H59" s="62">
        <f>H378</f>
        <v>0</v>
      </c>
      <c r="I59" s="63">
        <f>I378</f>
        <v>0</v>
      </c>
      <c r="J59" s="421"/>
      <c r="K59" s="63">
        <f t="shared" si="28"/>
        <v>0</v>
      </c>
      <c r="L59" s="63">
        <f>L378</f>
        <v>0</v>
      </c>
      <c r="M59" s="63">
        <f>M378</f>
        <v>0</v>
      </c>
      <c r="N59" s="537">
        <f ca="1">'Recap-Fresh Start Schedule'!I33</f>
        <v>0</v>
      </c>
      <c r="O59" s="63">
        <f t="shared" ca="1" si="29"/>
        <v>0</v>
      </c>
      <c r="P59" s="207">
        <f t="shared" ca="1" si="27"/>
        <v>0</v>
      </c>
    </row>
    <row r="60" spans="1:18" s="16" customFormat="1" ht="12.75" customHeight="1">
      <c r="A60" s="1" t="s">
        <v>86</v>
      </c>
      <c r="B60" s="38"/>
      <c r="C60" s="49"/>
      <c r="D60" s="49"/>
      <c r="E60" s="195">
        <v>0</v>
      </c>
      <c r="F60" s="195">
        <v>0</v>
      </c>
      <c r="G60" s="217">
        <v>0</v>
      </c>
      <c r="H60" s="67">
        <v>0</v>
      </c>
      <c r="I60" s="68">
        <v>0</v>
      </c>
      <c r="J60" s="421"/>
      <c r="K60" s="63">
        <f t="shared" si="28"/>
        <v>0</v>
      </c>
      <c r="L60" s="68">
        <v>0</v>
      </c>
      <c r="M60" s="68">
        <v>0</v>
      </c>
      <c r="N60" s="430"/>
      <c r="O60" s="63">
        <f t="shared" si="29"/>
        <v>0</v>
      </c>
      <c r="P60" s="251">
        <f t="shared" si="27"/>
        <v>0</v>
      </c>
      <c r="Q60" s="1"/>
      <c r="R60" s="1"/>
    </row>
    <row r="61" spans="1:18" s="14" customFormat="1" ht="12.75" customHeight="1">
      <c r="A61" s="50" t="s">
        <v>87</v>
      </c>
      <c r="B61" s="50"/>
      <c r="E61" s="619">
        <f>SUM(E57:E60,E55,E53)</f>
        <v>605.5</v>
      </c>
      <c r="F61" s="619">
        <f>SUM(F57:F60,F55,F53)</f>
        <v>586.70049630136987</v>
      </c>
      <c r="G61" s="626">
        <f>SUM(G57:G60,G55,G53)</f>
        <v>557.85505151038251</v>
      </c>
      <c r="H61" s="66">
        <f t="shared" ref="H61:P61" si="30">SUM(H57:H60,H55,H53)</f>
        <v>557.12039513866671</v>
      </c>
      <c r="I61" s="627">
        <f t="shared" ref="I61:L61" si="31">SUM(I57:I60,I55,I53)</f>
        <v>539.47707842307693</v>
      </c>
      <c r="J61" s="419">
        <f>J53+SUM(J55:J60)</f>
        <v>20</v>
      </c>
      <c r="K61" s="627">
        <f t="shared" si="31"/>
        <v>559.47707842307693</v>
      </c>
      <c r="L61" s="627">
        <f t="shared" si="31"/>
        <v>570.91561484657154</v>
      </c>
      <c r="M61" s="627">
        <f>SUM(M57:M60,M55,M53)</f>
        <v>571.79591534282929</v>
      </c>
      <c r="N61" s="14">
        <f ca="1">SUM(N53:N59)</f>
        <v>-250</v>
      </c>
      <c r="O61" s="627">
        <f t="shared" ref="O61" ca="1" si="32">SUM(O57:O60,O55,O53)</f>
        <v>321.79591534282929</v>
      </c>
      <c r="P61" s="252">
        <f t="shared" ca="1" si="30"/>
        <v>321.79591534282929</v>
      </c>
      <c r="Q61" s="1"/>
      <c r="R61" s="1"/>
    </row>
    <row r="62" spans="1:18" s="16" customFormat="1" ht="12.75" customHeight="1">
      <c r="A62" s="38"/>
      <c r="B62" s="38"/>
      <c r="C62" s="49"/>
      <c r="D62" s="49"/>
      <c r="E62" s="247"/>
      <c r="F62" s="247"/>
      <c r="G62" s="280"/>
      <c r="H62" s="80"/>
      <c r="I62" s="81"/>
      <c r="J62" s="448"/>
      <c r="K62" s="81"/>
      <c r="L62" s="81"/>
      <c r="M62" s="81"/>
      <c r="N62" s="419"/>
      <c r="O62" s="81"/>
      <c r="P62" s="253"/>
      <c r="Q62" s="1"/>
      <c r="R62" s="1"/>
    </row>
    <row r="63" spans="1:18" ht="12.75" customHeight="1">
      <c r="A63" s="41" t="s">
        <v>88</v>
      </c>
      <c r="B63" s="28"/>
      <c r="C63" s="15"/>
      <c r="D63" s="15"/>
      <c r="E63" s="195">
        <v>165</v>
      </c>
      <c r="F63" s="199">
        <f>$E63</f>
        <v>165</v>
      </c>
      <c r="G63" s="218">
        <f t="shared" ref="G63:M63" si="33">$E63</f>
        <v>165</v>
      </c>
      <c r="H63" s="289">
        <f t="shared" si="33"/>
        <v>165</v>
      </c>
      <c r="I63" s="110">
        <f t="shared" si="33"/>
        <v>165</v>
      </c>
      <c r="J63" s="431"/>
      <c r="K63" s="63">
        <f t="shared" ref="K63:K64" si="34">SUM(I63:J63)</f>
        <v>165</v>
      </c>
      <c r="L63" s="110">
        <f t="shared" si="33"/>
        <v>165</v>
      </c>
      <c r="M63" s="110">
        <f t="shared" si="33"/>
        <v>165</v>
      </c>
      <c r="N63" s="537">
        <f ca="1">'Recap-Fresh Start Schedule'!I37</f>
        <v>-14.979175479026935</v>
      </c>
      <c r="O63" s="63">
        <f t="shared" ref="O63:O64" ca="1" si="35">SUM(M63:N63)</f>
        <v>150.02082452097306</v>
      </c>
      <c r="P63" s="253">
        <f t="shared" ref="P63:P64" ca="1" si="36">SUM(M63:N63)</f>
        <v>150.02082452097306</v>
      </c>
    </row>
    <row r="64" spans="1:18" ht="12.75" customHeight="1">
      <c r="A64" s="41" t="s">
        <v>37</v>
      </c>
      <c r="B64" s="28"/>
      <c r="C64" s="15"/>
      <c r="D64" s="15"/>
      <c r="E64" s="195">
        <v>0</v>
      </c>
      <c r="F64" s="199">
        <f>E64+F26</f>
        <v>-3.397794921234818</v>
      </c>
      <c r="G64" s="218">
        <f>F64+G26</f>
        <v>-10.276775632719691</v>
      </c>
      <c r="H64" s="289">
        <f>G64+H26</f>
        <v>-12.015114252707566</v>
      </c>
      <c r="I64" s="110">
        <f>H64+I26</f>
        <v>-39.743175472950995</v>
      </c>
      <c r="J64" s="431">
        <f>J26</f>
        <v>-1.9395833333333337</v>
      </c>
      <c r="K64" s="63">
        <f t="shared" si="34"/>
        <v>-41.682758806284326</v>
      </c>
      <c r="L64" s="110">
        <f>K64+L26</f>
        <v>-42.647952027741646</v>
      </c>
      <c r="M64" s="110">
        <f>L64+M26</f>
        <v>-43.615078416630539</v>
      </c>
      <c r="N64" s="535">
        <f ca="1">'Recap-Fresh Start Schedule'!I38+'Recap-Fresh Start Schedule'!K38</f>
        <v>43.615078416630553</v>
      </c>
      <c r="O64" s="63">
        <f t="shared" ca="1" si="35"/>
        <v>0</v>
      </c>
      <c r="P64" s="251">
        <f t="shared" ca="1" si="36"/>
        <v>0</v>
      </c>
    </row>
    <row r="65" spans="1:17" ht="12.75" customHeight="1" thickBot="1">
      <c r="A65" s="28" t="s">
        <v>89</v>
      </c>
      <c r="B65" s="28"/>
      <c r="C65" s="15"/>
      <c r="D65" s="15"/>
      <c r="E65" s="200">
        <f t="shared" ref="E65:M65" si="37">E61+SUM(E63:E64)</f>
        <v>770.5</v>
      </c>
      <c r="F65" s="200">
        <f t="shared" si="37"/>
        <v>748.30270138013509</v>
      </c>
      <c r="G65" s="236">
        <f t="shared" si="37"/>
        <v>712.5782758776628</v>
      </c>
      <c r="H65" s="69">
        <f t="shared" si="37"/>
        <v>710.10528088595913</v>
      </c>
      <c r="I65" s="70">
        <f t="shared" si="37"/>
        <v>664.73390295012598</v>
      </c>
      <c r="J65" s="452">
        <f t="shared" si="37"/>
        <v>18.060416666666665</v>
      </c>
      <c r="K65" s="70">
        <f t="shared" si="37"/>
        <v>682.79431961679256</v>
      </c>
      <c r="L65" s="70">
        <f t="shared" si="37"/>
        <v>693.26766281882988</v>
      </c>
      <c r="M65" s="70">
        <f t="shared" si="37"/>
        <v>693.18083692619871</v>
      </c>
      <c r="N65" s="452">
        <f ca="1">N61+N63+N64</f>
        <v>-221.36409706239638</v>
      </c>
      <c r="O65" s="70">
        <f ca="1">O61+SUM(O63:O64)</f>
        <v>471.81673986380235</v>
      </c>
      <c r="P65" s="238">
        <f t="shared" ref="P65" ca="1" si="38">P61+SUM(P63:P64)</f>
        <v>471.81673986380235</v>
      </c>
      <c r="Q65" s="99">
        <f ca="1">P46-P65</f>
        <v>0</v>
      </c>
    </row>
    <row r="66" spans="1:17" s="61" customFormat="1" ht="12.75" customHeight="1" thickTop="1">
      <c r="A66" s="59" t="str">
        <f ca="1">IF(SUM($E$66:$P$66)=0,"","Check")</f>
        <v/>
      </c>
      <c r="B66" s="59"/>
      <c r="C66" s="60"/>
      <c r="D66" s="60"/>
      <c r="E66" s="96">
        <f>ABS(ROUND(E46-E65,5))</f>
        <v>0</v>
      </c>
      <c r="F66" s="96">
        <f>ABS(ROUND(F46-F65,5))</f>
        <v>0</v>
      </c>
      <c r="G66" s="96">
        <f>ABS(ROUND(G46-G65,5))</f>
        <v>0</v>
      </c>
      <c r="H66" s="96">
        <f>ABS(ROUND(H46-H65,5))</f>
        <v>0</v>
      </c>
      <c r="I66" s="96">
        <f>ABS(ROUND(I46-I65,5))</f>
        <v>0</v>
      </c>
      <c r="J66" s="96"/>
      <c r="K66" s="96">
        <f t="shared" ref="K66:N66" si="39">ABS(ROUND(K46-K65,5))</f>
        <v>0</v>
      </c>
      <c r="L66" s="96">
        <f t="shared" si="39"/>
        <v>0</v>
      </c>
      <c r="M66" s="96">
        <f t="shared" ca="1" si="39"/>
        <v>0</v>
      </c>
      <c r="N66" s="96">
        <f t="shared" ca="1" si="39"/>
        <v>0</v>
      </c>
      <c r="O66" s="96">
        <f ca="1">ABS(ROUND(O46-O65,2))</f>
        <v>0</v>
      </c>
      <c r="P66" s="96">
        <f ca="1">ABS(ROUND(P46-P65,2))</f>
        <v>0</v>
      </c>
    </row>
    <row r="67" spans="1:17" s="61" customFormat="1" ht="12.75" customHeight="1">
      <c r="A67" s="59"/>
      <c r="B67" s="59"/>
      <c r="C67" s="60"/>
      <c r="D67" s="60"/>
      <c r="E67" s="96"/>
      <c r="F67" s="96"/>
      <c r="G67" s="96"/>
      <c r="H67" s="96"/>
      <c r="I67" s="96"/>
      <c r="J67" s="96"/>
      <c r="K67" s="96"/>
      <c r="L67" s="96"/>
      <c r="M67" s="96"/>
      <c r="N67" s="96"/>
      <c r="O67" s="96"/>
      <c r="P67" s="96"/>
    </row>
    <row r="68" spans="1:17" ht="12.75" customHeight="1">
      <c r="A68" s="53" t="s">
        <v>90</v>
      </c>
      <c r="B68" s="53"/>
      <c r="C68" s="53"/>
      <c r="D68" s="53"/>
      <c r="E68" s="53"/>
      <c r="F68" s="53"/>
      <c r="G68" s="53"/>
      <c r="H68" s="53"/>
      <c r="I68" s="53"/>
      <c r="J68" s="53"/>
      <c r="K68" s="53"/>
      <c r="L68" s="53"/>
      <c r="M68" s="53"/>
      <c r="N68" s="53"/>
      <c r="O68" s="53"/>
      <c r="P68" s="53"/>
    </row>
    <row r="69" spans="1:17" ht="12.75" customHeight="1" thickBot="1">
      <c r="A69" s="11"/>
      <c r="B69" s="11"/>
      <c r="C69" s="13"/>
      <c r="D69" s="13"/>
      <c r="E69" s="4"/>
      <c r="F69" s="4"/>
      <c r="G69" s="4"/>
      <c r="H69" s="13"/>
      <c r="I69" s="13"/>
      <c r="J69" s="13"/>
      <c r="K69" s="13"/>
      <c r="L69" s="13"/>
      <c r="M69" s="13"/>
      <c r="N69" s="13"/>
      <c r="O69" s="13"/>
      <c r="P69" s="13"/>
    </row>
    <row r="70" spans="1:17" ht="12.75" customHeight="1">
      <c r="A70" s="94"/>
      <c r="B70" s="63"/>
      <c r="C70" s="63"/>
      <c r="D70" s="63"/>
      <c r="E70" s="604">
        <f>E$8</f>
        <v>43465</v>
      </c>
      <c r="F70" s="604">
        <f t="shared" ref="F70:P70" si="40">F$8</f>
        <v>43830</v>
      </c>
      <c r="G70" s="605">
        <f t="shared" si="40"/>
        <v>44196</v>
      </c>
      <c r="H70" s="606">
        <f t="shared" si="40"/>
        <v>44286</v>
      </c>
      <c r="I70" s="607">
        <f t="shared" si="40"/>
        <v>44377</v>
      </c>
      <c r="J70" s="608" t="str">
        <f t="shared" si="40"/>
        <v>FILING</v>
      </c>
      <c r="K70" s="609">
        <f t="shared" si="40"/>
        <v>44377</v>
      </c>
      <c r="L70" s="607">
        <f t="shared" si="40"/>
        <v>44469</v>
      </c>
      <c r="M70" s="607">
        <f>M$8</f>
        <v>44561</v>
      </c>
      <c r="N70" s="610" t="str">
        <f>N$8</f>
        <v>Adjustments</v>
      </c>
      <c r="O70" s="609">
        <f t="shared" si="40"/>
        <v>44561</v>
      </c>
      <c r="P70" s="611">
        <f t="shared" si="40"/>
        <v>44561</v>
      </c>
    </row>
    <row r="71" spans="1:17" ht="12.75" customHeight="1">
      <c r="A71" s="11"/>
      <c r="B71" s="11"/>
      <c r="C71" s="13"/>
      <c r="D71" s="13"/>
      <c r="E71" s="225"/>
      <c r="F71" s="225"/>
      <c r="G71" s="241"/>
      <c r="H71" s="92"/>
      <c r="I71" s="13"/>
      <c r="J71" s="445"/>
      <c r="K71" s="13"/>
      <c r="L71" s="13"/>
      <c r="M71" s="13"/>
      <c r="N71" s="445"/>
      <c r="O71" s="13"/>
      <c r="P71" s="254"/>
    </row>
    <row r="72" spans="1:17" ht="12.75" customHeight="1">
      <c r="A72" s="1" t="s">
        <v>63</v>
      </c>
      <c r="E72" s="194"/>
      <c r="F72" s="309">
        <f t="shared" ref="F72:G72" si="41">F26</f>
        <v>-3.397794921234818</v>
      </c>
      <c r="G72" s="310">
        <f t="shared" si="41"/>
        <v>-6.8789807114848731</v>
      </c>
      <c r="H72" s="73">
        <f>H26</f>
        <v>-1.7383386199878759</v>
      </c>
      <c r="I72" s="74">
        <f>I26</f>
        <v>-27.728061220243426</v>
      </c>
      <c r="J72" s="423">
        <f>J26</f>
        <v>-1.9395833333333337</v>
      </c>
      <c r="K72" s="74">
        <f>SUM(I72:J72)</f>
        <v>-29.667644553576761</v>
      </c>
      <c r="L72" s="74">
        <f>L26</f>
        <v>-0.96519322145732223</v>
      </c>
      <c r="M72" s="74">
        <f>M26</f>
        <v>-0.96712638888889102</v>
      </c>
      <c r="N72" s="534">
        <f ca="1">N26</f>
        <v>-169.88492158336945</v>
      </c>
      <c r="O72" s="74">
        <f ca="1">SUM(M72:N72)</f>
        <v>-170.85204797225833</v>
      </c>
      <c r="P72" s="249">
        <f ca="1">SUM(H72:J72,L72:N72)</f>
        <v>-203.2232243672803</v>
      </c>
    </row>
    <row r="73" spans="1:17" ht="12.75" customHeight="1">
      <c r="A73" s="1" t="s">
        <v>91</v>
      </c>
      <c r="E73" s="194"/>
      <c r="F73" s="199">
        <f>F265</f>
        <v>13.7848001</v>
      </c>
      <c r="G73" s="218">
        <f>G265</f>
        <v>14.256513533333333</v>
      </c>
      <c r="H73" s="289">
        <f>H265</f>
        <v>3.5403046133333329</v>
      </c>
      <c r="I73" s="110">
        <f>I265</f>
        <v>3.5594854599999999</v>
      </c>
      <c r="J73" s="431"/>
      <c r="K73" s="110">
        <f t="shared" ref="K73:K78" si="42">SUM(I73:J73)</f>
        <v>3.5594854599999999</v>
      </c>
      <c r="L73" s="110">
        <f>L265</f>
        <v>3.6001300649999997</v>
      </c>
      <c r="M73" s="110">
        <f>M265</f>
        <v>3.6407773283333329</v>
      </c>
      <c r="N73" s="534">
        <f>N16</f>
        <v>0</v>
      </c>
      <c r="O73" s="110">
        <f t="shared" ref="O73:O78" si="43">SUM(M73:N73)</f>
        <v>3.6407773283333329</v>
      </c>
      <c r="P73" s="206">
        <f t="shared" ref="P73:P78" si="44">SUM(H73:J73,L73:N73)</f>
        <v>14.340697466666665</v>
      </c>
    </row>
    <row r="74" spans="1:17" ht="12.75" customHeight="1">
      <c r="A74" s="1" t="s">
        <v>92</v>
      </c>
      <c r="E74" s="194"/>
      <c r="F74" s="199">
        <f>-F208</f>
        <v>2.6969696969696968</v>
      </c>
      <c r="G74" s="218">
        <f>-G208</f>
        <v>2.6969696969696968</v>
      </c>
      <c r="H74" s="289">
        <f>-H208</f>
        <v>0.6742424242424242</v>
      </c>
      <c r="I74" s="110">
        <f>-I208</f>
        <v>0.6742424242424242</v>
      </c>
      <c r="J74" s="421">
        <f>-J208</f>
        <v>2.916666666666667</v>
      </c>
      <c r="K74" s="110">
        <f t="shared" si="42"/>
        <v>3.5909090909090913</v>
      </c>
      <c r="L74" s="110">
        <f>-L208</f>
        <v>0.56715909090909089</v>
      </c>
      <c r="M74" s="110">
        <f>-M208</f>
        <v>0.56715909090909089</v>
      </c>
      <c r="N74" s="534">
        <f>-N208</f>
        <v>6.2565909090909093</v>
      </c>
      <c r="O74" s="110">
        <f t="shared" si="43"/>
        <v>6.8237500000000004</v>
      </c>
      <c r="P74" s="206">
        <f t="shared" si="44"/>
        <v>11.656060606060606</v>
      </c>
    </row>
    <row r="75" spans="1:17" ht="12.75" customHeight="1">
      <c r="A75" s="1" t="s">
        <v>44</v>
      </c>
      <c r="E75" s="194"/>
      <c r="F75" s="195">
        <v>0</v>
      </c>
      <c r="G75" s="217">
        <v>0</v>
      </c>
      <c r="H75" s="178">
        <v>0</v>
      </c>
      <c r="I75" s="6">
        <v>0</v>
      </c>
      <c r="J75" s="427"/>
      <c r="K75" s="6">
        <f t="shared" si="42"/>
        <v>0</v>
      </c>
      <c r="L75" s="6">
        <v>0</v>
      </c>
      <c r="M75" s="6">
        <v>0</v>
      </c>
      <c r="N75" s="537">
        <f ca="1">'Recap-Fresh Start JE'!I60</f>
        <v>190.98044032237692</v>
      </c>
      <c r="O75" s="6">
        <f t="shared" ca="1" si="43"/>
        <v>190.98044032237692</v>
      </c>
      <c r="P75" s="206">
        <f t="shared" ca="1" si="44"/>
        <v>190.98044032237692</v>
      </c>
    </row>
    <row r="76" spans="1:17" ht="12.75" customHeight="1">
      <c r="A76" s="1" t="s">
        <v>93</v>
      </c>
      <c r="E76" s="194"/>
      <c r="F76" s="195">
        <v>0</v>
      </c>
      <c r="G76" s="217">
        <v>0</v>
      </c>
      <c r="H76" s="178">
        <v>0</v>
      </c>
      <c r="I76" s="6">
        <v>0</v>
      </c>
      <c r="J76" s="427"/>
      <c r="K76" s="6">
        <f t="shared" ref="K76" si="45">SUM(I76:J76)</f>
        <v>0</v>
      </c>
      <c r="L76" s="6">
        <v>0</v>
      </c>
      <c r="M76" s="6">
        <v>0</v>
      </c>
      <c r="N76" s="537">
        <f ca="1">-'Recap-Fresh Start JE'!J42</f>
        <v>-49.979175479026935</v>
      </c>
      <c r="O76" s="6">
        <f t="shared" ca="1" si="43"/>
        <v>-49.979175479026935</v>
      </c>
      <c r="P76" s="206">
        <f t="shared" ref="P76" ca="1" si="46">SUM(H76:J76,L76:N76)</f>
        <v>-49.979175479026935</v>
      </c>
    </row>
    <row r="77" spans="1:17" ht="12.75" customHeight="1">
      <c r="A77" s="1" t="s">
        <v>94</v>
      </c>
      <c r="E77" s="194"/>
      <c r="F77" s="199">
        <f>-SUM(F371:F372)+SUM(F376:F377)</f>
        <v>-1.7116711257348327</v>
      </c>
      <c r="G77" s="218">
        <f>-SUM(G371:G372)+SUM(G376:G377)</f>
        <v>-3.4653511854848609</v>
      </c>
      <c r="H77" s="289">
        <f>-SUM(H371:H372)+SUM(H376:H377)</f>
        <v>-0.87570441758787709</v>
      </c>
      <c r="I77" s="110">
        <f>-SUM(I371:I372)+SUM(I376:I377)</f>
        <v>-13.968271441776762</v>
      </c>
      <c r="J77" s="431">
        <f>-SUM(J371:J372)+SUM(J376:J377)</f>
        <v>-0.9770833333333333</v>
      </c>
      <c r="K77" s="110">
        <f t="shared" si="42"/>
        <v>-14.945354775110095</v>
      </c>
      <c r="L77" s="110">
        <f>-SUM(L371:L372)+SUM(L376:L377)</f>
        <v>-0.4862251566739893</v>
      </c>
      <c r="M77" s="110">
        <f>-SUM(M371:M372)+SUM(M376:M377)</f>
        <v>-0.48719900793650894</v>
      </c>
      <c r="N77" s="537">
        <f ca="1">-'Recap-Fresh Start Schedule'!Y22</f>
        <v>10.62706583092857</v>
      </c>
      <c r="O77" s="110">
        <f t="shared" ca="1" si="43"/>
        <v>10.139866822992062</v>
      </c>
      <c r="P77" s="206">
        <f t="shared" ca="1" si="44"/>
        <v>-6.1674175263799018</v>
      </c>
    </row>
    <row r="78" spans="1:17" ht="12.75" customHeight="1">
      <c r="A78" s="1" t="s">
        <v>95</v>
      </c>
      <c r="E78" s="194"/>
      <c r="F78" s="199">
        <f>F241</f>
        <v>9.9355603287671244</v>
      </c>
      <c r="G78" s="218">
        <f>G241</f>
        <v>8.156945975058008</v>
      </c>
      <c r="H78" s="289">
        <f>H241</f>
        <v>1.0353868463970741</v>
      </c>
      <c r="I78" s="110">
        <f>I241</f>
        <v>15.556434586041526</v>
      </c>
      <c r="J78" s="431"/>
      <c r="K78" s="110">
        <f t="shared" si="42"/>
        <v>15.556434586041526</v>
      </c>
      <c r="L78" s="110">
        <f>L241</f>
        <v>-19.705932687518278</v>
      </c>
      <c r="M78" s="110">
        <f>M241</f>
        <v>0.75446636647724574</v>
      </c>
      <c r="N78" s="421"/>
      <c r="O78" s="110">
        <f t="shared" si="43"/>
        <v>0.75446636647724574</v>
      </c>
      <c r="P78" s="206">
        <f t="shared" si="44"/>
        <v>-2.3596448886024319</v>
      </c>
    </row>
    <row r="79" spans="1:17" ht="12.75" customHeight="1">
      <c r="A79" s="28" t="s">
        <v>96</v>
      </c>
      <c r="B79" s="28"/>
      <c r="C79" s="17"/>
      <c r="D79" s="17"/>
      <c r="E79" s="623"/>
      <c r="F79" s="623">
        <f t="shared" ref="F79:P79" si="47">SUM(F72:F78)</f>
        <v>21.307864078767171</v>
      </c>
      <c r="G79" s="624">
        <f t="shared" si="47"/>
        <v>14.766097308391304</v>
      </c>
      <c r="H79" s="75">
        <f t="shared" si="47"/>
        <v>2.6358908463970785</v>
      </c>
      <c r="I79" s="625">
        <f t="shared" si="47"/>
        <v>-21.906170191736237</v>
      </c>
      <c r="J79" s="440">
        <f t="shared" si="47"/>
        <v>0</v>
      </c>
      <c r="K79" s="625">
        <f t="shared" si="47"/>
        <v>-21.906170191736237</v>
      </c>
      <c r="L79" s="625">
        <f t="shared" si="47"/>
        <v>-16.990061909740497</v>
      </c>
      <c r="M79" s="625">
        <f t="shared" si="47"/>
        <v>3.5080773888942698</v>
      </c>
      <c r="N79" s="440">
        <f t="shared" ca="1" si="47"/>
        <v>-11.999999999999988</v>
      </c>
      <c r="O79" s="625">
        <f t="shared" ca="1" si="47"/>
        <v>-8.4919226111057071</v>
      </c>
      <c r="P79" s="240">
        <f t="shared" ca="1" si="47"/>
        <v>-44.75226386618538</v>
      </c>
    </row>
    <row r="80" spans="1:17" s="2" customFormat="1" ht="12.75" customHeight="1">
      <c r="A80" s="17"/>
      <c r="B80" s="17"/>
      <c r="C80" s="17"/>
      <c r="D80" s="17"/>
      <c r="E80" s="243"/>
      <c r="F80" s="201"/>
      <c r="G80" s="237"/>
      <c r="H80" s="76"/>
      <c r="I80" s="77"/>
      <c r="J80" s="439"/>
      <c r="K80" s="77"/>
      <c r="L80" s="77"/>
      <c r="M80" s="77"/>
      <c r="N80" s="439"/>
      <c r="O80" s="77"/>
      <c r="P80" s="239"/>
    </row>
    <row r="81" spans="1:22" s="2" customFormat="1" ht="12.75" customHeight="1">
      <c r="A81" s="7" t="s">
        <v>97</v>
      </c>
      <c r="B81" s="7"/>
      <c r="C81" s="16"/>
      <c r="D81" s="16"/>
      <c r="E81" s="196"/>
      <c r="F81" s="196">
        <f>-F291</f>
        <v>-22.462503000000002</v>
      </c>
      <c r="G81" s="244">
        <f>-G291</f>
        <v>-17.760999999999999</v>
      </c>
      <c r="H81" s="78">
        <f>-H291</f>
        <v>-1.385</v>
      </c>
      <c r="I81" s="79">
        <f>-I291</f>
        <v>-3.6282000000000001</v>
      </c>
      <c r="J81" s="418"/>
      <c r="K81" s="79">
        <f t="shared" ref="K81:K82" si="48">SUM(I81:J81)</f>
        <v>-3.6282000000000001</v>
      </c>
      <c r="L81" s="79">
        <f>-L291</f>
        <v>-3.9606509999999999</v>
      </c>
      <c r="M81" s="79">
        <f>-M291</f>
        <v>-3.6285189999999998</v>
      </c>
      <c r="N81" s="418"/>
      <c r="O81" s="79">
        <f t="shared" ref="O81:O82" si="49">SUM(M81:N81)</f>
        <v>-3.6285189999999998</v>
      </c>
      <c r="P81" s="251">
        <f t="shared" ref="P81:P82" si="50">SUM(H81:J81,L81:N81)</f>
        <v>-12.602370000000001</v>
      </c>
    </row>
    <row r="82" spans="1:22" s="16" customFormat="1" ht="12.75" customHeight="1">
      <c r="A82" s="7" t="s">
        <v>98</v>
      </c>
      <c r="B82" s="7"/>
      <c r="E82" s="196"/>
      <c r="F82" s="245">
        <v>0</v>
      </c>
      <c r="G82" s="246">
        <v>0</v>
      </c>
      <c r="H82" s="78">
        <v>0</v>
      </c>
      <c r="I82" s="79">
        <v>0</v>
      </c>
      <c r="J82" s="418"/>
      <c r="K82" s="79">
        <f t="shared" si="48"/>
        <v>0</v>
      </c>
      <c r="L82" s="79">
        <v>0</v>
      </c>
      <c r="M82" s="79">
        <f ca="1">SUM(H82:N82)</f>
        <v>0</v>
      </c>
      <c r="N82" s="418"/>
      <c r="O82" s="79">
        <f t="shared" ca="1" si="49"/>
        <v>0</v>
      </c>
      <c r="P82" s="251">
        <f t="shared" ca="1" si="50"/>
        <v>0</v>
      </c>
    </row>
    <row r="83" spans="1:22" s="16" customFormat="1" ht="12.75" customHeight="1">
      <c r="A83" s="31" t="s">
        <v>99</v>
      </c>
      <c r="B83" s="31"/>
      <c r="C83" s="17"/>
      <c r="D83" s="17"/>
      <c r="E83" s="623"/>
      <c r="F83" s="623">
        <f t="shared" ref="F83" si="51">SUM(F81:F82)</f>
        <v>-22.462503000000002</v>
      </c>
      <c r="G83" s="624">
        <f t="shared" ref="G83:P83" si="52">SUM(G81:G82)</f>
        <v>-17.760999999999999</v>
      </c>
      <c r="H83" s="75">
        <f>SUM(H81:H82)</f>
        <v>-1.385</v>
      </c>
      <c r="I83" s="625">
        <f>SUM(I81:I82)</f>
        <v>-3.6282000000000001</v>
      </c>
      <c r="J83" s="440"/>
      <c r="K83" s="625">
        <f>SUM(K81:K82)</f>
        <v>-3.6282000000000001</v>
      </c>
      <c r="L83" s="625">
        <f>SUM(L81:L82)</f>
        <v>-3.9606509999999999</v>
      </c>
      <c r="M83" s="625">
        <f ca="1">SUM(M81:M82)</f>
        <v>-3.6285189999999998</v>
      </c>
      <c r="N83" s="440">
        <f>SUM(N81:N82)</f>
        <v>0</v>
      </c>
      <c r="O83" s="625">
        <f ca="1">SUM(O81:O82)</f>
        <v>-3.6285189999999998</v>
      </c>
      <c r="P83" s="240">
        <f t="shared" ca="1" si="52"/>
        <v>-12.602370000000001</v>
      </c>
    </row>
    <row r="84" spans="1:22" s="2" customFormat="1" ht="12.75" customHeight="1">
      <c r="A84" s="22"/>
      <c r="B84" s="22"/>
      <c r="C84" s="17"/>
      <c r="D84" s="17"/>
      <c r="E84" s="243"/>
      <c r="F84" s="201"/>
      <c r="G84" s="237"/>
      <c r="H84" s="76"/>
      <c r="I84" s="77"/>
      <c r="J84" s="439"/>
      <c r="K84" s="77"/>
      <c r="L84" s="77"/>
      <c r="M84" s="77"/>
      <c r="N84" s="439"/>
      <c r="O84" s="77"/>
      <c r="P84" s="239"/>
      <c r="V84" s="16"/>
    </row>
    <row r="85" spans="1:22" s="2" customFormat="1" ht="12.75" customHeight="1">
      <c r="A85" s="21" t="s">
        <v>100</v>
      </c>
      <c r="B85" s="21"/>
      <c r="C85" s="1"/>
      <c r="D85" s="1"/>
      <c r="E85" s="194"/>
      <c r="F85" s="199">
        <f>F155</f>
        <v>-20</v>
      </c>
      <c r="G85" s="218">
        <f>G155</f>
        <v>-20</v>
      </c>
      <c r="H85" s="289">
        <f>H155</f>
        <v>-5</v>
      </c>
      <c r="I85" s="110">
        <f>I155</f>
        <v>0</v>
      </c>
      <c r="J85" s="431">
        <f>J105+J113+J121+J130+J138</f>
        <v>20</v>
      </c>
      <c r="K85" s="110">
        <f t="shared" ref="K85:K89" si="53">SUM(I85:J85)</f>
        <v>20</v>
      </c>
      <c r="L85" s="110">
        <f>L155</f>
        <v>0</v>
      </c>
      <c r="M85" s="110">
        <f>M155</f>
        <v>0</v>
      </c>
      <c r="N85" s="535">
        <f>N155</f>
        <v>-50</v>
      </c>
      <c r="O85" s="110">
        <f t="shared" ref="O85:O89" si="54">SUM(M85:N85)</f>
        <v>-50</v>
      </c>
      <c r="P85" s="206">
        <f t="shared" ref="P85:P89" si="55">SUM(H85:J85,L85:N85)</f>
        <v>-35</v>
      </c>
    </row>
    <row r="86" spans="1:22" ht="12.75" customHeight="1">
      <c r="A86" s="21" t="s">
        <v>101</v>
      </c>
      <c r="B86" s="21"/>
      <c r="E86" s="194"/>
      <c r="F86" s="195">
        <v>0</v>
      </c>
      <c r="G86" s="217">
        <v>0</v>
      </c>
      <c r="H86" s="62">
        <v>0</v>
      </c>
      <c r="I86" s="63">
        <v>0</v>
      </c>
      <c r="J86" s="421"/>
      <c r="K86" s="63">
        <f t="shared" si="53"/>
        <v>0</v>
      </c>
      <c r="L86" s="63">
        <v>0</v>
      </c>
      <c r="M86" s="63">
        <v>0</v>
      </c>
      <c r="N86" s="603">
        <v>0</v>
      </c>
      <c r="O86" s="63">
        <f t="shared" si="54"/>
        <v>0</v>
      </c>
      <c r="P86" s="206">
        <f t="shared" si="55"/>
        <v>0</v>
      </c>
    </row>
    <row r="87" spans="1:22" ht="12.75" customHeight="1">
      <c r="A87" s="7" t="s">
        <v>102</v>
      </c>
      <c r="B87" s="7"/>
      <c r="C87" s="16"/>
      <c r="D87" s="16"/>
      <c r="E87" s="196"/>
      <c r="F87" s="196">
        <f>-F207</f>
        <v>0</v>
      </c>
      <c r="G87" s="244">
        <f>-G207</f>
        <v>0</v>
      </c>
      <c r="H87" s="97">
        <f>-H207</f>
        <v>0</v>
      </c>
      <c r="I87" s="16">
        <f>-I207</f>
        <v>0</v>
      </c>
      <c r="J87" s="418">
        <f>-J207</f>
        <v>-4.05</v>
      </c>
      <c r="K87" s="63">
        <f t="shared" si="53"/>
        <v>-4.05</v>
      </c>
      <c r="L87" s="16">
        <f>-L207</f>
        <v>0</v>
      </c>
      <c r="M87" s="16">
        <f>-M207</f>
        <v>0</v>
      </c>
      <c r="N87" s="536">
        <f>-N207</f>
        <v>-9.6250000000000018</v>
      </c>
      <c r="O87" s="63">
        <f t="shared" si="54"/>
        <v>-9.6250000000000018</v>
      </c>
      <c r="P87" s="206">
        <f t="shared" si="55"/>
        <v>-13.675000000000001</v>
      </c>
    </row>
    <row r="88" spans="1:22" s="16" customFormat="1" ht="12.75" customHeight="1">
      <c r="A88" s="7" t="s">
        <v>103</v>
      </c>
      <c r="B88" s="7"/>
      <c r="E88" s="196"/>
      <c r="F88" s="196"/>
      <c r="G88" s="244"/>
      <c r="H88" s="97"/>
      <c r="J88" s="418"/>
      <c r="K88" s="63"/>
      <c r="N88" s="602">
        <f>-'Recap-Fresh Start JE'!I21</f>
        <v>-1.5</v>
      </c>
      <c r="O88" s="68"/>
      <c r="P88" s="206"/>
    </row>
    <row r="89" spans="1:22" ht="12.75" customHeight="1">
      <c r="A89" s="21" t="s">
        <v>104</v>
      </c>
      <c r="B89" s="21"/>
      <c r="E89" s="194"/>
      <c r="F89" s="245">
        <v>0</v>
      </c>
      <c r="G89" s="246">
        <v>0</v>
      </c>
      <c r="H89" s="326">
        <v>0</v>
      </c>
      <c r="I89" s="23">
        <v>0</v>
      </c>
      <c r="J89" s="421"/>
      <c r="K89" s="63">
        <f t="shared" si="53"/>
        <v>0</v>
      </c>
      <c r="L89" s="23">
        <v>0</v>
      </c>
      <c r="M89" s="23">
        <v>0</v>
      </c>
      <c r="N89" s="537">
        <f>'Recap-Fresh Start JE'!I17</f>
        <v>50</v>
      </c>
      <c r="O89" s="63">
        <f t="shared" si="54"/>
        <v>50</v>
      </c>
      <c r="P89" s="206">
        <f t="shared" si="55"/>
        <v>50</v>
      </c>
    </row>
    <row r="90" spans="1:22" s="2" customFormat="1" ht="12.75" customHeight="1">
      <c r="A90" s="31" t="s">
        <v>105</v>
      </c>
      <c r="B90" s="31"/>
      <c r="C90" s="17"/>
      <c r="D90" s="17"/>
      <c r="E90" s="623"/>
      <c r="F90" s="623">
        <f t="shared" ref="F90:P90" si="56">SUM(F85:F89)</f>
        <v>-20</v>
      </c>
      <c r="G90" s="624">
        <f t="shared" si="56"/>
        <v>-20</v>
      </c>
      <c r="H90" s="75">
        <f t="shared" si="56"/>
        <v>-5</v>
      </c>
      <c r="I90" s="625">
        <f t="shared" si="56"/>
        <v>0</v>
      </c>
      <c r="J90" s="440">
        <f t="shared" si="56"/>
        <v>15.95</v>
      </c>
      <c r="K90" s="625">
        <f t="shared" si="56"/>
        <v>15.95</v>
      </c>
      <c r="L90" s="625">
        <f t="shared" si="56"/>
        <v>0</v>
      </c>
      <c r="M90" s="625">
        <f t="shared" si="56"/>
        <v>0</v>
      </c>
      <c r="N90" s="440">
        <f t="shared" si="56"/>
        <v>-11.125</v>
      </c>
      <c r="O90" s="625">
        <f t="shared" si="56"/>
        <v>-9.625</v>
      </c>
      <c r="P90" s="240">
        <f t="shared" si="56"/>
        <v>1.3250000000000028</v>
      </c>
    </row>
    <row r="91" spans="1:22" ht="12.75" customHeight="1">
      <c r="E91" s="194"/>
      <c r="F91" s="194"/>
      <c r="G91" s="228"/>
      <c r="H91" s="62"/>
      <c r="I91" s="63"/>
      <c r="J91" s="421"/>
      <c r="K91" s="63"/>
      <c r="L91" s="63"/>
      <c r="M91" s="63"/>
      <c r="N91" s="421"/>
      <c r="O91" s="63"/>
      <c r="P91" s="206"/>
    </row>
    <row r="92" spans="1:22" ht="12.75" customHeight="1">
      <c r="A92" s="21" t="s">
        <v>106</v>
      </c>
      <c r="B92" s="21"/>
      <c r="E92" s="194"/>
      <c r="F92" s="199">
        <f>E94</f>
        <v>141.69999999999999</v>
      </c>
      <c r="G92" s="199">
        <f>F94</f>
        <v>120.54536107876716</v>
      </c>
      <c r="H92" s="62">
        <f>G94</f>
        <v>97.550458387158471</v>
      </c>
      <c r="I92" s="63">
        <f t="shared" ref="I92:M92" si="57">H94</f>
        <v>93.801349233555555</v>
      </c>
      <c r="J92" s="421"/>
      <c r="K92" s="63">
        <f>H94</f>
        <v>93.801349233555555</v>
      </c>
      <c r="L92" s="63">
        <f>K94</f>
        <v>84.216979041819314</v>
      </c>
      <c r="M92" s="63">
        <f t="shared" si="57"/>
        <v>63.266266132078819</v>
      </c>
      <c r="N92" s="421"/>
      <c r="O92" s="63">
        <f>L94</f>
        <v>63.266266132078819</v>
      </c>
      <c r="P92" s="206">
        <f>H92</f>
        <v>97.550458387158471</v>
      </c>
    </row>
    <row r="93" spans="1:22" ht="12.75" customHeight="1">
      <c r="A93" s="21" t="s">
        <v>107</v>
      </c>
      <c r="B93" s="21"/>
      <c r="E93" s="194"/>
      <c r="F93" s="194">
        <f>F90+F83+F79</f>
        <v>-21.154638921232827</v>
      </c>
      <c r="G93" s="228">
        <f>G90+G83+G79</f>
        <v>-22.994902691608694</v>
      </c>
      <c r="H93" s="62">
        <f>H90+H83+H79</f>
        <v>-3.7491091536029213</v>
      </c>
      <c r="I93" s="63">
        <f>I90+I83+I79</f>
        <v>-25.534370191736237</v>
      </c>
      <c r="J93" s="421">
        <f>SUM(J72:J78,J81:J82,J85:J89)</f>
        <v>15.95</v>
      </c>
      <c r="K93" s="63">
        <f t="shared" ref="K93" si="58">SUM(I93:J93)</f>
        <v>-9.5843701917362374</v>
      </c>
      <c r="L93" s="63">
        <f>L90+L83+L79</f>
        <v>-20.950712909740496</v>
      </c>
      <c r="M93" s="63">
        <f ca="1">M90+M83+M79</f>
        <v>-0.12044161110573004</v>
      </c>
      <c r="N93" s="446">
        <f ca="1">N90+N83+N79</f>
        <v>-23.124999999999986</v>
      </c>
      <c r="O93" s="63">
        <f ca="1">SUM(M93:N93)</f>
        <v>-23.245441611105715</v>
      </c>
      <c r="P93" s="206">
        <f t="shared" ref="P93" ca="1" si="59">SUM(H93:J93,L93:N93)</f>
        <v>-57.529633866185378</v>
      </c>
    </row>
    <row r="94" spans="1:22" s="2" customFormat="1" ht="12.75" customHeight="1" thickBot="1">
      <c r="A94" s="31" t="s">
        <v>108</v>
      </c>
      <c r="B94" s="31"/>
      <c r="C94" s="17"/>
      <c r="D94" s="17"/>
      <c r="E94" s="200">
        <f>E36</f>
        <v>141.69999999999999</v>
      </c>
      <c r="F94" s="200">
        <f>SUM(F92:F93)</f>
        <v>120.54536107876716</v>
      </c>
      <c r="G94" s="236">
        <f>SUM(G92:G93)</f>
        <v>97.550458387158471</v>
      </c>
      <c r="H94" s="69">
        <f t="shared" ref="H94:I94" si="60">SUM(H92:H93)</f>
        <v>93.801349233555555</v>
      </c>
      <c r="I94" s="70">
        <f t="shared" si="60"/>
        <v>68.266979041819326</v>
      </c>
      <c r="J94" s="452"/>
      <c r="K94" s="70">
        <f t="shared" ref="K94:L94" si="61">SUM(K92:K93)</f>
        <v>84.216979041819314</v>
      </c>
      <c r="L94" s="70">
        <f t="shared" si="61"/>
        <v>63.266266132078819</v>
      </c>
      <c r="M94" s="70">
        <f ca="1">SUM(M92:M93)</f>
        <v>63.145824520973086</v>
      </c>
      <c r="N94" s="452"/>
      <c r="O94" s="70">
        <f t="shared" ref="O94" ca="1" si="62">SUM(O92:O93)</f>
        <v>40.020824520973107</v>
      </c>
      <c r="P94" s="238">
        <f t="shared" ref="P94" ca="1" si="63">SUM(P92:P93)</f>
        <v>40.020824520973093</v>
      </c>
      <c r="Q94" s="99">
        <f ca="1">P36-P94</f>
        <v>0</v>
      </c>
    </row>
    <row r="95" spans="1:22" ht="12.75" customHeight="1" thickTop="1"/>
    <row r="96" spans="1:22" ht="12.75" customHeight="1"/>
    <row r="97" spans="1:19" ht="12.75" customHeight="1">
      <c r="A97" s="93" t="s">
        <v>109</v>
      </c>
      <c r="B97" s="93"/>
      <c r="C97" s="93"/>
      <c r="D97" s="93"/>
      <c r="E97" s="93"/>
      <c r="F97" s="93"/>
      <c r="G97" s="93"/>
      <c r="H97" s="93"/>
      <c r="I97" s="93"/>
      <c r="J97" s="93"/>
      <c r="K97" s="93"/>
      <c r="L97" s="93"/>
      <c r="M97" s="93"/>
      <c r="N97" s="93"/>
      <c r="O97" s="93"/>
      <c r="P97" s="93"/>
      <c r="S97" s="16"/>
    </row>
    <row r="98" spans="1:19" ht="12.75" customHeight="1" thickBot="1">
      <c r="A98" s="11"/>
      <c r="B98" s="11"/>
      <c r="C98" s="13"/>
      <c r="D98" s="13"/>
      <c r="E98" s="4"/>
      <c r="F98" s="4"/>
      <c r="G98" s="4"/>
      <c r="H98" s="13"/>
      <c r="I98" s="13"/>
      <c r="J98" s="13"/>
      <c r="K98" s="13"/>
      <c r="L98" s="13"/>
      <c r="M98" s="13"/>
      <c r="N98" s="13"/>
      <c r="O98" s="13"/>
      <c r="P98" s="13"/>
    </row>
    <row r="99" spans="1:19" ht="12.75" customHeight="1">
      <c r="A99" s="94"/>
      <c r="B99" s="63"/>
      <c r="C99" s="63"/>
      <c r="D99" s="63"/>
      <c r="E99" s="604">
        <f>E$8</f>
        <v>43465</v>
      </c>
      <c r="F99" s="604">
        <f t="shared" ref="F99:P99" si="64">F$8</f>
        <v>43830</v>
      </c>
      <c r="G99" s="605">
        <f t="shared" si="64"/>
        <v>44196</v>
      </c>
      <c r="H99" s="606">
        <f t="shared" si="64"/>
        <v>44286</v>
      </c>
      <c r="I99" s="607">
        <f t="shared" si="64"/>
        <v>44377</v>
      </c>
      <c r="J99" s="608" t="str">
        <f t="shared" si="64"/>
        <v>FILING</v>
      </c>
      <c r="K99" s="609">
        <f t="shared" si="64"/>
        <v>44377</v>
      </c>
      <c r="L99" s="607">
        <f t="shared" si="64"/>
        <v>44469</v>
      </c>
      <c r="M99" s="607">
        <f>M$8</f>
        <v>44561</v>
      </c>
      <c r="N99" s="610" t="str">
        <f>N$8</f>
        <v>Adjustments</v>
      </c>
      <c r="O99" s="609">
        <f t="shared" si="64"/>
        <v>44561</v>
      </c>
      <c r="P99" s="611">
        <f t="shared" si="64"/>
        <v>44561</v>
      </c>
    </row>
    <row r="100" spans="1:19" ht="12.75" customHeight="1">
      <c r="A100" s="94"/>
      <c r="B100" s="63"/>
      <c r="C100" s="63"/>
      <c r="D100" s="63"/>
      <c r="E100" s="628"/>
      <c r="F100" s="628"/>
      <c r="G100" s="629"/>
      <c r="H100" s="62"/>
      <c r="I100" s="63"/>
      <c r="J100" s="421"/>
      <c r="K100" s="63"/>
      <c r="L100" s="63"/>
      <c r="M100" s="63"/>
      <c r="N100" s="421"/>
      <c r="O100" s="63"/>
      <c r="P100" s="219"/>
    </row>
    <row r="101" spans="1:19" ht="12.75" customHeight="1">
      <c r="A101" s="79" t="s">
        <v>110</v>
      </c>
      <c r="B101" s="63"/>
      <c r="C101" s="63"/>
      <c r="D101" s="63"/>
      <c r="E101" s="213">
        <v>1.5599999999999999E-2</v>
      </c>
      <c r="F101" s="213">
        <v>2.7369999999999998E-2</v>
      </c>
      <c r="G101" s="214">
        <v>5.8100000000000001E-3</v>
      </c>
      <c r="H101" s="191">
        <v>2.9199999999999999E-3</v>
      </c>
      <c r="I101" s="190">
        <v>5.3400000000000001E-3</v>
      </c>
      <c r="J101" s="437"/>
      <c r="K101" s="190"/>
      <c r="L101" s="190">
        <v>2.8999999999999998E-3</v>
      </c>
      <c r="M101" s="190">
        <v>3.0300000000000001E-3</v>
      </c>
      <c r="N101" s="437"/>
      <c r="O101" s="190"/>
      <c r="P101" s="396">
        <f>M101</f>
        <v>3.0300000000000001E-3</v>
      </c>
    </row>
    <row r="102" spans="1:19" ht="12.75" customHeight="1">
      <c r="A102" s="94"/>
      <c r="B102" s="63"/>
      <c r="C102" s="63"/>
      <c r="D102" s="63"/>
      <c r="E102" s="215"/>
      <c r="F102" s="215"/>
      <c r="G102" s="216"/>
      <c r="H102" s="188"/>
      <c r="I102" s="189"/>
      <c r="J102" s="428"/>
      <c r="K102" s="189"/>
      <c r="L102" s="189"/>
      <c r="M102" s="189"/>
      <c r="N102" s="426"/>
      <c r="O102" s="189"/>
      <c r="P102" s="220"/>
    </row>
    <row r="103" spans="1:19" ht="12.75" customHeight="1">
      <c r="A103" s="19" t="s">
        <v>111</v>
      </c>
      <c r="B103" s="20"/>
      <c r="E103" s="195"/>
      <c r="F103" s="195"/>
      <c r="G103" s="217"/>
      <c r="H103" s="95"/>
      <c r="J103" s="421"/>
      <c r="N103" s="421"/>
      <c r="P103" s="207"/>
    </row>
    <row r="104" spans="1:19" ht="12.75" customHeight="1">
      <c r="A104" s="39" t="s">
        <v>112</v>
      </c>
      <c r="B104" s="39"/>
      <c r="E104" s="195"/>
      <c r="F104" s="199">
        <f>E106</f>
        <v>250</v>
      </c>
      <c r="G104" s="218">
        <f>F106</f>
        <v>230</v>
      </c>
      <c r="H104" s="95">
        <f>G106</f>
        <v>210</v>
      </c>
      <c r="I104" s="1">
        <f>H106</f>
        <v>205</v>
      </c>
      <c r="J104" s="421"/>
      <c r="K104" s="1">
        <f>H106</f>
        <v>205</v>
      </c>
      <c r="L104" s="1">
        <f>K106</f>
        <v>0</v>
      </c>
      <c r="M104" s="1">
        <f>L106</f>
        <v>0</v>
      </c>
      <c r="N104" s="421"/>
      <c r="O104" s="1">
        <f>L106</f>
        <v>0</v>
      </c>
      <c r="P104" s="207">
        <f>H104</f>
        <v>210</v>
      </c>
    </row>
    <row r="105" spans="1:19" ht="12.75" customHeight="1">
      <c r="A105" s="39" t="s">
        <v>113</v>
      </c>
      <c r="B105" s="39"/>
      <c r="D105" s="36"/>
      <c r="E105" s="195"/>
      <c r="F105" s="199">
        <f>-MIN($R105*4,F104)</f>
        <v>-20</v>
      </c>
      <c r="G105" s="218">
        <f>-MIN($R105*4,G104)</f>
        <v>-20</v>
      </c>
      <c r="H105" s="95">
        <f>-MIN($R105,H104)</f>
        <v>-5</v>
      </c>
      <c r="I105" s="1">
        <f>-MIN(I104,I130)</f>
        <v>0</v>
      </c>
      <c r="J105" s="421">
        <f>-I106</f>
        <v>-205</v>
      </c>
      <c r="K105" s="110">
        <f>SUM(I105:J105)</f>
        <v>-205</v>
      </c>
      <c r="L105" s="1">
        <f>-MIN($R105,L104)</f>
        <v>0</v>
      </c>
      <c r="M105" s="1">
        <f>-MIN($R105,M104)</f>
        <v>0</v>
      </c>
      <c r="N105" s="421"/>
      <c r="O105" s="110">
        <f>SUM(M105:N105)</f>
        <v>0</v>
      </c>
      <c r="P105" s="207">
        <f>SUM(H105:J105,L105:N105)</f>
        <v>-210</v>
      </c>
      <c r="R105" s="229">
        <v>5</v>
      </c>
      <c r="S105" s="1" t="s">
        <v>114</v>
      </c>
    </row>
    <row r="106" spans="1:19" ht="12.75" customHeight="1">
      <c r="A106" s="40" t="s">
        <v>115</v>
      </c>
      <c r="B106" s="40"/>
      <c r="E106" s="628">
        <v>250</v>
      </c>
      <c r="F106" s="630">
        <f>SUM(F104:F105)</f>
        <v>230</v>
      </c>
      <c r="G106" s="631">
        <f>SUM(G104:G105)</f>
        <v>210</v>
      </c>
      <c r="H106" s="185">
        <f t="shared" ref="H106:P106" si="65">SUM(H104:H105)</f>
        <v>205</v>
      </c>
      <c r="I106" s="632">
        <f t="shared" ref="I106:L106" si="66">SUM(I104:I105)</f>
        <v>205</v>
      </c>
      <c r="J106" s="435"/>
      <c r="K106" s="632">
        <f t="shared" ref="K106" si="67">SUM(K104:K105)</f>
        <v>0</v>
      </c>
      <c r="L106" s="632">
        <f t="shared" si="66"/>
        <v>0</v>
      </c>
      <c r="M106" s="632">
        <f>SUM(M104:M105)</f>
        <v>0</v>
      </c>
      <c r="N106" s="435"/>
      <c r="O106" s="632">
        <f t="shared" ref="O106" si="68">SUM(O104:O105)</f>
        <v>0</v>
      </c>
      <c r="P106" s="222">
        <f t="shared" si="65"/>
        <v>0</v>
      </c>
    </row>
    <row r="107" spans="1:19" ht="4.5" customHeight="1">
      <c r="A107" s="39"/>
      <c r="B107" s="39"/>
      <c r="E107" s="195"/>
      <c r="F107" s="195"/>
      <c r="G107" s="217"/>
      <c r="H107" s="95"/>
      <c r="J107" s="421"/>
      <c r="N107" s="421"/>
      <c r="P107" s="207"/>
    </row>
    <row r="108" spans="1:19" ht="12.75" customHeight="1">
      <c r="A108" s="39" t="s">
        <v>116</v>
      </c>
      <c r="D108" s="35"/>
      <c r="E108" s="195"/>
      <c r="F108" s="231">
        <f>$R$108+MAX(F$101,$R$109)</f>
        <v>7.236999999999999E-2</v>
      </c>
      <c r="G108" s="232">
        <f>$R$108+MAX(G$101,$R$109)</f>
        <v>0.06</v>
      </c>
      <c r="H108" s="233">
        <f>$R$108+MAX(H$101,$R$109)</f>
        <v>0.06</v>
      </c>
      <c r="I108" s="234">
        <f>$R$108+MAX(I$101,$R$109)</f>
        <v>0.06</v>
      </c>
      <c r="J108" s="438"/>
      <c r="K108" s="234"/>
      <c r="L108" s="234">
        <f>$R$108+MAX(L$101,$R$109)</f>
        <v>0.06</v>
      </c>
      <c r="M108" s="234">
        <f>$R$108+MAX(M$101,$R$109)</f>
        <v>0.06</v>
      </c>
      <c r="N108" s="442"/>
      <c r="O108" s="234"/>
      <c r="P108" s="230"/>
      <c r="R108" s="633">
        <v>4.4999999999999998E-2</v>
      </c>
      <c r="S108" s="16" t="s">
        <v>117</v>
      </c>
    </row>
    <row r="109" spans="1:19" ht="12.75" customHeight="1">
      <c r="A109" s="39" t="s">
        <v>11</v>
      </c>
      <c r="D109" s="35"/>
      <c r="E109" s="195"/>
      <c r="F109" s="194">
        <f>(91/360*F104+91/360*(F104-$R105)+92/360*(F104-$R105*2)+92/360*(F104-$R105*3))*F108</f>
        <v>17.840210138888885</v>
      </c>
      <c r="G109" s="228">
        <f>(90/360*G104+91/360*(G104-$R105)+92/360*(G104-$R105*2)+92/360*(G104-$R105*3))*G108</f>
        <v>13.532500000000001</v>
      </c>
      <c r="H109" s="95">
        <f>H104*H108*(H$99-G$99)/360</f>
        <v>3.15</v>
      </c>
      <c r="I109" s="1">
        <f>I104*I108*(I$99-H$99)/360</f>
        <v>3.1091666666666664</v>
      </c>
      <c r="J109" s="421"/>
      <c r="L109" s="1">
        <f>L104*L108*(L$99-I$99)/360</f>
        <v>0</v>
      </c>
      <c r="M109" s="1">
        <f>M104*M108*(M$99-L$99)/360</f>
        <v>0</v>
      </c>
      <c r="N109" s="421"/>
      <c r="P109" s="207">
        <f>SUM(H109:N109)</f>
        <v>6.2591666666666663</v>
      </c>
      <c r="R109" s="235">
        <v>1.4999999999999999E-2</v>
      </c>
      <c r="S109" s="16" t="s">
        <v>118</v>
      </c>
    </row>
    <row r="110" spans="1:19" ht="12.75" customHeight="1">
      <c r="A110" s="39"/>
      <c r="E110" s="195"/>
      <c r="F110" s="195"/>
      <c r="G110" s="217"/>
      <c r="H110" s="95"/>
      <c r="J110" s="421"/>
      <c r="N110" s="421"/>
      <c r="P110" s="207"/>
    </row>
    <row r="111" spans="1:19" ht="12.75" customHeight="1">
      <c r="A111" s="19" t="s">
        <v>119</v>
      </c>
      <c r="B111" s="20"/>
      <c r="C111" s="44"/>
      <c r="E111" s="195"/>
      <c r="F111" s="195"/>
      <c r="G111" s="217"/>
      <c r="H111" s="95"/>
      <c r="J111" s="421"/>
      <c r="N111" s="421"/>
      <c r="P111" s="207"/>
    </row>
    <row r="112" spans="1:19" ht="12.75" customHeight="1">
      <c r="A112" s="39" t="s">
        <v>112</v>
      </c>
      <c r="B112" s="39"/>
      <c r="C112" s="44"/>
      <c r="E112" s="195"/>
      <c r="F112" s="199">
        <f>E114</f>
        <v>100</v>
      </c>
      <c r="G112" s="218">
        <f>F114</f>
        <v>100</v>
      </c>
      <c r="H112" s="95">
        <f>G114</f>
        <v>100</v>
      </c>
      <c r="I112" s="1">
        <f>H114</f>
        <v>100</v>
      </c>
      <c r="J112" s="421"/>
      <c r="K112" s="1">
        <f>H114</f>
        <v>100</v>
      </c>
      <c r="L112" s="1">
        <f>K114</f>
        <v>100</v>
      </c>
      <c r="M112" s="1">
        <f>L114</f>
        <v>100</v>
      </c>
      <c r="N112" s="421"/>
      <c r="O112" s="1">
        <f>L114</f>
        <v>100</v>
      </c>
      <c r="P112" s="207">
        <f>H112</f>
        <v>100</v>
      </c>
    </row>
    <row r="113" spans="1:19" ht="12.75" customHeight="1">
      <c r="A113" s="39" t="s">
        <v>113</v>
      </c>
      <c r="B113" s="39"/>
      <c r="C113" s="44"/>
      <c r="E113" s="195"/>
      <c r="F113" s="199">
        <f>-MIN($R113*4,F112)</f>
        <v>0</v>
      </c>
      <c r="G113" s="218">
        <f>-MIN($R113*4,G112)</f>
        <v>0</v>
      </c>
      <c r="H113" s="95">
        <f>-MIN($R113,H112)</f>
        <v>0</v>
      </c>
      <c r="I113" s="1">
        <f>-MIN($R113,I112)</f>
        <v>0</v>
      </c>
      <c r="J113" s="421"/>
      <c r="K113" s="110">
        <f>SUM(I113:J113)</f>
        <v>0</v>
      </c>
      <c r="L113" s="1">
        <f>-MIN($R113,L112)</f>
        <v>0</v>
      </c>
      <c r="M113" s="1">
        <f>-MIN($R113,M112)</f>
        <v>0</v>
      </c>
      <c r="N113" s="443">
        <f>'Recap-Fresh Start Schedule'!V40-Financials!M114</f>
        <v>-100</v>
      </c>
      <c r="O113" s="110">
        <f>SUM(M113:N113)</f>
        <v>-100</v>
      </c>
      <c r="P113" s="207">
        <f>SUM(H113:J113,L113:N113)</f>
        <v>-100</v>
      </c>
      <c r="R113" s="229">
        <v>0</v>
      </c>
      <c r="S113" s="1" t="s">
        <v>114</v>
      </c>
    </row>
    <row r="114" spans="1:19" ht="12.75" customHeight="1">
      <c r="A114" s="40" t="s">
        <v>115</v>
      </c>
      <c r="B114" s="40"/>
      <c r="C114" s="44"/>
      <c r="E114" s="634">
        <v>100</v>
      </c>
      <c r="F114" s="630">
        <f>SUM(F112:F113)</f>
        <v>100</v>
      </c>
      <c r="G114" s="631">
        <f>SUM(G112:G113)</f>
        <v>100</v>
      </c>
      <c r="H114" s="185">
        <f t="shared" ref="H114:L114" si="69">SUM(H112:H113)</f>
        <v>100</v>
      </c>
      <c r="I114" s="632">
        <f t="shared" si="69"/>
        <v>100</v>
      </c>
      <c r="J114" s="435"/>
      <c r="K114" s="632">
        <f t="shared" ref="K114" si="70">SUM(K112:K113)</f>
        <v>100</v>
      </c>
      <c r="L114" s="632">
        <f t="shared" si="69"/>
        <v>100</v>
      </c>
      <c r="M114" s="632">
        <f>SUM(M112:M113)</f>
        <v>100</v>
      </c>
      <c r="N114" s="435"/>
      <c r="O114" s="632">
        <f>SUM(O112:O113)</f>
        <v>0</v>
      </c>
      <c r="P114" s="222">
        <f t="shared" ref="P114" si="71">SUM(P112:P113)</f>
        <v>0</v>
      </c>
    </row>
    <row r="115" spans="1:19" ht="4.5" customHeight="1">
      <c r="A115" s="39"/>
      <c r="E115" s="195"/>
      <c r="F115" s="195"/>
      <c r="G115" s="217"/>
      <c r="H115" s="95"/>
      <c r="J115" s="421"/>
      <c r="N115" s="421"/>
      <c r="P115" s="207"/>
    </row>
    <row r="116" spans="1:19" ht="12.75" customHeight="1">
      <c r="A116" s="39" t="s">
        <v>116</v>
      </c>
      <c r="D116" s="35"/>
      <c r="E116" s="195"/>
      <c r="F116" s="231">
        <f>$R$116+MAX(F$101,$R$117)</f>
        <v>9.7370000000000012E-2</v>
      </c>
      <c r="G116" s="232">
        <f>$R$116+MAX(G$101,$R$117)</f>
        <v>8.5000000000000006E-2</v>
      </c>
      <c r="H116" s="233">
        <f>$R$116+MAX(H$101,$R$117)</f>
        <v>8.5000000000000006E-2</v>
      </c>
      <c r="I116" s="234">
        <f>$R$116+MAX(I$101,$R$117)</f>
        <v>8.5000000000000006E-2</v>
      </c>
      <c r="J116" s="438"/>
      <c r="K116" s="234"/>
      <c r="L116" s="234">
        <f>$R$116+MAX(L$101,$R$117)</f>
        <v>8.5000000000000006E-2</v>
      </c>
      <c r="M116" s="234">
        <f>$R$116+MAX(M$101,$R$117)</f>
        <v>8.5000000000000006E-2</v>
      </c>
      <c r="N116" s="442"/>
      <c r="O116" s="234"/>
      <c r="P116" s="230"/>
      <c r="R116" s="633">
        <v>7.0000000000000007E-2</v>
      </c>
      <c r="S116" s="16" t="s">
        <v>117</v>
      </c>
    </row>
    <row r="117" spans="1:19" ht="12.75" customHeight="1">
      <c r="A117" s="39" t="s">
        <v>11</v>
      </c>
      <c r="E117" s="195"/>
      <c r="F117" s="194">
        <f>F112*F116*(F$99-E$99)/360</f>
        <v>9.8722361111111123</v>
      </c>
      <c r="G117" s="228">
        <f>G112*G116*(G$99-F$99)/360</f>
        <v>8.6416666666666675</v>
      </c>
      <c r="H117" s="95">
        <f>H112*H116*(H$99-G$99)/360</f>
        <v>2.125</v>
      </c>
      <c r="I117" s="1">
        <f>I112*I116*(I$99-H$99)/360</f>
        <v>2.1486111111111112</v>
      </c>
      <c r="J117" s="421"/>
      <c r="L117" s="1">
        <f>L112*L116*(L$99-I$99)/360</f>
        <v>2.1722222222222221</v>
      </c>
      <c r="M117" s="1">
        <f>M112*M116*(M$99-L$99)/360</f>
        <v>2.1722222222222221</v>
      </c>
      <c r="N117" s="421"/>
      <c r="P117" s="207">
        <f>SUM(H117:N117)</f>
        <v>8.6180555555555554</v>
      </c>
      <c r="R117" s="235">
        <v>1.4999999999999999E-2</v>
      </c>
      <c r="S117" s="16" t="s">
        <v>118</v>
      </c>
    </row>
    <row r="118" spans="1:19" ht="12.75" customHeight="1">
      <c r="B118" s="16"/>
      <c r="C118" s="103"/>
      <c r="E118" s="195"/>
      <c r="F118" s="195"/>
      <c r="G118" s="217"/>
      <c r="H118" s="95"/>
      <c r="J118" s="421"/>
      <c r="N118" s="421"/>
      <c r="P118" s="207"/>
    </row>
    <row r="119" spans="1:19" ht="12.75" customHeight="1">
      <c r="A119" s="19" t="s">
        <v>120</v>
      </c>
      <c r="B119" s="20"/>
      <c r="C119" s="44"/>
      <c r="E119" s="195"/>
      <c r="F119" s="195"/>
      <c r="G119" s="217"/>
      <c r="H119" s="187"/>
      <c r="I119" s="3"/>
      <c r="J119" s="417"/>
      <c r="K119" s="3"/>
      <c r="L119" s="3"/>
      <c r="M119" s="3"/>
      <c r="N119" s="417"/>
      <c r="O119" s="3"/>
      <c r="P119" s="223"/>
    </row>
    <row r="120" spans="1:19" ht="12.75" customHeight="1">
      <c r="A120" s="39" t="s">
        <v>112</v>
      </c>
      <c r="B120" s="39"/>
      <c r="C120" s="44"/>
      <c r="E120" s="195"/>
      <c r="F120" s="199">
        <f>E123</f>
        <v>200</v>
      </c>
      <c r="G120" s="218">
        <f>F123</f>
        <v>200</v>
      </c>
      <c r="H120" s="95">
        <f>G123</f>
        <v>200</v>
      </c>
      <c r="I120" s="1">
        <f>H123</f>
        <v>200</v>
      </c>
      <c r="J120" s="421"/>
      <c r="K120" s="1">
        <f>H123</f>
        <v>200</v>
      </c>
      <c r="L120" s="1">
        <f>K123</f>
        <v>200</v>
      </c>
      <c r="M120" s="1">
        <f>L123</f>
        <v>200</v>
      </c>
      <c r="N120" s="421"/>
      <c r="O120" s="1">
        <f>L123</f>
        <v>200</v>
      </c>
      <c r="P120" s="207">
        <f>H120</f>
        <v>200</v>
      </c>
    </row>
    <row r="121" spans="1:19" ht="12.75" customHeight="1">
      <c r="A121" s="39" t="s">
        <v>113</v>
      </c>
      <c r="B121" s="39"/>
      <c r="C121" s="44"/>
      <c r="E121" s="195"/>
      <c r="F121" s="195">
        <v>0</v>
      </c>
      <c r="G121" s="217">
        <v>0</v>
      </c>
      <c r="H121" s="178">
        <v>0</v>
      </c>
      <c r="I121" s="6">
        <v>0</v>
      </c>
      <c r="J121" s="427"/>
      <c r="K121" s="110">
        <f t="shared" ref="K121" si="72">SUM(I121:J121)</f>
        <v>0</v>
      </c>
      <c r="L121" s="6">
        <v>0</v>
      </c>
      <c r="M121" s="6">
        <v>0</v>
      </c>
      <c r="N121" s="443">
        <f>'Recap-Fresh Start Schedule'!V41-M123</f>
        <v>-200</v>
      </c>
      <c r="O121" s="110">
        <f t="shared" ref="O121" si="73">SUM(M121:N121)</f>
        <v>-200</v>
      </c>
      <c r="P121" s="207">
        <f>SUM(H121:J121,L121:N121)</f>
        <v>-200</v>
      </c>
    </row>
    <row r="122" spans="1:19" ht="12.75" customHeight="1">
      <c r="A122" s="39"/>
      <c r="B122" s="39"/>
      <c r="C122" s="44"/>
      <c r="E122" s="195"/>
      <c r="F122" s="199"/>
      <c r="G122" s="199"/>
      <c r="H122" s="178"/>
      <c r="I122" s="6"/>
      <c r="J122" s="427"/>
      <c r="K122" s="110"/>
      <c r="L122" s="6"/>
      <c r="M122" s="6"/>
      <c r="N122" s="443"/>
      <c r="O122" s="110"/>
      <c r="P122" s="207"/>
    </row>
    <row r="123" spans="1:19" ht="12.75" customHeight="1">
      <c r="A123" s="40" t="s">
        <v>115</v>
      </c>
      <c r="B123" s="40"/>
      <c r="C123" s="44"/>
      <c r="E123" s="634">
        <v>200</v>
      </c>
      <c r="F123" s="630">
        <f>SUM(F120:F122)</f>
        <v>200</v>
      </c>
      <c r="G123" s="631">
        <f>SUM(G120:G122)</f>
        <v>200</v>
      </c>
      <c r="H123" s="185">
        <f>SUM(H120:H122)</f>
        <v>200</v>
      </c>
      <c r="I123" s="632">
        <f>SUM(I120:I122)</f>
        <v>200</v>
      </c>
      <c r="J123" s="435"/>
      <c r="K123" s="632">
        <f>SUM(K120:K122)</f>
        <v>200</v>
      </c>
      <c r="L123" s="632">
        <f>SUM(L120:L122)</f>
        <v>200</v>
      </c>
      <c r="M123" s="632">
        <f>SUM(M120:M122)</f>
        <v>200</v>
      </c>
      <c r="N123" s="435"/>
      <c r="O123" s="632">
        <f>SUM(O120:O122)</f>
        <v>0</v>
      </c>
      <c r="P123" s="222">
        <f>SUM(P120:P122)</f>
        <v>0</v>
      </c>
    </row>
    <row r="124" spans="1:19" ht="22.5" customHeight="1">
      <c r="A124" s="39"/>
      <c r="B124" s="39"/>
      <c r="C124" s="44"/>
      <c r="E124" s="195"/>
      <c r="F124" s="195"/>
      <c r="G124" s="217"/>
      <c r="H124" s="95"/>
      <c r="J124" s="421"/>
      <c r="N124" s="421"/>
      <c r="P124" s="207"/>
    </row>
    <row r="125" spans="1:19" ht="12.75" customHeight="1">
      <c r="A125" s="39" t="s">
        <v>116</v>
      </c>
      <c r="B125" s="39"/>
      <c r="E125" s="195"/>
      <c r="F125" s="231">
        <f>$R125</f>
        <v>0.105</v>
      </c>
      <c r="G125" s="232">
        <f>$R125</f>
        <v>0.105</v>
      </c>
      <c r="H125" s="233">
        <f>$R125</f>
        <v>0.105</v>
      </c>
      <c r="I125" s="234">
        <f>$R125</f>
        <v>0.105</v>
      </c>
      <c r="J125" s="438"/>
      <c r="K125" s="234">
        <f>I125</f>
        <v>0.105</v>
      </c>
      <c r="L125" s="307">
        <v>0</v>
      </c>
      <c r="M125" s="307">
        <v>0</v>
      </c>
      <c r="N125" s="442"/>
      <c r="O125" s="234">
        <f>M125</f>
        <v>0</v>
      </c>
      <c r="P125" s="230"/>
      <c r="R125" s="633">
        <v>0.105</v>
      </c>
      <c r="S125" s="16" t="s">
        <v>121</v>
      </c>
    </row>
    <row r="126" spans="1:19" ht="12.75" customHeight="1">
      <c r="A126" s="39" t="s">
        <v>11</v>
      </c>
      <c r="E126" s="195"/>
      <c r="F126" s="194">
        <f>((1+F125/2)^(DAYS360(E99,F99)/180)-1)*F120</f>
        <v>21.55125</v>
      </c>
      <c r="G126" s="228">
        <f>((1+G125/2)^(DAYS360(F99,G99)/180)-1)*G120</f>
        <v>21.55125</v>
      </c>
      <c r="H126" s="95">
        <f>DAYS360(G99,H99)/360*H120*H125</f>
        <v>5.25</v>
      </c>
      <c r="I126" s="1">
        <f>DAYS360(H99,I99)/360*I120*I125</f>
        <v>5.25</v>
      </c>
      <c r="J126" s="421"/>
      <c r="K126" s="110">
        <f t="shared" ref="K126" si="74">SUM(I126:J126)</f>
        <v>5.25</v>
      </c>
      <c r="L126" s="1">
        <f>DAYS360(I99,L99)/360*L120*L125</f>
        <v>0</v>
      </c>
      <c r="M126" s="1">
        <f>DAYS360(L99,M99)/360*M120*M125</f>
        <v>0</v>
      </c>
      <c r="N126" s="421"/>
      <c r="O126" s="110">
        <f t="shared" ref="O126" si="75">SUM(M126:N126)</f>
        <v>0</v>
      </c>
      <c r="P126" s="207">
        <f>SUM(H126:N126)</f>
        <v>15.75</v>
      </c>
      <c r="R126" s="235"/>
      <c r="S126" s="16"/>
    </row>
    <row r="127" spans="1:19" ht="12.75" customHeight="1">
      <c r="A127" s="39"/>
      <c r="B127" s="39"/>
      <c r="E127" s="195"/>
      <c r="F127" s="195"/>
      <c r="G127" s="217"/>
      <c r="H127" s="178"/>
      <c r="I127" s="6"/>
      <c r="J127" s="427"/>
      <c r="K127" s="6"/>
      <c r="L127" s="6"/>
      <c r="M127" s="6"/>
      <c r="N127" s="427"/>
      <c r="O127" s="6"/>
      <c r="P127" s="224"/>
    </row>
    <row r="128" spans="1:19" ht="12.75" customHeight="1">
      <c r="A128" s="19" t="s">
        <v>27</v>
      </c>
      <c r="B128" s="20"/>
      <c r="E128" s="195"/>
      <c r="F128" s="195"/>
      <c r="G128" s="217"/>
      <c r="H128" s="187"/>
      <c r="I128" s="3"/>
      <c r="J128" s="417"/>
      <c r="K128" s="3"/>
      <c r="L128" s="3"/>
      <c r="M128" s="3"/>
      <c r="N128" s="417"/>
      <c r="O128" s="3"/>
      <c r="P128" s="223"/>
    </row>
    <row r="129" spans="1:19" ht="12.75" customHeight="1">
      <c r="A129" s="39" t="s">
        <v>112</v>
      </c>
      <c r="B129" s="3"/>
      <c r="C129" s="44"/>
      <c r="E129" s="195"/>
      <c r="F129" s="199">
        <f t="shared" ref="F129:G129" si="76">E131</f>
        <v>0</v>
      </c>
      <c r="G129" s="218">
        <f t="shared" si="76"/>
        <v>0</v>
      </c>
      <c r="H129" s="1">
        <f>G131</f>
        <v>0</v>
      </c>
      <c r="I129" s="1">
        <f>H131</f>
        <v>0</v>
      </c>
      <c r="J129" s="421"/>
      <c r="K129" s="1">
        <f>H131</f>
        <v>0</v>
      </c>
      <c r="L129" s="1">
        <f>K131</f>
        <v>225</v>
      </c>
      <c r="M129" s="1">
        <f>L131</f>
        <v>225</v>
      </c>
      <c r="N129" s="421"/>
      <c r="O129" s="1">
        <f>L131</f>
        <v>225</v>
      </c>
      <c r="P129" s="207">
        <f>H129</f>
        <v>0</v>
      </c>
    </row>
    <row r="130" spans="1:19" ht="12.75" customHeight="1">
      <c r="A130" s="39" t="s">
        <v>113</v>
      </c>
      <c r="B130" s="39"/>
      <c r="E130" s="195"/>
      <c r="F130" s="195">
        <v>0</v>
      </c>
      <c r="G130" s="217">
        <v>0</v>
      </c>
      <c r="H130" s="6">
        <v>0</v>
      </c>
      <c r="I130" s="6">
        <v>0</v>
      </c>
      <c r="J130" s="427">
        <v>225</v>
      </c>
      <c r="K130" s="110">
        <f>SUM(I130:J130)</f>
        <v>225</v>
      </c>
      <c r="L130" s="6">
        <v>0</v>
      </c>
      <c r="M130" s="6">
        <v>0</v>
      </c>
      <c r="N130" s="443">
        <f>'Recap-Fresh Start Schedule'!V37-Financials!M131</f>
        <v>-225</v>
      </c>
      <c r="O130" s="110">
        <f>SUM(M130:N130)</f>
        <v>-225</v>
      </c>
      <c r="P130" s="207">
        <f>SUM(H130:J130,L130:N130)</f>
        <v>0</v>
      </c>
    </row>
    <row r="131" spans="1:19" ht="12.75" customHeight="1">
      <c r="A131" s="40" t="s">
        <v>115</v>
      </c>
      <c r="B131" s="39"/>
      <c r="E131" s="634">
        <v>0</v>
      </c>
      <c r="F131" s="635">
        <f t="shared" ref="F131:H131" si="77">SUM(F129:F130)</f>
        <v>0</v>
      </c>
      <c r="G131" s="636">
        <f t="shared" si="77"/>
        <v>0</v>
      </c>
      <c r="H131" s="632">
        <f t="shared" si="77"/>
        <v>0</v>
      </c>
      <c r="I131" s="632">
        <f>SUM(I129:I130)</f>
        <v>0</v>
      </c>
      <c r="J131" s="435"/>
      <c r="K131" s="632">
        <f t="shared" ref="K131:L131" si="78">SUM(K129:K130)</f>
        <v>225</v>
      </c>
      <c r="L131" s="632">
        <f t="shared" si="78"/>
        <v>225</v>
      </c>
      <c r="M131" s="632">
        <f>SUM(M129:M130)</f>
        <v>225</v>
      </c>
      <c r="N131" s="435"/>
      <c r="O131" s="632">
        <f t="shared" ref="O131" si="79">SUM(O129:O130)</f>
        <v>0</v>
      </c>
      <c r="P131" s="222">
        <f t="shared" ref="P131" si="80">SUM(P129:P130)</f>
        <v>0</v>
      </c>
    </row>
    <row r="132" spans="1:19" ht="4.5" customHeight="1">
      <c r="A132" s="39"/>
      <c r="B132" s="39"/>
      <c r="E132" s="195"/>
      <c r="F132" s="195"/>
      <c r="G132" s="217"/>
      <c r="H132" s="95"/>
      <c r="J132" s="421"/>
      <c r="N132" s="421"/>
      <c r="P132" s="207"/>
    </row>
    <row r="133" spans="1:19" ht="12.75" customHeight="1">
      <c r="A133" s="39" t="s">
        <v>116</v>
      </c>
      <c r="D133" s="37"/>
      <c r="E133" s="195"/>
      <c r="F133" s="195"/>
      <c r="G133" s="217"/>
      <c r="H133" s="186"/>
      <c r="I133" s="234">
        <f>$R$133+MAX(I$101,$R$134)</f>
        <v>6.5000000000000002E-2</v>
      </c>
      <c r="J133" s="438"/>
      <c r="K133" s="234"/>
      <c r="L133" s="234">
        <f>$R$133+MAX(L$101,$R$134)</f>
        <v>6.5000000000000002E-2</v>
      </c>
      <c r="M133" s="234">
        <f>$R$133+MAX(M$101,$R$134)</f>
        <v>6.5000000000000002E-2</v>
      </c>
      <c r="N133" s="442"/>
      <c r="O133" s="234"/>
      <c r="P133" s="230"/>
      <c r="R133" s="633">
        <v>0.05</v>
      </c>
      <c r="S133" s="16" t="s">
        <v>117</v>
      </c>
    </row>
    <row r="134" spans="1:19" ht="12.75" customHeight="1">
      <c r="A134" s="39" t="s">
        <v>11</v>
      </c>
      <c r="E134" s="195"/>
      <c r="F134" s="195"/>
      <c r="G134" s="217"/>
      <c r="H134" s="178"/>
      <c r="I134" s="1">
        <f>I129*I133*(I$99-H$99)/360</f>
        <v>0</v>
      </c>
      <c r="J134" s="421"/>
      <c r="L134" s="1">
        <f>L129*L133*(L$99-I$99)/360</f>
        <v>3.7374999999999998</v>
      </c>
      <c r="M134" s="1">
        <f>M129*M133*(M$99-L$99)/360</f>
        <v>3.7374999999999998</v>
      </c>
      <c r="N134" s="421"/>
      <c r="P134" s="207">
        <f>SUM(H134:N134)</f>
        <v>7.4749999999999996</v>
      </c>
      <c r="R134" s="235">
        <v>1.4999999999999999E-2</v>
      </c>
      <c r="S134" s="16" t="s">
        <v>118</v>
      </c>
    </row>
    <row r="135" spans="1:19" ht="12.75" customHeight="1">
      <c r="A135" s="39"/>
      <c r="B135" s="39"/>
      <c r="C135" s="44"/>
      <c r="E135" s="195"/>
      <c r="F135" s="195"/>
      <c r="G135" s="217"/>
      <c r="H135" s="95"/>
      <c r="J135" s="421"/>
      <c r="N135" s="421"/>
      <c r="P135" s="207"/>
    </row>
    <row r="136" spans="1:19" ht="12.75" customHeight="1">
      <c r="A136" s="19" t="s">
        <v>122</v>
      </c>
      <c r="B136" s="20"/>
      <c r="C136" s="44"/>
      <c r="E136" s="195"/>
      <c r="F136" s="195"/>
      <c r="G136" s="217"/>
      <c r="H136" s="95"/>
      <c r="J136" s="421"/>
      <c r="N136" s="421"/>
      <c r="P136" s="207"/>
    </row>
    <row r="137" spans="1:19" ht="12.75" customHeight="1">
      <c r="A137" s="39" t="s">
        <v>112</v>
      </c>
      <c r="B137" s="39"/>
      <c r="C137" s="44"/>
      <c r="E137" s="195"/>
      <c r="F137" s="199"/>
      <c r="G137" s="218"/>
      <c r="H137" s="184"/>
      <c r="I137" s="4"/>
      <c r="J137" s="423"/>
      <c r="K137" s="4"/>
      <c r="L137" s="4"/>
      <c r="M137" s="4"/>
      <c r="N137" s="421"/>
      <c r="O137" s="1">
        <f>L139</f>
        <v>0</v>
      </c>
      <c r="P137" s="221">
        <f>H137</f>
        <v>0</v>
      </c>
    </row>
    <row r="138" spans="1:19" ht="12.75" customHeight="1">
      <c r="A138" s="39" t="s">
        <v>113</v>
      </c>
      <c r="B138" s="39"/>
      <c r="C138" s="44"/>
      <c r="E138" s="195"/>
      <c r="F138" s="199"/>
      <c r="G138" s="218"/>
      <c r="H138" s="95"/>
      <c r="J138" s="421"/>
      <c r="N138" s="587">
        <f>'Recap-Fresh Start Schedule'!S30</f>
        <v>275</v>
      </c>
      <c r="O138" s="110">
        <f>SUM(M138:N138)</f>
        <v>275</v>
      </c>
      <c r="P138" s="207">
        <f>SUM(H138:J138,L138:N138)</f>
        <v>275</v>
      </c>
      <c r="R138" s="229">
        <v>3.75</v>
      </c>
      <c r="S138" s="1" t="s">
        <v>114</v>
      </c>
    </row>
    <row r="139" spans="1:19" ht="12.75" customHeight="1">
      <c r="A139" s="40" t="s">
        <v>115</v>
      </c>
      <c r="B139" s="40"/>
      <c r="C139" s="44"/>
      <c r="E139" s="634"/>
      <c r="F139" s="630"/>
      <c r="G139" s="631"/>
      <c r="H139" s="185"/>
      <c r="I139" s="632"/>
      <c r="J139" s="435"/>
      <c r="K139" s="632"/>
      <c r="L139" s="632"/>
      <c r="M139" s="632"/>
      <c r="N139" s="435"/>
      <c r="O139" s="632">
        <f t="shared" ref="O139" si="81">SUM(O137:O138)</f>
        <v>275</v>
      </c>
      <c r="P139" s="222">
        <f t="shared" ref="P139" si="82">SUM(P137:P138)</f>
        <v>275</v>
      </c>
    </row>
    <row r="140" spans="1:19" ht="4.5" customHeight="1">
      <c r="A140" s="39"/>
      <c r="B140" s="39"/>
      <c r="C140" s="44"/>
      <c r="E140" s="195"/>
      <c r="F140" s="195"/>
      <c r="G140" s="217"/>
      <c r="H140" s="95"/>
      <c r="J140" s="421"/>
      <c r="N140" s="421"/>
      <c r="P140" s="207"/>
    </row>
    <row r="141" spans="1:19" ht="12.75" customHeight="1">
      <c r="A141" s="39" t="s">
        <v>116</v>
      </c>
      <c r="B141" s="39"/>
      <c r="C141" s="44"/>
      <c r="D141" s="37"/>
      <c r="E141" s="195"/>
      <c r="F141" s="231"/>
      <c r="G141" s="232"/>
      <c r="H141" s="233"/>
      <c r="I141" s="234"/>
      <c r="J141" s="438"/>
      <c r="K141" s="234"/>
      <c r="L141" s="234"/>
      <c r="M141" s="234"/>
      <c r="N141" s="442"/>
      <c r="O141" s="234">
        <f>$R$141+MAX(O$101,$R$142)</f>
        <v>6.9999999999999993E-2</v>
      </c>
      <c r="P141" s="230">
        <f>$R$141+MAX(P$101,$R$142)</f>
        <v>6.9999999999999993E-2</v>
      </c>
      <c r="R141" s="633">
        <v>0.06</v>
      </c>
      <c r="S141" s="16" t="s">
        <v>117</v>
      </c>
    </row>
    <row r="142" spans="1:19" ht="12.75" customHeight="1">
      <c r="A142" s="39" t="s">
        <v>11</v>
      </c>
      <c r="B142" s="39"/>
      <c r="C142" s="44"/>
      <c r="E142" s="195"/>
      <c r="F142" s="194"/>
      <c r="G142" s="228"/>
      <c r="H142" s="95"/>
      <c r="J142" s="421"/>
      <c r="N142" s="421"/>
      <c r="O142" s="110">
        <f>O137*O141*(O$99-L$99)/360</f>
        <v>0</v>
      </c>
      <c r="P142" s="207">
        <f>SUM(H142:N142)</f>
        <v>0</v>
      </c>
      <c r="R142" s="235">
        <v>0.01</v>
      </c>
      <c r="S142" s="16" t="s">
        <v>118</v>
      </c>
    </row>
    <row r="143" spans="1:19" ht="12.75" customHeight="1">
      <c r="A143" s="18"/>
      <c r="B143" s="18"/>
      <c r="C143" s="44"/>
      <c r="E143" s="201"/>
      <c r="F143" s="201"/>
      <c r="G143" s="237"/>
      <c r="H143" s="76"/>
      <c r="I143" s="77"/>
      <c r="J143" s="439"/>
      <c r="K143" s="77"/>
      <c r="L143" s="77"/>
      <c r="M143" s="77"/>
      <c r="N143" s="439"/>
      <c r="O143" s="77"/>
      <c r="P143" s="239"/>
    </row>
    <row r="144" spans="1:19" ht="12.75" customHeight="1">
      <c r="A144" s="19" t="s">
        <v>123</v>
      </c>
      <c r="B144" s="18"/>
      <c r="C144" s="44"/>
      <c r="E144" s="201"/>
      <c r="F144" s="201"/>
      <c r="G144" s="237"/>
      <c r="H144" s="76"/>
      <c r="I144" s="77"/>
      <c r="J144" s="439"/>
      <c r="K144" s="77"/>
      <c r="L144" s="77"/>
      <c r="M144" s="77"/>
      <c r="N144" s="439"/>
      <c r="O144" s="77"/>
      <c r="P144" s="239"/>
    </row>
    <row r="145" spans="1:16" ht="12.75" customHeight="1">
      <c r="A145" s="1" t="str">
        <f>A128</f>
        <v>DIP Facility</v>
      </c>
      <c r="B145" s="3"/>
      <c r="C145" s="44"/>
      <c r="E145" s="194">
        <f>E131</f>
        <v>0</v>
      </c>
      <c r="F145" s="194">
        <f>F131</f>
        <v>0</v>
      </c>
      <c r="G145" s="228">
        <f>G131</f>
        <v>0</v>
      </c>
      <c r="H145" s="62">
        <f>H131</f>
        <v>0</v>
      </c>
      <c r="I145" s="63">
        <f>I131</f>
        <v>0</v>
      </c>
      <c r="J145" s="421"/>
      <c r="K145" s="63">
        <f>K131</f>
        <v>225</v>
      </c>
      <c r="L145" s="63">
        <f>L131</f>
        <v>225</v>
      </c>
      <c r="M145" s="63">
        <f>M131</f>
        <v>225</v>
      </c>
      <c r="N145" s="421"/>
      <c r="O145" s="63">
        <f>O131</f>
        <v>0</v>
      </c>
      <c r="P145" s="206">
        <f t="shared" ref="P145" si="83">P131</f>
        <v>0</v>
      </c>
    </row>
    <row r="146" spans="1:16" ht="12.75" customHeight="1">
      <c r="A146" s="1" t="str">
        <f>A103</f>
        <v>1st Lien Term Loan (Prepetition)</v>
      </c>
      <c r="B146" s="3"/>
      <c r="C146" s="44"/>
      <c r="E146" s="194">
        <f>E106</f>
        <v>250</v>
      </c>
      <c r="F146" s="194">
        <f>F106</f>
        <v>230</v>
      </c>
      <c r="G146" s="228">
        <f>G106</f>
        <v>210</v>
      </c>
      <c r="H146" s="62">
        <f>H106</f>
        <v>205</v>
      </c>
      <c r="I146" s="63">
        <f>I106</f>
        <v>205</v>
      </c>
      <c r="J146" s="421">
        <f>J105</f>
        <v>-205</v>
      </c>
      <c r="K146" s="63">
        <f>K106</f>
        <v>0</v>
      </c>
      <c r="L146" s="63">
        <f>L106</f>
        <v>0</v>
      </c>
      <c r="M146" s="63">
        <f>M106</f>
        <v>0</v>
      </c>
      <c r="N146" s="421"/>
      <c r="O146" s="63">
        <f>O106</f>
        <v>0</v>
      </c>
      <c r="P146" s="206">
        <f>P106</f>
        <v>0</v>
      </c>
    </row>
    <row r="147" spans="1:16" ht="12.75" customHeight="1">
      <c r="A147" s="1" t="str">
        <f>A111</f>
        <v>2nd Lien Term Loan (Prepetition)</v>
      </c>
      <c r="B147" s="3"/>
      <c r="C147" s="44"/>
      <c r="E147" s="194">
        <f>E114</f>
        <v>100</v>
      </c>
      <c r="F147" s="194">
        <f>F114</f>
        <v>100</v>
      </c>
      <c r="G147" s="228">
        <f>G114</f>
        <v>100</v>
      </c>
      <c r="H147" s="62">
        <f>H114</f>
        <v>100</v>
      </c>
      <c r="I147" s="63">
        <f>I114</f>
        <v>100</v>
      </c>
      <c r="J147" s="421">
        <f>J113</f>
        <v>0</v>
      </c>
      <c r="K147" s="63">
        <f>K114</f>
        <v>100</v>
      </c>
      <c r="L147" s="63">
        <f>L114</f>
        <v>100</v>
      </c>
      <c r="M147" s="63">
        <f>M114</f>
        <v>100</v>
      </c>
      <c r="N147" s="421"/>
      <c r="O147" s="63">
        <f>O114</f>
        <v>0</v>
      </c>
      <c r="P147" s="206">
        <f>P114</f>
        <v>0</v>
      </c>
    </row>
    <row r="148" spans="1:16" ht="12.75" customHeight="1">
      <c r="A148" s="1" t="str">
        <f>A119</f>
        <v>Senior Toggle Notes (Prepetition)</v>
      </c>
      <c r="B148" s="3"/>
      <c r="C148" s="44"/>
      <c r="E148" s="194">
        <f>E123</f>
        <v>200</v>
      </c>
      <c r="F148" s="194">
        <f>F123</f>
        <v>200</v>
      </c>
      <c r="G148" s="228">
        <f>G123</f>
        <v>200</v>
      </c>
      <c r="H148" s="62">
        <f>H123</f>
        <v>200</v>
      </c>
      <c r="I148" s="63">
        <f>I123</f>
        <v>200</v>
      </c>
      <c r="J148" s="421">
        <f>SUM(J121:J122)</f>
        <v>0</v>
      </c>
      <c r="K148" s="63">
        <f>K123</f>
        <v>200</v>
      </c>
      <c r="L148" s="63">
        <f>L123</f>
        <v>200</v>
      </c>
      <c r="M148" s="63">
        <f>M123</f>
        <v>200</v>
      </c>
      <c r="N148" s="421"/>
      <c r="O148" s="63">
        <f>O123</f>
        <v>0</v>
      </c>
      <c r="P148" s="206">
        <f t="shared" ref="P148" si="84">P123</f>
        <v>0</v>
      </c>
    </row>
    <row r="149" spans="1:16" ht="12.75" customHeight="1">
      <c r="A149" s="1" t="str">
        <f>A136</f>
        <v>1st Lien Exit Facility</v>
      </c>
      <c r="B149" s="3"/>
      <c r="C149" s="44"/>
      <c r="E149" s="194">
        <f>E139</f>
        <v>0</v>
      </c>
      <c r="F149" s="194">
        <f>F139</f>
        <v>0</v>
      </c>
      <c r="G149" s="228">
        <f>G139</f>
        <v>0</v>
      </c>
      <c r="H149" s="62">
        <f>H139</f>
        <v>0</v>
      </c>
      <c r="I149" s="63">
        <f>I139</f>
        <v>0</v>
      </c>
      <c r="J149" s="421">
        <f>J138</f>
        <v>0</v>
      </c>
      <c r="K149" s="63">
        <f>K139</f>
        <v>0</v>
      </c>
      <c r="L149" s="63">
        <f>L139</f>
        <v>0</v>
      </c>
      <c r="M149" s="63">
        <f>M139</f>
        <v>0</v>
      </c>
      <c r="N149" s="421"/>
      <c r="O149" s="63">
        <f>O139</f>
        <v>275</v>
      </c>
      <c r="P149" s="206">
        <f t="shared" ref="P149" si="85">P139</f>
        <v>275</v>
      </c>
    </row>
    <row r="150" spans="1:16" ht="12.75" customHeight="1">
      <c r="A150" s="1" t="s">
        <v>124</v>
      </c>
      <c r="B150" s="3"/>
      <c r="C150" s="44"/>
      <c r="E150" s="194">
        <f>-E321</f>
        <v>0</v>
      </c>
      <c r="F150" s="194">
        <f>-F321</f>
        <v>0</v>
      </c>
      <c r="G150" s="228">
        <f>-G321</f>
        <v>0</v>
      </c>
      <c r="H150" s="95">
        <f>-H321</f>
        <v>0</v>
      </c>
      <c r="I150" s="1">
        <f>-I321</f>
        <v>0</v>
      </c>
      <c r="J150" s="421"/>
      <c r="K150" s="1">
        <f>-K321</f>
        <v>-300</v>
      </c>
      <c r="L150" s="1">
        <f>-L321</f>
        <v>-300</v>
      </c>
      <c r="M150" s="1">
        <f>-M321</f>
        <v>-300</v>
      </c>
      <c r="N150" s="421"/>
      <c r="O150" s="1">
        <f>-O321</f>
        <v>0</v>
      </c>
      <c r="P150" s="206">
        <f>-P321</f>
        <v>0</v>
      </c>
    </row>
    <row r="151" spans="1:16" ht="12.75" customHeight="1">
      <c r="A151" s="34" t="s">
        <v>125</v>
      </c>
      <c r="B151" s="34"/>
      <c r="C151" s="44"/>
      <c r="E151" s="623">
        <f>SUM(E145:E150)</f>
        <v>550</v>
      </c>
      <c r="F151" s="623">
        <f>SUM(F145:F150)</f>
        <v>530</v>
      </c>
      <c r="G151" s="624">
        <f>SUM(G145:G150)</f>
        <v>510</v>
      </c>
      <c r="H151" s="75">
        <f>SUM(H145:H150)</f>
        <v>505</v>
      </c>
      <c r="I151" s="625">
        <f>SUM(I145:I150)</f>
        <v>505</v>
      </c>
      <c r="J151" s="440"/>
      <c r="K151" s="625">
        <f t="shared" ref="K151" si="86">SUM(K145:K150)</f>
        <v>225</v>
      </c>
      <c r="L151" s="625">
        <f>SUM(L145:L150)</f>
        <v>225</v>
      </c>
      <c r="M151" s="625">
        <f>SUM(M145:M150)</f>
        <v>225</v>
      </c>
      <c r="N151" s="440"/>
      <c r="O151" s="625">
        <f t="shared" ref="O151" si="87">SUM(O145:O150)</f>
        <v>275</v>
      </c>
      <c r="P151" s="240">
        <f t="shared" ref="P151" si="88">SUM(P145:P150)</f>
        <v>275</v>
      </c>
    </row>
    <row r="152" spans="1:16" ht="12.75" customHeight="1">
      <c r="A152" s="1" t="s">
        <v>126</v>
      </c>
      <c r="B152" s="18"/>
      <c r="C152" s="44"/>
      <c r="E152" s="194">
        <f>-E145</f>
        <v>0</v>
      </c>
      <c r="F152" s="194">
        <f t="shared" ref="F152:I152" si="89">-F145</f>
        <v>0</v>
      </c>
      <c r="G152" s="228">
        <f t="shared" si="89"/>
        <v>0</v>
      </c>
      <c r="H152" s="95">
        <f t="shared" si="89"/>
        <v>0</v>
      </c>
      <c r="I152" s="1">
        <f t="shared" si="89"/>
        <v>0</v>
      </c>
      <c r="J152" s="421"/>
      <c r="K152" s="1">
        <f t="shared" ref="K152" si="90">-K145</f>
        <v>-225</v>
      </c>
      <c r="L152" s="1">
        <f t="shared" ref="L152:M152" si="91">-L145</f>
        <v>-225</v>
      </c>
      <c r="M152" s="1">
        <f t="shared" si="91"/>
        <v>-225</v>
      </c>
      <c r="N152" s="421"/>
      <c r="O152" s="1">
        <f t="shared" ref="O152" si="92">-O145</f>
        <v>0</v>
      </c>
      <c r="P152" s="206"/>
    </row>
    <row r="153" spans="1:16" ht="12.75" customHeight="1">
      <c r="A153" s="34" t="s">
        <v>83</v>
      </c>
      <c r="B153" s="18"/>
      <c r="C153" s="44"/>
      <c r="E153" s="623">
        <f>SUM(E151:E152)</f>
        <v>550</v>
      </c>
      <c r="F153" s="623">
        <f t="shared" ref="F153:M153" si="93">SUM(F151:F152)</f>
        <v>530</v>
      </c>
      <c r="G153" s="624">
        <f t="shared" si="93"/>
        <v>510</v>
      </c>
      <c r="H153" s="75">
        <f t="shared" si="93"/>
        <v>505</v>
      </c>
      <c r="I153" s="625">
        <f t="shared" si="93"/>
        <v>505</v>
      </c>
      <c r="J153" s="440"/>
      <c r="K153" s="625">
        <f t="shared" si="93"/>
        <v>0</v>
      </c>
      <c r="L153" s="625">
        <f t="shared" si="93"/>
        <v>0</v>
      </c>
      <c r="M153" s="625">
        <f t="shared" si="93"/>
        <v>0</v>
      </c>
      <c r="N153" s="440"/>
      <c r="O153" s="625">
        <f t="shared" ref="O153" si="94">SUM(O151:O152)</f>
        <v>275</v>
      </c>
      <c r="P153" s="240">
        <f t="shared" ref="P153" si="95">SUM(P151:P152)</f>
        <v>275</v>
      </c>
    </row>
    <row r="154" spans="1:16" ht="12.75" customHeight="1">
      <c r="A154" s="18"/>
      <c r="B154" s="18"/>
      <c r="C154" s="44"/>
      <c r="E154" s="201"/>
      <c r="F154" s="201"/>
      <c r="G154" s="237"/>
      <c r="H154" s="76"/>
      <c r="I154" s="77"/>
      <c r="J154" s="439"/>
      <c r="K154" s="77"/>
      <c r="L154" s="77"/>
      <c r="M154" s="77"/>
      <c r="N154" s="439"/>
      <c r="O154" s="77"/>
      <c r="P154" s="239"/>
    </row>
    <row r="155" spans="1:16" ht="12.75" customHeight="1">
      <c r="A155" s="18" t="s">
        <v>127</v>
      </c>
      <c r="B155" s="18"/>
      <c r="C155" s="44"/>
      <c r="E155" s="197"/>
      <c r="F155" s="193">
        <f>SUM(F105,F113,F121,F130,F138)</f>
        <v>-20</v>
      </c>
      <c r="G155" s="308">
        <f>SUM(G105,G113,G121,G130,G138)</f>
        <v>-20</v>
      </c>
      <c r="H155" s="101">
        <f>SUM(H105,H113,H121,H130,H138)</f>
        <v>-5</v>
      </c>
      <c r="I155" s="2">
        <f>SUM(I105,I113,I121,I130,I138)</f>
        <v>0</v>
      </c>
      <c r="J155" s="441"/>
      <c r="K155" s="2"/>
      <c r="L155" s="2">
        <f>SUM(L105,L113,L121,L130,L138)</f>
        <v>0</v>
      </c>
      <c r="M155" s="2">
        <f>SUM(M105,M113,M121,M130,M138)</f>
        <v>0</v>
      </c>
      <c r="N155" s="444">
        <f>'Recap-Fresh Start Schedule'!S30-SUM('Recap-Fresh Start Schedule'!Y30:Y31)</f>
        <v>-50</v>
      </c>
      <c r="O155" s="2"/>
      <c r="P155" s="250"/>
    </row>
    <row r="156" spans="1:16" ht="12.75" customHeight="1">
      <c r="A156" s="18"/>
      <c r="B156" s="18"/>
      <c r="C156" s="44"/>
      <c r="E156" s="201"/>
      <c r="F156" s="201"/>
      <c r="G156" s="237"/>
      <c r="H156" s="76"/>
      <c r="I156" s="77"/>
      <c r="J156" s="439"/>
      <c r="K156" s="77"/>
      <c r="L156" s="77"/>
      <c r="M156" s="77"/>
      <c r="N156" s="439"/>
      <c r="O156" s="77"/>
      <c r="P156" s="239"/>
    </row>
    <row r="157" spans="1:16" ht="12.75" customHeight="1">
      <c r="A157" s="19" t="s">
        <v>11</v>
      </c>
      <c r="B157" s="18"/>
      <c r="C157" s="44"/>
      <c r="E157" s="201"/>
      <c r="F157" s="201"/>
      <c r="G157" s="237"/>
      <c r="H157" s="76"/>
      <c r="I157" s="77"/>
      <c r="J157" s="439"/>
      <c r="K157" s="77"/>
      <c r="L157" s="77"/>
      <c r="M157" s="77"/>
      <c r="N157" s="439"/>
      <c r="O157" s="77"/>
      <c r="P157" s="239"/>
    </row>
    <row r="158" spans="1:16" ht="12.75" customHeight="1">
      <c r="A158" s="1" t="str">
        <f>A128</f>
        <v>DIP Facility</v>
      </c>
      <c r="B158" s="3"/>
      <c r="C158" s="44"/>
      <c r="E158" s="194"/>
      <c r="F158" s="194">
        <f>F134</f>
        <v>0</v>
      </c>
      <c r="G158" s="228">
        <f>G134</f>
        <v>0</v>
      </c>
      <c r="H158" s="62">
        <f>H134</f>
        <v>0</v>
      </c>
      <c r="I158" s="63">
        <f>I134</f>
        <v>0</v>
      </c>
      <c r="J158" s="421"/>
      <c r="K158" s="63">
        <f>SUM(I158:J158)</f>
        <v>0</v>
      </c>
      <c r="L158" s="63">
        <f>L134</f>
        <v>3.7374999999999998</v>
      </c>
      <c r="M158" s="63">
        <f>M134</f>
        <v>3.7374999999999998</v>
      </c>
      <c r="N158" s="421"/>
      <c r="O158" s="63">
        <f>SUM(M158:N158)</f>
        <v>3.7374999999999998</v>
      </c>
      <c r="P158" s="206">
        <f t="shared" ref="P158" si="96">P134</f>
        <v>7.4749999999999996</v>
      </c>
    </row>
    <row r="159" spans="1:16" ht="12.75" customHeight="1">
      <c r="A159" s="1" t="str">
        <f>A103</f>
        <v>1st Lien Term Loan (Prepetition)</v>
      </c>
      <c r="B159" s="3"/>
      <c r="C159" s="44"/>
      <c r="E159" s="194"/>
      <c r="F159" s="194">
        <f>F109</f>
        <v>17.840210138888885</v>
      </c>
      <c r="G159" s="228">
        <f>G109</f>
        <v>13.532500000000001</v>
      </c>
      <c r="H159" s="62">
        <f>H109</f>
        <v>3.15</v>
      </c>
      <c r="I159" s="63">
        <f>I109</f>
        <v>3.1091666666666664</v>
      </c>
      <c r="J159" s="421"/>
      <c r="K159" s="63">
        <f t="shared" ref="K159:K163" si="97">SUM(I159:J159)</f>
        <v>3.1091666666666664</v>
      </c>
      <c r="L159" s="63">
        <f>L109</f>
        <v>0</v>
      </c>
      <c r="M159" s="63">
        <f>M109</f>
        <v>0</v>
      </c>
      <c r="N159" s="421"/>
      <c r="O159" s="63">
        <f t="shared" ref="O159:O163" si="98">SUM(M159:N159)</f>
        <v>0</v>
      </c>
      <c r="P159" s="206">
        <f>P109</f>
        <v>6.2591666666666663</v>
      </c>
    </row>
    <row r="160" spans="1:16" ht="12.75" customHeight="1">
      <c r="A160" s="1" t="str">
        <f>A111</f>
        <v>2nd Lien Term Loan (Prepetition)</v>
      </c>
      <c r="B160" s="3"/>
      <c r="C160" s="44"/>
      <c r="E160" s="194"/>
      <c r="F160" s="194">
        <f>F117</f>
        <v>9.8722361111111123</v>
      </c>
      <c r="G160" s="228">
        <f>G117</f>
        <v>8.6416666666666675</v>
      </c>
      <c r="H160" s="62">
        <f>H117</f>
        <v>2.125</v>
      </c>
      <c r="I160" s="63">
        <f>I117</f>
        <v>2.1486111111111112</v>
      </c>
      <c r="J160" s="421"/>
      <c r="K160" s="63">
        <f t="shared" si="97"/>
        <v>2.1486111111111112</v>
      </c>
      <c r="L160" s="63">
        <f>L117</f>
        <v>2.1722222222222221</v>
      </c>
      <c r="M160" s="63">
        <f>M117</f>
        <v>2.1722222222222221</v>
      </c>
      <c r="N160" s="421"/>
      <c r="O160" s="63">
        <f t="shared" si="98"/>
        <v>2.1722222222222221</v>
      </c>
      <c r="P160" s="206">
        <f>P117</f>
        <v>8.6180555555555554</v>
      </c>
    </row>
    <row r="161" spans="1:16" ht="12.75" customHeight="1">
      <c r="A161" s="1" t="str">
        <f>A119</f>
        <v>Senior Toggle Notes (Prepetition)</v>
      </c>
      <c r="B161" s="3"/>
      <c r="C161" s="44"/>
      <c r="E161" s="194"/>
      <c r="F161" s="194">
        <f>F126</f>
        <v>21.55125</v>
      </c>
      <c r="G161" s="228">
        <f>G126</f>
        <v>21.55125</v>
      </c>
      <c r="H161" s="62">
        <f>H126</f>
        <v>5.25</v>
      </c>
      <c r="I161" s="63">
        <f>I126</f>
        <v>5.25</v>
      </c>
      <c r="J161" s="421"/>
      <c r="K161" s="63">
        <f t="shared" si="97"/>
        <v>5.25</v>
      </c>
      <c r="L161" s="63">
        <f>L126</f>
        <v>0</v>
      </c>
      <c r="M161" s="63">
        <f>M126</f>
        <v>0</v>
      </c>
      <c r="N161" s="421"/>
      <c r="O161" s="63">
        <f t="shared" si="98"/>
        <v>0</v>
      </c>
      <c r="P161" s="206">
        <f t="shared" ref="P161" si="99">P126</f>
        <v>15.75</v>
      </c>
    </row>
    <row r="162" spans="1:16" ht="12.75" customHeight="1">
      <c r="A162" s="1" t="str">
        <f>A136</f>
        <v>1st Lien Exit Facility</v>
      </c>
      <c r="B162" s="3"/>
      <c r="C162" s="44"/>
      <c r="E162" s="194"/>
      <c r="F162" s="194">
        <f>F142</f>
        <v>0</v>
      </c>
      <c r="G162" s="228">
        <f>G142</f>
        <v>0</v>
      </c>
      <c r="H162" s="62">
        <f>H142</f>
        <v>0</v>
      </c>
      <c r="I162" s="63">
        <f>I142</f>
        <v>0</v>
      </c>
      <c r="J162" s="421"/>
      <c r="K162" s="63">
        <f t="shared" si="97"/>
        <v>0</v>
      </c>
      <c r="L162" s="63">
        <f>L142</f>
        <v>0</v>
      </c>
      <c r="M162" s="63">
        <f>M142</f>
        <v>0</v>
      </c>
      <c r="N162" s="421"/>
      <c r="O162" s="63">
        <f t="shared" si="98"/>
        <v>0</v>
      </c>
      <c r="P162" s="206">
        <f t="shared" ref="P162" si="100">P142</f>
        <v>0</v>
      </c>
    </row>
    <row r="163" spans="1:16" ht="12.75" customHeight="1">
      <c r="A163" s="1" t="s">
        <v>128</v>
      </c>
      <c r="B163" s="3"/>
      <c r="C163" s="44"/>
      <c r="E163" s="194"/>
      <c r="F163" s="194">
        <f>-F208</f>
        <v>2.6969696969696968</v>
      </c>
      <c r="G163" s="228">
        <f>-G208</f>
        <v>2.6969696969696968</v>
      </c>
      <c r="H163" s="62">
        <f>-H208</f>
        <v>0.6742424242424242</v>
      </c>
      <c r="I163" s="63">
        <f>-I208</f>
        <v>0.6742424242424242</v>
      </c>
      <c r="J163" s="421">
        <f>-J208</f>
        <v>2.916666666666667</v>
      </c>
      <c r="K163" s="63">
        <f t="shared" si="97"/>
        <v>3.5909090909090913</v>
      </c>
      <c r="L163" s="63">
        <f>-L208</f>
        <v>0.56715909090909089</v>
      </c>
      <c r="M163" s="63">
        <f>-M208</f>
        <v>0.56715909090909089</v>
      </c>
      <c r="N163" s="421">
        <f>-N208</f>
        <v>6.2565909090909093</v>
      </c>
      <c r="O163" s="63">
        <f t="shared" si="98"/>
        <v>6.8237500000000004</v>
      </c>
      <c r="P163" s="206"/>
    </row>
    <row r="164" spans="1:16" ht="12.75" customHeight="1">
      <c r="A164" s="34" t="s">
        <v>129</v>
      </c>
      <c r="B164" s="34"/>
      <c r="C164" s="44"/>
      <c r="E164" s="623"/>
      <c r="F164" s="623">
        <f>SUM(F158:F163)</f>
        <v>51.960665946969691</v>
      </c>
      <c r="G164" s="624">
        <f t="shared" ref="G164:M164" si="101">SUM(G158:G163)</f>
        <v>46.422386363636363</v>
      </c>
      <c r="H164" s="75">
        <f t="shared" si="101"/>
        <v>11.199242424242424</v>
      </c>
      <c r="I164" s="625">
        <f t="shared" si="101"/>
        <v>11.182020202020201</v>
      </c>
      <c r="J164" s="440">
        <f t="shared" si="101"/>
        <v>2.916666666666667</v>
      </c>
      <c r="K164" s="625">
        <f t="shared" si="101"/>
        <v>14.098686868686869</v>
      </c>
      <c r="L164" s="625">
        <f t="shared" si="101"/>
        <v>6.4768813131313125</v>
      </c>
      <c r="M164" s="625">
        <f t="shared" si="101"/>
        <v>6.4768813131313125</v>
      </c>
      <c r="N164" s="440"/>
      <c r="O164" s="625">
        <f t="shared" ref="O164" si="102">SUM(O158:O163)</f>
        <v>12.733472222222222</v>
      </c>
      <c r="P164" s="240">
        <f t="shared" ref="P164" si="103">SUM(P158:P163)</f>
        <v>38.102222222222224</v>
      </c>
    </row>
    <row r="165" spans="1:16" ht="12.75" customHeight="1">
      <c r="A165" s="18"/>
      <c r="B165" s="18"/>
      <c r="C165" s="44"/>
      <c r="E165" s="201"/>
      <c r="F165" s="201"/>
      <c r="G165" s="237"/>
      <c r="H165" s="76"/>
      <c r="I165" s="77"/>
      <c r="J165" s="439"/>
      <c r="K165" s="77"/>
      <c r="L165" s="77"/>
      <c r="M165" s="77"/>
      <c r="N165" s="439"/>
      <c r="O165" s="77"/>
      <c r="P165" s="239"/>
    </row>
    <row r="166" spans="1:16" ht="12.75" customHeight="1">
      <c r="A166" s="344" t="s">
        <v>130</v>
      </c>
      <c r="B166" s="18"/>
      <c r="C166" s="44"/>
      <c r="E166" s="201"/>
      <c r="F166" s="194">
        <f>SUM(F158:F161,F162)</f>
        <v>49.263696249999995</v>
      </c>
      <c r="G166" s="228">
        <f>SUM(G158:G161,G162)</f>
        <v>43.725416666666668</v>
      </c>
      <c r="H166" s="62">
        <f>SUM(H158:H161,H162)</f>
        <v>10.525</v>
      </c>
      <c r="I166" s="63">
        <f>SUM(I158:I161,I162)</f>
        <v>10.507777777777777</v>
      </c>
      <c r="J166" s="421"/>
      <c r="K166" s="63">
        <f t="shared" ref="K166" si="104">K160</f>
        <v>2.1486111111111112</v>
      </c>
      <c r="L166" s="63">
        <f t="shared" ref="L166:M166" si="105">SUM(L158:L160,L162)</f>
        <v>5.9097222222222214</v>
      </c>
      <c r="M166" s="63">
        <f t="shared" si="105"/>
        <v>5.9097222222222214</v>
      </c>
      <c r="N166" s="421"/>
      <c r="O166" s="63">
        <f t="shared" ref="O166" si="106">O160</f>
        <v>2.1722222222222221</v>
      </c>
      <c r="P166" s="206">
        <f>SUM(H166:J166,L166:N166)</f>
        <v>32.852222222222224</v>
      </c>
    </row>
    <row r="167" spans="1:16" ht="12.75" customHeight="1">
      <c r="A167" s="344" t="s">
        <v>131</v>
      </c>
      <c r="B167" s="18"/>
      <c r="C167" s="44"/>
      <c r="E167" s="201"/>
      <c r="F167" s="194">
        <f>F163</f>
        <v>2.6969696969696968</v>
      </c>
      <c r="G167" s="228">
        <f>G163</f>
        <v>2.6969696969696968</v>
      </c>
      <c r="H167" s="62">
        <f>H163</f>
        <v>0.6742424242424242</v>
      </c>
      <c r="I167" s="63">
        <f>I163</f>
        <v>0.6742424242424242</v>
      </c>
      <c r="J167" s="421"/>
      <c r="K167" s="63">
        <f>K162</f>
        <v>0</v>
      </c>
      <c r="L167" s="63">
        <f>L163</f>
        <v>0.56715909090909089</v>
      </c>
      <c r="M167" s="63">
        <f>M163</f>
        <v>0.56715909090909089</v>
      </c>
      <c r="N167" s="421"/>
      <c r="O167" s="63">
        <f>O162</f>
        <v>0</v>
      </c>
      <c r="P167" s="206">
        <f t="shared" ref="P167" si="107">SUM(H167:J167,L167:N167)</f>
        <v>2.48280303030303</v>
      </c>
    </row>
    <row r="168" spans="1:16" ht="12.75" customHeight="1">
      <c r="A168" s="34" t="s">
        <v>129</v>
      </c>
      <c r="B168" s="18"/>
      <c r="C168" s="44"/>
      <c r="E168" s="201"/>
      <c r="F168" s="623">
        <f t="shared" ref="F168:M168" si="108">SUM(F166:F167)</f>
        <v>51.960665946969691</v>
      </c>
      <c r="G168" s="624">
        <f t="shared" si="108"/>
        <v>46.422386363636363</v>
      </c>
      <c r="H168" s="75">
        <f t="shared" si="108"/>
        <v>11.199242424242424</v>
      </c>
      <c r="I168" s="625">
        <f t="shared" si="108"/>
        <v>11.182020202020201</v>
      </c>
      <c r="J168" s="440">
        <f t="shared" si="108"/>
        <v>0</v>
      </c>
      <c r="K168" s="625">
        <f t="shared" si="108"/>
        <v>2.1486111111111112</v>
      </c>
      <c r="L168" s="625">
        <f t="shared" si="108"/>
        <v>6.4768813131313125</v>
      </c>
      <c r="M168" s="625">
        <f t="shared" si="108"/>
        <v>6.4768813131313125</v>
      </c>
      <c r="N168" s="440"/>
      <c r="O168" s="625">
        <f>SUM(O166:O167)</f>
        <v>2.1722222222222221</v>
      </c>
      <c r="P168" s="240">
        <f>SUM(P166:P167)</f>
        <v>35.335025252525256</v>
      </c>
    </row>
    <row r="169" spans="1:16" ht="12.75" customHeight="1"/>
    <row r="170" spans="1:16" ht="12.75" customHeight="1"/>
    <row r="171" spans="1:16" ht="12.75" customHeight="1">
      <c r="A171" s="93" t="s">
        <v>132</v>
      </c>
      <c r="B171" s="93"/>
      <c r="C171" s="93"/>
      <c r="D171" s="93"/>
      <c r="E171" s="93"/>
      <c r="F171" s="93"/>
      <c r="G171" s="93"/>
      <c r="H171" s="93"/>
      <c r="I171" s="93"/>
      <c r="J171" s="93"/>
      <c r="K171" s="93"/>
      <c r="L171" s="93"/>
      <c r="M171" s="93"/>
      <c r="N171" s="93"/>
      <c r="O171" s="93"/>
      <c r="P171" s="93"/>
    </row>
    <row r="172" spans="1:16" ht="12.75" customHeight="1" thickBot="1"/>
    <row r="173" spans="1:16" ht="12.75" customHeight="1">
      <c r="A173" s="94"/>
      <c r="B173" s="63"/>
      <c r="C173" s="63"/>
      <c r="D173" s="63"/>
      <c r="E173" s="604">
        <f>E$8</f>
        <v>43465</v>
      </c>
      <c r="F173" s="604">
        <f t="shared" ref="F173:P173" si="109">F$8</f>
        <v>43830</v>
      </c>
      <c r="G173" s="605">
        <f t="shared" si="109"/>
        <v>44196</v>
      </c>
      <c r="H173" s="606">
        <f t="shared" si="109"/>
        <v>44286</v>
      </c>
      <c r="I173" s="607">
        <f t="shared" si="109"/>
        <v>44377</v>
      </c>
      <c r="J173" s="608" t="str">
        <f t="shared" si="109"/>
        <v>FILING</v>
      </c>
      <c r="K173" s="609">
        <f t="shared" si="109"/>
        <v>44377</v>
      </c>
      <c r="L173" s="607">
        <f t="shared" si="109"/>
        <v>44469</v>
      </c>
      <c r="M173" s="607">
        <f>M$8</f>
        <v>44561</v>
      </c>
      <c r="N173" s="610" t="str">
        <f>N$8</f>
        <v>Adjustments</v>
      </c>
      <c r="O173" s="609">
        <f t="shared" si="109"/>
        <v>44561</v>
      </c>
      <c r="P173" s="611">
        <f t="shared" si="109"/>
        <v>44561</v>
      </c>
    </row>
    <row r="174" spans="1:16" ht="12.75" customHeight="1">
      <c r="A174" s="94"/>
      <c r="B174" s="63"/>
      <c r="C174" s="63"/>
      <c r="D174" s="63"/>
      <c r="E174" s="628"/>
      <c r="F174" s="628"/>
      <c r="G174" s="637"/>
      <c r="H174" s="62"/>
      <c r="I174" s="63"/>
      <c r="J174" s="421"/>
      <c r="K174" s="63"/>
      <c r="L174" s="63"/>
      <c r="M174" s="63"/>
      <c r="N174" s="421"/>
      <c r="O174" s="63"/>
      <c r="P174" s="219"/>
    </row>
    <row r="175" spans="1:16" ht="12.75" customHeight="1">
      <c r="A175" s="19" t="str">
        <f>A103</f>
        <v>1st Lien Term Loan (Prepetition)</v>
      </c>
      <c r="B175" s="20"/>
      <c r="E175" s="195"/>
      <c r="F175" s="195"/>
      <c r="G175" s="217"/>
      <c r="H175" s="95"/>
      <c r="J175" s="421"/>
      <c r="N175" s="421"/>
      <c r="P175" s="207"/>
    </row>
    <row r="176" spans="1:16" ht="12.75" customHeight="1">
      <c r="A176" s="39" t="s">
        <v>112</v>
      </c>
      <c r="B176" s="39"/>
      <c r="E176" s="195">
        <v>0</v>
      </c>
      <c r="F176" s="199">
        <f>E179</f>
        <v>5</v>
      </c>
      <c r="G176" s="218">
        <f>F179</f>
        <v>4.166666666666667</v>
      </c>
      <c r="H176" s="95">
        <f>G179</f>
        <v>3.3333333333333339</v>
      </c>
      <c r="I176" s="1">
        <f>H179</f>
        <v>3.1250000000000004</v>
      </c>
      <c r="J176" s="421"/>
      <c r="K176" s="1">
        <f>H179</f>
        <v>3.1250000000000004</v>
      </c>
      <c r="L176" s="1">
        <f>K179</f>
        <v>0</v>
      </c>
      <c r="M176" s="1">
        <f>L179</f>
        <v>0</v>
      </c>
      <c r="N176" s="421"/>
      <c r="O176" s="1">
        <f>L179</f>
        <v>0</v>
      </c>
      <c r="P176" s="207">
        <f>H176</f>
        <v>3.3333333333333339</v>
      </c>
    </row>
    <row r="177" spans="1:18" ht="12.75" customHeight="1">
      <c r="A177" s="39" t="s">
        <v>133</v>
      </c>
      <c r="B177" s="39"/>
      <c r="E177" s="199">
        <f>R178*E106</f>
        <v>5</v>
      </c>
      <c r="F177" s="195">
        <v>0</v>
      </c>
      <c r="G177" s="217">
        <v>0</v>
      </c>
      <c r="H177" s="178">
        <v>0</v>
      </c>
      <c r="I177" s="6">
        <v>0</v>
      </c>
      <c r="J177" s="421"/>
      <c r="K177" s="110">
        <f>SUM(I177:J177)</f>
        <v>0</v>
      </c>
      <c r="L177" s="6">
        <v>0</v>
      </c>
      <c r="M177" s="6">
        <v>0</v>
      </c>
      <c r="N177" s="421"/>
      <c r="O177" s="110">
        <f>SUM(M177:N177)</f>
        <v>0</v>
      </c>
      <c r="P177" s="207">
        <f>SUM(H177:J177,L177:N177)</f>
        <v>0</v>
      </c>
    </row>
    <row r="178" spans="1:18" ht="12.75" customHeight="1">
      <c r="A178" s="39" t="s">
        <v>134</v>
      </c>
      <c r="B178" s="39"/>
      <c r="D178" s="36"/>
      <c r="E178" s="340">
        <v>0</v>
      </c>
      <c r="F178" s="199">
        <f>-MIN(YEARFRAC(E$173,F$173)/$R180*$E177,F176)</f>
        <v>-0.83333333333333326</v>
      </c>
      <c r="G178" s="218">
        <f>-MIN(YEARFRAC(F$173,G$173)/$R180*$E177,G176)</f>
        <v>-0.83333333333333326</v>
      </c>
      <c r="H178" s="95">
        <f>-MIN(YEARFRAC(G$173,H$173)/$R180*$E177,H176)</f>
        <v>-0.20833333333333331</v>
      </c>
      <c r="I178" s="1">
        <f>-MIN(YEARFRAC(H$173,I$173)/$R180*$E177,I176)</f>
        <v>-0.20833333333333331</v>
      </c>
      <c r="J178" s="421">
        <f>-I179</f>
        <v>-2.916666666666667</v>
      </c>
      <c r="K178" s="110">
        <f>SUM(I178:J178)</f>
        <v>-3.1250000000000004</v>
      </c>
      <c r="L178" s="1">
        <f>-MIN(YEARFRAC(K$173,L$173)/$R180*$E177,L176)</f>
        <v>0</v>
      </c>
      <c r="M178" s="1">
        <f>-MIN(YEARFRAC(L$173,M$173)/$R180*$E177,M176)</f>
        <v>0</v>
      </c>
      <c r="N178" s="421"/>
      <c r="O178" s="110">
        <f>SUM(M178:N178)</f>
        <v>0</v>
      </c>
      <c r="P178" s="207">
        <f>SUM(H178:J178,L178:N178)</f>
        <v>-3.3333333333333335</v>
      </c>
      <c r="R178" s="638">
        <v>0.02</v>
      </c>
    </row>
    <row r="179" spans="1:18" ht="12.75" customHeight="1">
      <c r="A179" s="40" t="s">
        <v>115</v>
      </c>
      <c r="B179" s="40"/>
      <c r="E179" s="630">
        <f>SUM(E176:E177)</f>
        <v>5</v>
      </c>
      <c r="F179" s="630">
        <f>SUM(F176:F178)</f>
        <v>4.166666666666667</v>
      </c>
      <c r="G179" s="631">
        <f>SUM(G176:G178)</f>
        <v>3.3333333333333339</v>
      </c>
      <c r="H179" s="185">
        <f t="shared" ref="H179:I179" si="110">SUM(H176:H178)</f>
        <v>3.1250000000000004</v>
      </c>
      <c r="I179" s="632">
        <f t="shared" si="110"/>
        <v>2.916666666666667</v>
      </c>
      <c r="J179" s="435"/>
      <c r="K179" s="632">
        <f t="shared" ref="K179" si="111">SUM(K176:K178)</f>
        <v>0</v>
      </c>
      <c r="L179" s="632">
        <f t="shared" ref="L179" si="112">SUM(L176:L178)</f>
        <v>0</v>
      </c>
      <c r="M179" s="632">
        <f>SUM(M176:M178)</f>
        <v>0</v>
      </c>
      <c r="N179" s="435"/>
      <c r="O179" s="632">
        <f t="shared" ref="O179" si="113">SUM(O176:O178)</f>
        <v>0</v>
      </c>
      <c r="P179" s="222">
        <f t="shared" ref="P179" si="114">SUM(P176:P178)</f>
        <v>0</v>
      </c>
      <c r="R179" s="336">
        <v>45657</v>
      </c>
    </row>
    <row r="180" spans="1:18" ht="12.75" customHeight="1">
      <c r="A180" s="39"/>
      <c r="E180" s="195"/>
      <c r="F180" s="195"/>
      <c r="G180" s="217"/>
      <c r="H180" s="95"/>
      <c r="J180" s="421"/>
      <c r="N180" s="628"/>
      <c r="P180" s="207"/>
      <c r="R180" s="227">
        <f>YEARFRAC($E$8,R179)</f>
        <v>6</v>
      </c>
    </row>
    <row r="181" spans="1:18" ht="12.75" customHeight="1">
      <c r="A181" s="19" t="str">
        <f>A111</f>
        <v>2nd Lien Term Loan (Prepetition)</v>
      </c>
      <c r="B181" s="20"/>
      <c r="C181" s="44"/>
      <c r="E181" s="195"/>
      <c r="F181" s="195"/>
      <c r="G181" s="217"/>
      <c r="H181" s="95"/>
      <c r="J181" s="421"/>
      <c r="N181" s="421"/>
      <c r="P181" s="207"/>
    </row>
    <row r="182" spans="1:18" ht="12.75" customHeight="1">
      <c r="A182" s="39" t="s">
        <v>112</v>
      </c>
      <c r="B182" s="39"/>
      <c r="C182" s="44"/>
      <c r="E182" s="195">
        <v>0</v>
      </c>
      <c r="F182" s="199">
        <f>E185</f>
        <v>2</v>
      </c>
      <c r="G182" s="218">
        <f>F185</f>
        <v>1.6363636363636362</v>
      </c>
      <c r="H182" s="95">
        <f>G185</f>
        <v>1.2727272727272725</v>
      </c>
      <c r="I182" s="1">
        <f>H185</f>
        <v>1.1818181818181817</v>
      </c>
      <c r="J182" s="421"/>
      <c r="K182" s="1">
        <f>H185</f>
        <v>1.1818181818181817</v>
      </c>
      <c r="L182" s="1">
        <f>K185</f>
        <v>1.0909090909090908</v>
      </c>
      <c r="M182" s="1">
        <f>L185</f>
        <v>0.99999999999999989</v>
      </c>
      <c r="N182" s="421"/>
      <c r="O182" s="1">
        <f>L185</f>
        <v>0.99999999999999989</v>
      </c>
      <c r="P182" s="207">
        <f>H182</f>
        <v>1.2727272727272725</v>
      </c>
    </row>
    <row r="183" spans="1:18" ht="12.75" customHeight="1">
      <c r="A183" s="39" t="s">
        <v>133</v>
      </c>
      <c r="B183" s="39"/>
      <c r="C183" s="44"/>
      <c r="E183" s="199">
        <f>R184*E114</f>
        <v>2</v>
      </c>
      <c r="F183" s="195">
        <v>0</v>
      </c>
      <c r="G183" s="217">
        <v>0</v>
      </c>
      <c r="H183" s="178">
        <v>0</v>
      </c>
      <c r="I183" s="6">
        <v>0</v>
      </c>
      <c r="J183" s="421"/>
      <c r="K183" s="110">
        <f>SUM(I183:J183)</f>
        <v>0</v>
      </c>
      <c r="L183" s="6">
        <v>0</v>
      </c>
      <c r="M183" s="6">
        <v>0</v>
      </c>
      <c r="N183" s="421"/>
      <c r="O183" s="110">
        <f>SUM(M183:N183)</f>
        <v>0</v>
      </c>
      <c r="P183" s="207">
        <f>SUM(H183:J183,L183:N183)</f>
        <v>0</v>
      </c>
    </row>
    <row r="184" spans="1:18" ht="12.75" customHeight="1">
      <c r="A184" s="39" t="s">
        <v>134</v>
      </c>
      <c r="B184" s="39"/>
      <c r="C184" s="44"/>
      <c r="E184" s="340">
        <v>0</v>
      </c>
      <c r="F184" s="199">
        <f>-MIN(YEARFRAC(E$173,F$173)/$R186*$E183,F182)</f>
        <v>-0.36363636363636365</v>
      </c>
      <c r="G184" s="218">
        <f>-MIN(YEARFRAC(F$173,G$173)/$R186*$E183,G182)</f>
        <v>-0.36363636363636365</v>
      </c>
      <c r="H184" s="95">
        <f>-MIN(YEARFRAC(G$173,H$173)/$R186*$E183,H182)</f>
        <v>-9.0909090909090912E-2</v>
      </c>
      <c r="I184" s="1">
        <f>-MIN(YEARFRAC(H$173,I$173)/$R186*$E183,I182)</f>
        <v>-9.0909090909090912E-2</v>
      </c>
      <c r="J184" s="421"/>
      <c r="K184" s="110">
        <f>SUM(I184:J184)</f>
        <v>-9.0909090909090912E-2</v>
      </c>
      <c r="L184" s="1">
        <f>-MIN(YEARFRAC(K$173,L$173)/$R186*$E183,L182)</f>
        <v>-9.0909090909090912E-2</v>
      </c>
      <c r="M184" s="1">
        <f>-MIN(YEARFRAC(L$173,M$173)/$R186*$E183,M182)</f>
        <v>-9.0909090909090912E-2</v>
      </c>
      <c r="N184" s="535">
        <f>-M185</f>
        <v>-0.90909090909090895</v>
      </c>
      <c r="O184" s="110">
        <f>SUM(M184:N184)</f>
        <v>-0.99999999999999989</v>
      </c>
      <c r="P184" s="207">
        <f>SUM(H184:J184,L184:N184)</f>
        <v>-1.2727272727272725</v>
      </c>
      <c r="R184" s="638">
        <v>0.02</v>
      </c>
    </row>
    <row r="185" spans="1:18" ht="12.75" customHeight="1">
      <c r="A185" s="40" t="s">
        <v>115</v>
      </c>
      <c r="B185" s="40"/>
      <c r="C185" s="44"/>
      <c r="E185" s="630">
        <f>SUM(E182:E183)</f>
        <v>2</v>
      </c>
      <c r="F185" s="630">
        <f>SUM(F182:F184)</f>
        <v>1.6363636363636362</v>
      </c>
      <c r="G185" s="631">
        <f>SUM(G182:G184)</f>
        <v>1.2727272727272725</v>
      </c>
      <c r="H185" s="185">
        <f t="shared" ref="H185:I185" si="115">SUM(H182:H184)</f>
        <v>1.1818181818181817</v>
      </c>
      <c r="I185" s="632">
        <f t="shared" si="115"/>
        <v>1.0909090909090908</v>
      </c>
      <c r="J185" s="435"/>
      <c r="K185" s="632">
        <f t="shared" ref="K185" si="116">SUM(K182:K184)</f>
        <v>1.0909090909090908</v>
      </c>
      <c r="L185" s="632">
        <f t="shared" ref="L185" si="117">SUM(L182:L184)</f>
        <v>0.99999999999999989</v>
      </c>
      <c r="M185" s="632">
        <f>SUM(M182:M184)</f>
        <v>0.90909090909090895</v>
      </c>
      <c r="N185" s="435"/>
      <c r="O185" s="632">
        <f t="shared" ref="O185" si="118">SUM(O182:O184)</f>
        <v>0</v>
      </c>
      <c r="P185" s="222">
        <f t="shared" ref="P185" si="119">SUM(P182:P184)</f>
        <v>0</v>
      </c>
      <c r="R185" s="336">
        <v>45473</v>
      </c>
    </row>
    <row r="186" spans="1:18" ht="12.75" customHeight="1">
      <c r="B186" s="16"/>
      <c r="C186" s="103"/>
      <c r="E186" s="195"/>
      <c r="F186" s="195"/>
      <c r="G186" s="217"/>
      <c r="H186" s="95"/>
      <c r="J186" s="421"/>
      <c r="N186" s="421"/>
      <c r="P186" s="207"/>
      <c r="R186" s="227">
        <f>YEARFRAC($E$8,R185)</f>
        <v>5.5</v>
      </c>
    </row>
    <row r="187" spans="1:18" ht="12.75" customHeight="1">
      <c r="A187" s="19" t="str">
        <f>A119</f>
        <v>Senior Toggle Notes (Prepetition)</v>
      </c>
      <c r="B187" s="20"/>
      <c r="C187" s="44"/>
      <c r="E187" s="195"/>
      <c r="F187" s="195"/>
      <c r="G187" s="217"/>
      <c r="H187" s="187"/>
      <c r="I187" s="3"/>
      <c r="J187" s="417"/>
      <c r="K187" s="3"/>
      <c r="L187" s="3"/>
      <c r="M187" s="3"/>
      <c r="N187" s="417"/>
      <c r="O187" s="3"/>
      <c r="P187" s="223"/>
    </row>
    <row r="188" spans="1:18" ht="12.75" customHeight="1">
      <c r="A188" s="39" t="s">
        <v>112</v>
      </c>
      <c r="B188" s="39"/>
      <c r="C188" s="44"/>
      <c r="E188" s="195">
        <v>0</v>
      </c>
      <c r="F188" s="199">
        <f>E191</f>
        <v>6</v>
      </c>
      <c r="G188" s="218">
        <f>F191</f>
        <v>4.5</v>
      </c>
      <c r="H188" s="95">
        <f>G191</f>
        <v>3</v>
      </c>
      <c r="I188" s="1">
        <f>H191</f>
        <v>2.625</v>
      </c>
      <c r="J188" s="421"/>
      <c r="K188" s="1">
        <f>H191</f>
        <v>2.625</v>
      </c>
      <c r="L188" s="1">
        <f>K191</f>
        <v>2.25</v>
      </c>
      <c r="M188" s="1">
        <f>L191</f>
        <v>1.875</v>
      </c>
      <c r="N188" s="421"/>
      <c r="O188" s="1">
        <f>L191</f>
        <v>1.875</v>
      </c>
      <c r="P188" s="207">
        <f>H188</f>
        <v>3</v>
      </c>
    </row>
    <row r="189" spans="1:18" ht="12.75" customHeight="1">
      <c r="A189" s="39" t="s">
        <v>133</v>
      </c>
      <c r="B189" s="39"/>
      <c r="C189" s="44"/>
      <c r="E189" s="199">
        <f>R190*E123</f>
        <v>6</v>
      </c>
      <c r="F189" s="195">
        <v>0</v>
      </c>
      <c r="G189" s="217">
        <v>0</v>
      </c>
      <c r="H189" s="178">
        <v>0</v>
      </c>
      <c r="I189" s="6">
        <v>0</v>
      </c>
      <c r="J189" s="421"/>
      <c r="K189" s="110">
        <f>SUM(I189:J189)</f>
        <v>0</v>
      </c>
      <c r="L189" s="6">
        <v>0</v>
      </c>
      <c r="M189" s="6">
        <v>0</v>
      </c>
      <c r="N189" s="421"/>
      <c r="O189" s="110">
        <f>SUM(M189:N189)</f>
        <v>0</v>
      </c>
      <c r="P189" s="207">
        <f>SUM(H189:J189,L189:N189)</f>
        <v>0</v>
      </c>
    </row>
    <row r="190" spans="1:18" ht="12.75" customHeight="1">
      <c r="A190" s="39" t="s">
        <v>134</v>
      </c>
      <c r="B190" s="39"/>
      <c r="C190" s="44"/>
      <c r="E190" s="340">
        <v>0</v>
      </c>
      <c r="F190" s="199">
        <f>-MIN(YEARFRAC(E$173,F$173)/$R192*$E189,F188)</f>
        <v>-1.5</v>
      </c>
      <c r="G190" s="218">
        <f>-MIN(YEARFRAC(F$173,G$173)/$R192*$E189,G188)</f>
        <v>-1.5</v>
      </c>
      <c r="H190" s="95">
        <f>-MIN(YEARFRAC(G$173,H$173)/$R192*$E189,H188)</f>
        <v>-0.375</v>
      </c>
      <c r="I190" s="1">
        <f>-MIN(YEARFRAC(H$173,I$173)/$R192*$E189,I188)</f>
        <v>-0.375</v>
      </c>
      <c r="J190" s="427"/>
      <c r="K190" s="110">
        <f>SUM(I190:J190)</f>
        <v>-0.375</v>
      </c>
      <c r="L190" s="1">
        <f>-MIN(YEARFRAC(K$173,L$173)/$R192*$E189,L188)</f>
        <v>-0.375</v>
      </c>
      <c r="M190" s="1">
        <f>-MIN(YEARFRAC(L$173,M$173)/$R192*$E189,M188)</f>
        <v>-0.375</v>
      </c>
      <c r="N190" s="535">
        <f>-M191</f>
        <v>-1.5</v>
      </c>
      <c r="O190" s="110">
        <f>SUM(M190:N190)</f>
        <v>-1.875</v>
      </c>
      <c r="P190" s="207">
        <f>SUM(H190:J190,L190:N190)</f>
        <v>-3</v>
      </c>
      <c r="R190" s="638">
        <v>0.03</v>
      </c>
    </row>
    <row r="191" spans="1:18" ht="12.75" customHeight="1">
      <c r="A191" s="40" t="s">
        <v>115</v>
      </c>
      <c r="B191" s="40"/>
      <c r="C191" s="44"/>
      <c r="E191" s="630">
        <f>SUM(E188:E189)</f>
        <v>6</v>
      </c>
      <c r="F191" s="630">
        <f>SUM(F188:F190)</f>
        <v>4.5</v>
      </c>
      <c r="G191" s="631">
        <f>SUM(G188:G190)</f>
        <v>3</v>
      </c>
      <c r="H191" s="185">
        <f>SUM(H188:H190)</f>
        <v>2.625</v>
      </c>
      <c r="I191" s="632">
        <f>SUM(I188:I190)</f>
        <v>2.25</v>
      </c>
      <c r="J191" s="435"/>
      <c r="K191" s="632">
        <f>SUM(K188:K190)</f>
        <v>2.25</v>
      </c>
      <c r="L191" s="632">
        <f>SUM(L188:L190)</f>
        <v>1.875</v>
      </c>
      <c r="M191" s="632">
        <f>SUM(M188:M190)</f>
        <v>1.5</v>
      </c>
      <c r="N191" s="435"/>
      <c r="O191" s="632">
        <f>SUM(O188:O190)</f>
        <v>0</v>
      </c>
      <c r="P191" s="222">
        <f t="shared" ref="P191" si="120">SUM(P188:P190)</f>
        <v>0</v>
      </c>
      <c r="R191" s="336">
        <v>44926</v>
      </c>
    </row>
    <row r="192" spans="1:18" ht="12.75" customHeight="1">
      <c r="A192" s="39"/>
      <c r="B192" s="39"/>
      <c r="E192" s="195"/>
      <c r="F192" s="195"/>
      <c r="G192" s="217"/>
      <c r="H192" s="178"/>
      <c r="I192" s="6"/>
      <c r="J192" s="427"/>
      <c r="K192" s="6"/>
      <c r="L192" s="6"/>
      <c r="M192" s="6"/>
      <c r="N192" s="427"/>
      <c r="O192" s="6"/>
      <c r="P192" s="224"/>
      <c r="R192" s="227">
        <f>YEARFRAC($E$8,R191)</f>
        <v>4</v>
      </c>
    </row>
    <row r="193" spans="1:18" ht="12.75" customHeight="1">
      <c r="A193" s="19" t="str">
        <f>A128</f>
        <v>DIP Facility</v>
      </c>
      <c r="B193" s="20"/>
      <c r="E193" s="195"/>
      <c r="F193" s="195"/>
      <c r="G193" s="217"/>
      <c r="H193" s="187"/>
      <c r="I193" s="3"/>
      <c r="J193" s="417"/>
      <c r="K193" s="3"/>
      <c r="L193" s="3"/>
      <c r="M193" s="3"/>
      <c r="N193" s="417"/>
      <c r="O193" s="3"/>
      <c r="P193" s="223"/>
    </row>
    <row r="194" spans="1:18" ht="12.75" customHeight="1">
      <c r="A194" s="39" t="s">
        <v>112</v>
      </c>
      <c r="B194" s="3"/>
      <c r="C194" s="44"/>
      <c r="E194" s="195"/>
      <c r="F194" s="199"/>
      <c r="G194" s="218"/>
      <c r="J194" s="421"/>
      <c r="K194" s="1">
        <f>H197</f>
        <v>0</v>
      </c>
      <c r="L194" s="1">
        <f>K197</f>
        <v>4.05</v>
      </c>
      <c r="M194" s="1">
        <f>L197</f>
        <v>3.94875</v>
      </c>
      <c r="N194" s="421"/>
      <c r="O194" s="1">
        <f>L197</f>
        <v>3.94875</v>
      </c>
      <c r="P194" s="207">
        <f>H194</f>
        <v>0</v>
      </c>
    </row>
    <row r="195" spans="1:18" ht="12.75" customHeight="1">
      <c r="A195" s="39" t="s">
        <v>133</v>
      </c>
      <c r="B195" s="3"/>
      <c r="C195" s="44"/>
      <c r="E195" s="195"/>
      <c r="F195" s="199"/>
      <c r="G195" s="218"/>
      <c r="J195" s="421">
        <f>R196*J130</f>
        <v>4.05</v>
      </c>
      <c r="K195" s="110">
        <f>SUM(I195:J195)</f>
        <v>4.05</v>
      </c>
      <c r="L195" s="6">
        <v>0</v>
      </c>
      <c r="M195" s="6">
        <v>0</v>
      </c>
      <c r="N195" s="421"/>
      <c r="O195" s="110">
        <f>SUM(M195:N195)</f>
        <v>0</v>
      </c>
      <c r="P195" s="207">
        <f>SUM(H195:J195,L195:N195)</f>
        <v>4.05</v>
      </c>
    </row>
    <row r="196" spans="1:18" ht="12.75" customHeight="1">
      <c r="A196" s="39" t="s">
        <v>134</v>
      </c>
      <c r="B196" s="39"/>
      <c r="E196" s="199"/>
      <c r="F196" s="195"/>
      <c r="G196" s="217"/>
      <c r="H196" s="6"/>
      <c r="I196" s="6"/>
      <c r="J196" s="431"/>
      <c r="K196" s="110">
        <f>SUM(I196:J196)</f>
        <v>0</v>
      </c>
      <c r="L196" s="1">
        <f>-MIN(YEARFRAC(K$173,L$173)/$R198*$J195,L194)</f>
        <v>-0.10125000000000001</v>
      </c>
      <c r="M196" s="1">
        <f>-MIN(YEARFRAC(L$173,M$173)/$R198*$J195,M194)</f>
        <v>-0.10125000000000001</v>
      </c>
      <c r="N196" s="535">
        <f>-M197</f>
        <v>-3.8475000000000001</v>
      </c>
      <c r="O196" s="110">
        <f>SUM(M196:N196)</f>
        <v>-3.94875</v>
      </c>
      <c r="P196" s="207">
        <f>SUM(H196:J196,L196:N196)</f>
        <v>-4.05</v>
      </c>
      <c r="R196" s="638">
        <v>1.7999999999999999E-2</v>
      </c>
    </row>
    <row r="197" spans="1:18" ht="12.75" customHeight="1">
      <c r="A197" s="40" t="s">
        <v>115</v>
      </c>
      <c r="B197" s="39"/>
      <c r="E197" s="630"/>
      <c r="F197" s="635"/>
      <c r="G197" s="636"/>
      <c r="H197" s="632"/>
      <c r="I197" s="632"/>
      <c r="J197" s="435"/>
      <c r="K197" s="632">
        <f t="shared" ref="K197:L197" si="121">SUM(K194:K196)</f>
        <v>4.05</v>
      </c>
      <c r="L197" s="632">
        <f t="shared" si="121"/>
        <v>3.94875</v>
      </c>
      <c r="M197" s="632">
        <f>SUM(M194:M196)</f>
        <v>3.8475000000000001</v>
      </c>
      <c r="N197" s="435"/>
      <c r="O197" s="632">
        <f t="shared" ref="O197" si="122">SUM(O194:O196)</f>
        <v>0</v>
      </c>
      <c r="P197" s="222">
        <f t="shared" ref="P197" si="123">SUM(P194:P196)</f>
        <v>0</v>
      </c>
      <c r="R197" s="336">
        <v>48029</v>
      </c>
    </row>
    <row r="198" spans="1:18" ht="12.75" customHeight="1">
      <c r="A198" s="39"/>
      <c r="B198" s="39"/>
      <c r="C198" s="44"/>
      <c r="E198" s="195"/>
      <c r="F198" s="195"/>
      <c r="G198" s="217"/>
      <c r="H198" s="95"/>
      <c r="J198" s="421"/>
      <c r="N198" s="421"/>
      <c r="P198" s="207"/>
      <c r="R198" s="227">
        <f>YEARFRAC($K$8,R197)</f>
        <v>10</v>
      </c>
    </row>
    <row r="199" spans="1:18" ht="12.75" customHeight="1">
      <c r="A199" s="19" t="str">
        <f>A136</f>
        <v>1st Lien Exit Facility</v>
      </c>
      <c r="B199" s="20"/>
      <c r="C199" s="44"/>
      <c r="E199" s="195"/>
      <c r="F199" s="195"/>
      <c r="G199" s="217"/>
      <c r="H199" s="95"/>
      <c r="J199" s="421"/>
      <c r="N199" s="421"/>
      <c r="P199" s="207"/>
    </row>
    <row r="200" spans="1:18" ht="12.75" customHeight="1">
      <c r="A200" s="39" t="s">
        <v>112</v>
      </c>
      <c r="B200" s="39"/>
      <c r="C200" s="44"/>
      <c r="E200" s="195"/>
      <c r="F200" s="199"/>
      <c r="G200" s="218"/>
      <c r="H200" s="184"/>
      <c r="I200" s="4"/>
      <c r="J200" s="423"/>
      <c r="K200" s="4"/>
      <c r="L200" s="4"/>
      <c r="M200" s="4"/>
      <c r="N200" s="423"/>
      <c r="O200" s="4"/>
      <c r="P200" s="221">
        <f>H200</f>
        <v>0</v>
      </c>
    </row>
    <row r="201" spans="1:18" ht="12.75" customHeight="1">
      <c r="A201" s="39" t="s">
        <v>133</v>
      </c>
      <c r="B201" s="39"/>
      <c r="C201" s="44"/>
      <c r="E201" s="195"/>
      <c r="F201" s="199"/>
      <c r="G201" s="218"/>
      <c r="H201" s="184"/>
      <c r="I201" s="4"/>
      <c r="J201" s="423"/>
      <c r="K201" s="4"/>
      <c r="L201" s="4"/>
      <c r="M201" s="4"/>
      <c r="N201" s="628">
        <f>R202*N57</f>
        <v>9.6250000000000018</v>
      </c>
      <c r="O201" s="4"/>
      <c r="P201" s="207">
        <f>SUM(H201:J201,L201:N201)</f>
        <v>9.6250000000000018</v>
      </c>
    </row>
    <row r="202" spans="1:18" ht="12.75" customHeight="1">
      <c r="A202" s="39" t="s">
        <v>134</v>
      </c>
      <c r="B202" s="39"/>
      <c r="C202" s="44"/>
      <c r="E202" s="195"/>
      <c r="F202" s="199"/>
      <c r="G202" s="218"/>
      <c r="H202" s="95"/>
      <c r="J202" s="421"/>
      <c r="N202" s="431"/>
      <c r="P202" s="207">
        <f>SUM(H202:J202,L202:N202)</f>
        <v>0</v>
      </c>
      <c r="R202" s="639">
        <f>'Recap-Fresh Start Schedule'!Z9</f>
        <v>3.5000000000000003E-2</v>
      </c>
    </row>
    <row r="203" spans="1:18" ht="12.75" customHeight="1">
      <c r="A203" s="40" t="s">
        <v>115</v>
      </c>
      <c r="B203" s="40"/>
      <c r="C203" s="44"/>
      <c r="E203" s="634"/>
      <c r="F203" s="630"/>
      <c r="G203" s="631"/>
      <c r="H203" s="185"/>
      <c r="I203" s="632"/>
      <c r="J203" s="435"/>
      <c r="K203" s="632"/>
      <c r="L203" s="632"/>
      <c r="M203" s="632"/>
      <c r="N203" s="435"/>
      <c r="O203" s="632"/>
      <c r="P203" s="222">
        <f t="shared" ref="P203" si="124">SUM(P200:P202)</f>
        <v>9.6250000000000018</v>
      </c>
      <c r="R203" s="336">
        <v>46387</v>
      </c>
    </row>
    <row r="204" spans="1:18" ht="12.75" customHeight="1">
      <c r="A204" s="40"/>
      <c r="B204" s="40"/>
      <c r="C204" s="44"/>
      <c r="E204" s="195"/>
      <c r="F204" s="199"/>
      <c r="G204" s="218"/>
      <c r="H204" s="95"/>
      <c r="J204" s="421"/>
      <c r="N204" s="421"/>
      <c r="P204" s="207"/>
      <c r="R204" s="227">
        <f>YEARFRAC($P$8,R203)</f>
        <v>5</v>
      </c>
    </row>
    <row r="205" spans="1:18" ht="12.75" customHeight="1">
      <c r="A205" s="19" t="s">
        <v>135</v>
      </c>
      <c r="B205" s="40"/>
      <c r="C205" s="44"/>
      <c r="E205" s="195"/>
      <c r="F205" s="199"/>
      <c r="G205" s="218"/>
      <c r="H205" s="95"/>
      <c r="J205" s="421"/>
      <c r="N205" s="421"/>
      <c r="P205" s="207"/>
    </row>
    <row r="206" spans="1:18" ht="12.75" customHeight="1">
      <c r="A206" s="39" t="s">
        <v>112</v>
      </c>
      <c r="B206" s="40"/>
      <c r="C206" s="44"/>
      <c r="E206" s="199">
        <f t="shared" ref="E206" si="125">SUM(E176,E182,E188,E194,E200)</f>
        <v>0</v>
      </c>
      <c r="F206" s="199">
        <f>E209</f>
        <v>13</v>
      </c>
      <c r="G206" s="218">
        <f>F209</f>
        <v>10.303030303030303</v>
      </c>
      <c r="H206" s="95">
        <f>G209</f>
        <v>7.6060606060606055</v>
      </c>
      <c r="I206" s="1">
        <f>H209</f>
        <v>6.9318181818181817</v>
      </c>
      <c r="J206" s="421"/>
      <c r="K206" s="1">
        <f>H209</f>
        <v>6.9318181818181817</v>
      </c>
      <c r="L206" s="1">
        <f>K209</f>
        <v>7.3909090909090889</v>
      </c>
      <c r="M206" s="1">
        <f>L209</f>
        <v>6.8237499999999978</v>
      </c>
      <c r="N206" s="421"/>
      <c r="O206" s="1">
        <f>L209</f>
        <v>6.8237499999999978</v>
      </c>
      <c r="P206" s="207">
        <f>H206</f>
        <v>7.6060606060606055</v>
      </c>
    </row>
    <row r="207" spans="1:18" ht="12.75" customHeight="1">
      <c r="A207" s="39" t="s">
        <v>133</v>
      </c>
      <c r="B207" s="40"/>
      <c r="C207" s="44"/>
      <c r="E207" s="199">
        <f t="shared" ref="E207:J208" si="126">SUM(E177,E183,E189,E195,E201)</f>
        <v>13</v>
      </c>
      <c r="F207" s="199">
        <f t="shared" si="126"/>
        <v>0</v>
      </c>
      <c r="G207" s="218">
        <f t="shared" si="126"/>
        <v>0</v>
      </c>
      <c r="H207" s="289">
        <f t="shared" si="126"/>
        <v>0</v>
      </c>
      <c r="I207" s="110">
        <f t="shared" si="126"/>
        <v>0</v>
      </c>
      <c r="J207" s="421">
        <f t="shared" si="126"/>
        <v>4.05</v>
      </c>
      <c r="K207" s="1">
        <f>SUM(I207:J207)</f>
        <v>4.05</v>
      </c>
      <c r="L207" s="110">
        <f t="shared" ref="L207:N208" si="127">SUM(L177,L183,L189,L195,L201)</f>
        <v>0</v>
      </c>
      <c r="M207" s="110">
        <f t="shared" si="127"/>
        <v>0</v>
      </c>
      <c r="N207" s="421">
        <f t="shared" si="127"/>
        <v>9.6250000000000018</v>
      </c>
      <c r="O207" s="1">
        <f>SUM(M207:N207)</f>
        <v>9.6250000000000018</v>
      </c>
      <c r="P207" s="207">
        <f>SUM(H207:J207,L207:N207)</f>
        <v>13.675000000000001</v>
      </c>
    </row>
    <row r="208" spans="1:18" ht="12.75" customHeight="1">
      <c r="A208" s="39" t="s">
        <v>134</v>
      </c>
      <c r="B208" s="39"/>
      <c r="C208" s="44"/>
      <c r="E208" s="199">
        <f t="shared" si="126"/>
        <v>0</v>
      </c>
      <c r="F208" s="199">
        <f t="shared" si="126"/>
        <v>-2.6969696969696968</v>
      </c>
      <c r="G208" s="218">
        <f t="shared" si="126"/>
        <v>-2.6969696969696968</v>
      </c>
      <c r="H208" s="289">
        <f t="shared" si="126"/>
        <v>-0.6742424242424242</v>
      </c>
      <c r="I208" s="110">
        <f t="shared" si="126"/>
        <v>-0.6742424242424242</v>
      </c>
      <c r="J208" s="421">
        <f>SUM(J178,J184,J190,J196,J202)</f>
        <v>-2.916666666666667</v>
      </c>
      <c r="K208" s="1">
        <f>SUM(I208:J208)</f>
        <v>-3.5909090909090913</v>
      </c>
      <c r="L208" s="110">
        <f t="shared" si="127"/>
        <v>-0.56715909090909089</v>
      </c>
      <c r="M208" s="110">
        <f t="shared" si="127"/>
        <v>-0.56715909090909089</v>
      </c>
      <c r="N208" s="431">
        <f>SUM(N178,N184,N190,N196,N202)</f>
        <v>-6.2565909090909093</v>
      </c>
      <c r="O208" s="1">
        <f>SUM(M208:N208)</f>
        <v>-6.8237500000000004</v>
      </c>
      <c r="P208" s="207">
        <f>SUM(H208:J208,L208:N208)</f>
        <v>-11.656060606060606</v>
      </c>
    </row>
    <row r="209" spans="1:16" ht="12.75" customHeight="1">
      <c r="A209" s="337" t="s">
        <v>136</v>
      </c>
      <c r="B209" s="337"/>
      <c r="C209" s="47"/>
      <c r="D209" s="2"/>
      <c r="E209" s="640">
        <f>SUM(E206:E208)</f>
        <v>13</v>
      </c>
      <c r="F209" s="640">
        <f>SUM(F206:F208)</f>
        <v>10.303030303030303</v>
      </c>
      <c r="G209" s="641">
        <f>SUM(G206:G208)</f>
        <v>7.6060606060606055</v>
      </c>
      <c r="H209" s="338">
        <f>SUM(H206:H208)</f>
        <v>6.9318181818181817</v>
      </c>
      <c r="I209" s="642">
        <f>SUM(I206:I208)</f>
        <v>6.2575757575757578</v>
      </c>
      <c r="J209" s="436"/>
      <c r="K209" s="642">
        <f>SUM(K206:K208)</f>
        <v>7.3909090909090889</v>
      </c>
      <c r="L209" s="642">
        <f>SUM(L206:L208)</f>
        <v>6.8237499999999978</v>
      </c>
      <c r="M209" s="642">
        <f>SUM(M206:M208)</f>
        <v>6.2565909090909066</v>
      </c>
      <c r="N209" s="436"/>
      <c r="O209" s="642">
        <f>SUM(O206:O208)</f>
        <v>9.625</v>
      </c>
      <c r="P209" s="339">
        <f t="shared" ref="P209" si="128">SUM(P206:P208)</f>
        <v>9.625</v>
      </c>
    </row>
    <row r="210" spans="1:16" s="2" customFormat="1" ht="12.75" customHeight="1">
      <c r="A210" s="1"/>
      <c r="B210" s="1"/>
      <c r="C210" s="1"/>
      <c r="D210" s="1"/>
      <c r="E210" s="1"/>
      <c r="F210" s="1"/>
      <c r="G210" s="1"/>
      <c r="H210" s="1"/>
      <c r="I210" s="1"/>
      <c r="J210" s="1"/>
      <c r="K210" s="1"/>
      <c r="L210" s="1"/>
      <c r="M210" s="1"/>
      <c r="N210" s="1"/>
      <c r="O210" s="1"/>
      <c r="P210" s="1"/>
    </row>
    <row r="211" spans="1:16" ht="12.75" customHeight="1"/>
    <row r="212" spans="1:16" ht="12.75" customHeight="1">
      <c r="A212" s="93" t="s">
        <v>137</v>
      </c>
      <c r="B212" s="93"/>
      <c r="C212" s="93"/>
      <c r="D212" s="93"/>
      <c r="E212" s="93"/>
      <c r="F212" s="93"/>
      <c r="G212" s="93"/>
      <c r="H212" s="93"/>
      <c r="I212" s="93"/>
      <c r="J212" s="93"/>
      <c r="K212" s="93"/>
      <c r="L212" s="93"/>
      <c r="M212" s="93"/>
      <c r="N212" s="93"/>
      <c r="O212" s="93"/>
      <c r="P212" s="93"/>
    </row>
    <row r="213" spans="1:16" ht="12.75" customHeight="1" thickBot="1"/>
    <row r="214" spans="1:16" ht="12.75" customHeight="1">
      <c r="A214" s="94"/>
      <c r="B214" s="63"/>
      <c r="C214" s="63"/>
      <c r="D214" s="63"/>
      <c r="E214" s="604">
        <f>E$8</f>
        <v>43465</v>
      </c>
      <c r="F214" s="604">
        <f t="shared" ref="F214:P214" si="129">F$8</f>
        <v>43830</v>
      </c>
      <c r="G214" s="605">
        <f t="shared" si="129"/>
        <v>44196</v>
      </c>
      <c r="H214" s="606">
        <f t="shared" si="129"/>
        <v>44286</v>
      </c>
      <c r="I214" s="607">
        <f t="shared" si="129"/>
        <v>44377</v>
      </c>
      <c r="J214" s="608" t="str">
        <f t="shared" si="129"/>
        <v>FILING</v>
      </c>
      <c r="K214" s="609">
        <f t="shared" si="129"/>
        <v>44377</v>
      </c>
      <c r="L214" s="607">
        <f t="shared" si="129"/>
        <v>44469</v>
      </c>
      <c r="M214" s="607">
        <f>M$8</f>
        <v>44561</v>
      </c>
      <c r="N214" s="610" t="str">
        <f>N$8</f>
        <v>Adjustments</v>
      </c>
      <c r="O214" s="609">
        <f t="shared" si="129"/>
        <v>44561</v>
      </c>
      <c r="P214" s="611">
        <f t="shared" si="129"/>
        <v>44561</v>
      </c>
    </row>
    <row r="215" spans="1:16" ht="12.75" customHeight="1">
      <c r="A215" s="94"/>
      <c r="B215" s="63"/>
      <c r="C215" s="63"/>
      <c r="D215" s="63"/>
      <c r="E215" s="628"/>
      <c r="F215" s="628"/>
      <c r="G215" s="637"/>
      <c r="H215" s="62"/>
      <c r="I215" s="63"/>
      <c r="J215" s="421"/>
      <c r="K215" s="63"/>
      <c r="L215" s="63"/>
      <c r="M215" s="63"/>
      <c r="N215" s="421"/>
      <c r="O215" s="63"/>
      <c r="P215" s="219"/>
    </row>
    <row r="216" spans="1:16" ht="12.75" customHeight="1">
      <c r="A216" s="1" t="s">
        <v>138</v>
      </c>
      <c r="E216" s="194">
        <f>E10</f>
        <v>356.29399999999998</v>
      </c>
      <c r="F216" s="194">
        <f>F10</f>
        <v>338.82600000000002</v>
      </c>
      <c r="G216" s="54">
        <f>G10</f>
        <v>269.86399999999998</v>
      </c>
      <c r="H216" s="95">
        <f>H10</f>
        <v>69.489519000000001</v>
      </c>
      <c r="I216" s="1">
        <f>I10</f>
        <v>30</v>
      </c>
      <c r="J216" s="421"/>
      <c r="K216" s="1">
        <f>SUM(I216:J216)</f>
        <v>30</v>
      </c>
      <c r="L216" s="1">
        <f>L10</f>
        <v>69.3</v>
      </c>
      <c r="M216" s="1">
        <f>M10</f>
        <v>70.983711999999997</v>
      </c>
      <c r="N216" s="421"/>
      <c r="O216" s="1">
        <f>SUM(M216:N216)</f>
        <v>70.983711999999997</v>
      </c>
      <c r="P216" s="207">
        <f>SUM(H216:J216,L216:N216)</f>
        <v>239.77323099999998</v>
      </c>
    </row>
    <row r="217" spans="1:16" ht="12.75" customHeight="1">
      <c r="A217" s="1" t="s">
        <v>52</v>
      </c>
      <c r="E217" s="194">
        <f>E12</f>
        <v>179.18588199999999</v>
      </c>
      <c r="F217" s="194">
        <f>F12</f>
        <v>176.816</v>
      </c>
      <c r="G217" s="54">
        <f>G12</f>
        <v>140.61118400000001</v>
      </c>
      <c r="H217" s="95">
        <f>H12</f>
        <v>36.608879000000002</v>
      </c>
      <c r="I217" s="1">
        <f>I12</f>
        <v>36.327534999999997</v>
      </c>
      <c r="J217" s="421"/>
      <c r="K217" s="1">
        <f t="shared" ref="K217:K218" si="130">SUM(I217:J217)</f>
        <v>36.327534999999997</v>
      </c>
      <c r="L217" s="1">
        <f>L12</f>
        <v>37.525058000000001</v>
      </c>
      <c r="M217" s="1">
        <f>M12</f>
        <v>37.951576755360747</v>
      </c>
      <c r="N217" s="421"/>
      <c r="O217" s="1">
        <f t="shared" ref="O217:O218" si="131">SUM(M217:N217)</f>
        <v>37.951576755360747</v>
      </c>
      <c r="P217" s="207">
        <f t="shared" ref="P217:P218" si="132">SUM(H217:J217,L217:N217)</f>
        <v>148.41304875536076</v>
      </c>
    </row>
    <row r="218" spans="1:16" ht="12.75" customHeight="1">
      <c r="A218" s="1" t="s">
        <v>139</v>
      </c>
      <c r="E218" s="194">
        <v>365</v>
      </c>
      <c r="F218" s="194">
        <f>F8-E8</f>
        <v>365</v>
      </c>
      <c r="G218" s="54">
        <f>G8-F8</f>
        <v>366</v>
      </c>
      <c r="H218" s="95">
        <f>H8-G8</f>
        <v>90</v>
      </c>
      <c r="I218" s="1">
        <f>I8-H8</f>
        <v>91</v>
      </c>
      <c r="J218" s="421"/>
      <c r="K218" s="1">
        <f t="shared" si="130"/>
        <v>91</v>
      </c>
      <c r="L218" s="1">
        <f>L8-I8</f>
        <v>92</v>
      </c>
      <c r="M218" s="1">
        <f>M8-L8</f>
        <v>92</v>
      </c>
      <c r="N218" s="421"/>
      <c r="O218" s="1">
        <f t="shared" si="131"/>
        <v>92</v>
      </c>
      <c r="P218" s="207">
        <f t="shared" si="132"/>
        <v>365</v>
      </c>
    </row>
    <row r="219" spans="1:16" ht="12.75" customHeight="1">
      <c r="E219" s="194"/>
      <c r="F219" s="194"/>
      <c r="G219" s="54"/>
      <c r="H219" s="95"/>
      <c r="J219" s="421"/>
      <c r="N219" s="421"/>
      <c r="P219" s="207"/>
    </row>
    <row r="220" spans="1:16" ht="12.75" customHeight="1">
      <c r="A220" s="32" t="s">
        <v>140</v>
      </c>
      <c r="E220" s="194"/>
      <c r="F220" s="194"/>
      <c r="G220" s="54"/>
      <c r="H220" s="95"/>
      <c r="J220" s="421"/>
      <c r="N220" s="421"/>
      <c r="P220" s="207"/>
    </row>
    <row r="221" spans="1:16" ht="12.75" customHeight="1">
      <c r="A221" s="1" t="str">
        <f>A37</f>
        <v>Accounts Receivable</v>
      </c>
      <c r="E221" s="194">
        <f>E37</f>
        <v>62.453000000000003</v>
      </c>
      <c r="F221" s="194">
        <f t="shared" ref="F221:M221" si="133">F216/F218*F222</f>
        <v>55.140450410958906</v>
      </c>
      <c r="G221" s="54">
        <f t="shared" si="133"/>
        <v>45.567199999999993</v>
      </c>
      <c r="H221" s="95">
        <f t="shared" si="133"/>
        <v>47.252872920000001</v>
      </c>
      <c r="I221" s="1">
        <f t="shared" si="133"/>
        <v>20.571428571428569</v>
      </c>
      <c r="J221" s="421"/>
      <c r="L221" s="1">
        <f t="shared" si="133"/>
        <v>46.551521739130429</v>
      </c>
      <c r="M221" s="1">
        <f t="shared" si="133"/>
        <v>47.836849391304348</v>
      </c>
      <c r="N221" s="421"/>
      <c r="P221" s="207">
        <f>SUM(M221:N221)</f>
        <v>47.836849391304348</v>
      </c>
    </row>
    <row r="222" spans="1:16" ht="12.75" customHeight="1">
      <c r="A222" s="1" t="s">
        <v>141</v>
      </c>
      <c r="E222" s="194">
        <f>E221/E216*E218</f>
        <v>63.979031361740596</v>
      </c>
      <c r="F222" s="195">
        <v>59.4</v>
      </c>
      <c r="G222" s="202">
        <v>61.8</v>
      </c>
      <c r="H222" s="178">
        <v>61.2</v>
      </c>
      <c r="I222" s="6">
        <v>62.4</v>
      </c>
      <c r="J222" s="427"/>
      <c r="K222" s="6"/>
      <c r="L222" s="6">
        <v>61.8</v>
      </c>
      <c r="M222" s="6">
        <v>62</v>
      </c>
      <c r="N222" s="421"/>
      <c r="O222" s="6"/>
      <c r="P222" s="291">
        <f>P221/P216*P218</f>
        <v>72.820681253722142</v>
      </c>
    </row>
    <row r="223" spans="1:16" ht="12.75" customHeight="1">
      <c r="E223" s="194"/>
      <c r="F223" s="194"/>
      <c r="G223" s="54"/>
      <c r="H223" s="95"/>
      <c r="J223" s="421"/>
      <c r="N223" s="421"/>
      <c r="P223" s="207"/>
    </row>
    <row r="224" spans="1:16" ht="12.75" customHeight="1">
      <c r="A224" s="1" t="str">
        <f>A38</f>
        <v>Inventory</v>
      </c>
      <c r="E224" s="194">
        <f>E38</f>
        <v>44.219000000000001</v>
      </c>
      <c r="F224" s="194">
        <f t="shared" ref="F224:M224" si="134">F217/F218*F225</f>
        <v>42.14518356164384</v>
      </c>
      <c r="G224" s="54">
        <f t="shared" si="134"/>
        <v>35.498561206557383</v>
      </c>
      <c r="H224" s="95">
        <f t="shared" si="134"/>
        <v>35.958054484444446</v>
      </c>
      <c r="I224" s="1">
        <f t="shared" si="134"/>
        <v>34.930322115384612</v>
      </c>
      <c r="J224" s="421"/>
      <c r="L224" s="1">
        <f t="shared" si="134"/>
        <v>36.015898058695655</v>
      </c>
      <c r="M224" s="1">
        <f t="shared" si="134"/>
        <v>35.228963640302261</v>
      </c>
      <c r="N224" s="421"/>
      <c r="P224" s="207">
        <f>SUM(M224:N224)</f>
        <v>35.228963640302261</v>
      </c>
    </row>
    <row r="225" spans="1:16" ht="12.75" customHeight="1">
      <c r="A225" s="1" t="s">
        <v>142</v>
      </c>
      <c r="E225" s="194">
        <f>E224/E217*E218</f>
        <v>90.073697882068643</v>
      </c>
      <c r="F225" s="195">
        <v>87</v>
      </c>
      <c r="G225" s="202">
        <v>92.4</v>
      </c>
      <c r="H225" s="178">
        <v>88.4</v>
      </c>
      <c r="I225" s="6">
        <v>87.5</v>
      </c>
      <c r="J225" s="427"/>
      <c r="K225" s="6"/>
      <c r="L225" s="6">
        <v>88.3</v>
      </c>
      <c r="M225" s="6">
        <v>85.4</v>
      </c>
      <c r="N225" s="427"/>
      <c r="O225" s="6"/>
      <c r="P225" s="291">
        <f>P224/P217*P218</f>
        <v>86.640439210341782</v>
      </c>
    </row>
    <row r="226" spans="1:16" ht="12.75" customHeight="1">
      <c r="E226" s="194"/>
      <c r="F226" s="194"/>
      <c r="G226" s="54"/>
      <c r="H226" s="95"/>
      <c r="J226" s="421"/>
      <c r="N226" s="421"/>
      <c r="P226" s="207"/>
    </row>
    <row r="227" spans="1:16" ht="12.75" customHeight="1">
      <c r="A227" s="1" t="str">
        <f>A39</f>
        <v>Prepaid Expenses</v>
      </c>
      <c r="E227" s="194">
        <f>E39</f>
        <v>8.4969999999999999</v>
      </c>
      <c r="F227" s="194">
        <f>F228*F216</f>
        <v>9.148302000000001</v>
      </c>
      <c r="G227" s="54">
        <f>G228*G216</f>
        <v>8.3657839999999997</v>
      </c>
      <c r="H227" s="95">
        <f>H228*4*H216</f>
        <v>9.4505745840000017</v>
      </c>
      <c r="I227" s="1">
        <f>I228*4*I216</f>
        <v>3.96</v>
      </c>
      <c r="J227" s="421"/>
      <c r="L227" s="1">
        <f>L228*4*L216</f>
        <v>8.0388000000000002</v>
      </c>
      <c r="M227" s="1">
        <f>M228*4*M216</f>
        <v>7.6662408959999997</v>
      </c>
      <c r="N227" s="421"/>
      <c r="P227" s="207">
        <f>SUM(M227:N227)</f>
        <v>7.6662408959999997</v>
      </c>
    </row>
    <row r="228" spans="1:16" ht="12.75" customHeight="1">
      <c r="A228" s="1" t="s">
        <v>143</v>
      </c>
      <c r="E228" s="321">
        <f>E227/E216</f>
        <v>2.3848282598079116E-2</v>
      </c>
      <c r="F228" s="322">
        <v>2.7E-2</v>
      </c>
      <c r="G228" s="323">
        <v>3.1E-2</v>
      </c>
      <c r="H228" s="324">
        <v>3.4000000000000002E-2</v>
      </c>
      <c r="I228" s="311">
        <v>3.3000000000000002E-2</v>
      </c>
      <c r="J228" s="432"/>
      <c r="K228" s="311"/>
      <c r="L228" s="311">
        <v>2.9000000000000001E-2</v>
      </c>
      <c r="M228" s="311">
        <v>2.7E-2</v>
      </c>
      <c r="N228" s="427"/>
      <c r="O228" s="311"/>
      <c r="P228" s="341">
        <f>P227/P216</f>
        <v>3.1972880642376633E-2</v>
      </c>
    </row>
    <row r="229" spans="1:16" ht="12.75" customHeight="1">
      <c r="E229" s="194"/>
      <c r="F229" s="194"/>
      <c r="G229" s="54"/>
      <c r="H229" s="95"/>
      <c r="J229" s="421"/>
      <c r="N229" s="421"/>
      <c r="P229" s="207"/>
    </row>
    <row r="230" spans="1:16" ht="12.75" customHeight="1">
      <c r="A230" s="2" t="s">
        <v>144</v>
      </c>
      <c r="B230" s="2"/>
      <c r="C230" s="2"/>
      <c r="D230" s="2"/>
      <c r="E230" s="643"/>
      <c r="F230" s="619">
        <f>SUM(E221,E224,E227)-SUM(F221,F224,F227)</f>
        <v>8.7350640273972573</v>
      </c>
      <c r="G230" s="620">
        <f>SUM(F221,F224,F227)-SUM(G221,G224,G227)</f>
        <v>17.002390766045366</v>
      </c>
      <c r="H230" s="176">
        <f>SUM(G221,G224,G227)-SUM(H221,H224,H227)</f>
        <v>-3.2299567818870827</v>
      </c>
      <c r="I230" s="621">
        <f>SUM(H221,H224,H227)-SUM(I221,I224,I227)</f>
        <v>33.199751301631274</v>
      </c>
      <c r="J230" s="419"/>
      <c r="K230" s="621"/>
      <c r="L230" s="621">
        <f>SUM(I221,I224,I227)-SUM(L221,L224,L227)</f>
        <v>-31.144469111012903</v>
      </c>
      <c r="M230" s="621">
        <f>SUM(L221,L224,L227)-SUM(M221,M224,M227)</f>
        <v>-0.12583412978052877</v>
      </c>
      <c r="N230" s="419"/>
      <c r="O230" s="621"/>
      <c r="P230" s="208"/>
    </row>
    <row r="231" spans="1:16" s="2" customFormat="1" ht="12.75" customHeight="1">
      <c r="A231" s="1"/>
      <c r="B231" s="1"/>
      <c r="C231" s="1"/>
      <c r="D231" s="1"/>
      <c r="E231" s="194"/>
      <c r="F231" s="194"/>
      <c r="G231" s="54"/>
      <c r="H231" s="95"/>
      <c r="I231" s="1"/>
      <c r="J231" s="421"/>
      <c r="K231" s="1"/>
      <c r="L231" s="1"/>
      <c r="M231" s="1"/>
      <c r="N231" s="421"/>
      <c r="O231" s="1"/>
      <c r="P231" s="207"/>
    </row>
    <row r="232" spans="1:16" ht="12.75" customHeight="1">
      <c r="A232" s="32" t="s">
        <v>145</v>
      </c>
      <c r="E232" s="194"/>
      <c r="F232" s="194"/>
      <c r="G232" s="54"/>
      <c r="H232" s="95"/>
      <c r="J232" s="421"/>
      <c r="N232" s="421"/>
      <c r="P232" s="207"/>
    </row>
    <row r="233" spans="1:16" ht="12.75" customHeight="1">
      <c r="A233" s="1" t="str">
        <f>A49</f>
        <v>Accounts Payable</v>
      </c>
      <c r="E233" s="194">
        <f>E49</f>
        <v>21.9</v>
      </c>
      <c r="F233" s="194">
        <f>F217/F218*F234</f>
        <v>24.512026301369865</v>
      </c>
      <c r="G233" s="54">
        <f>G217/G218*G234</f>
        <v>18.709739510382516</v>
      </c>
      <c r="H233" s="95">
        <f>H217/H218*H234</f>
        <v>20.989090626666666</v>
      </c>
      <c r="I233" s="1">
        <f>I217/I218*I234</f>
        <v>21.517078423076921</v>
      </c>
      <c r="J233" s="421"/>
      <c r="L233" s="1">
        <f>L217/L218*L234</f>
        <v>18.195614846571548</v>
      </c>
      <c r="M233" s="1">
        <f>M217/M218*M234</f>
        <v>18.402430542829315</v>
      </c>
      <c r="N233" s="421"/>
      <c r="P233" s="207">
        <f>SUM(M233:N233)</f>
        <v>18.402430542829315</v>
      </c>
    </row>
    <row r="234" spans="1:16" ht="12.75" customHeight="1">
      <c r="A234" s="1" t="s">
        <v>146</v>
      </c>
      <c r="E234" s="194">
        <f>E233/E217*E218</f>
        <v>44.610099360394919</v>
      </c>
      <c r="F234" s="195">
        <v>50.6</v>
      </c>
      <c r="G234" s="202">
        <v>48.7</v>
      </c>
      <c r="H234" s="178">
        <v>51.6</v>
      </c>
      <c r="I234" s="6">
        <v>53.9</v>
      </c>
      <c r="J234" s="427"/>
      <c r="K234" s="6"/>
      <c r="L234" s="6">
        <f t="shared" ref="L234:M234" si="135">$E234</f>
        <v>44.610099360394919</v>
      </c>
      <c r="M234" s="6">
        <f t="shared" si="135"/>
        <v>44.610099360394919</v>
      </c>
      <c r="N234" s="427"/>
      <c r="O234" s="6"/>
      <c r="P234" s="291">
        <f>P233/P217*P218</f>
        <v>45.258063252946158</v>
      </c>
    </row>
    <row r="235" spans="1:16" ht="12.75" customHeight="1">
      <c r="E235" s="194"/>
      <c r="F235" s="194"/>
      <c r="G235" s="54"/>
      <c r="H235" s="95"/>
      <c r="J235" s="421"/>
      <c r="N235" s="421"/>
      <c r="P235" s="207"/>
    </row>
    <row r="236" spans="1:16" ht="12.75" customHeight="1">
      <c r="A236" s="1" t="str">
        <f>A50</f>
        <v>Accrued Expenses</v>
      </c>
      <c r="E236" s="194">
        <f>E50</f>
        <v>33.6</v>
      </c>
      <c r="F236" s="194">
        <f>F237*F216</f>
        <v>32.188470000000002</v>
      </c>
      <c r="G236" s="54">
        <f>G237*G216</f>
        <v>29.145311999999997</v>
      </c>
      <c r="H236" s="95">
        <f>H237*4*H216</f>
        <v>31.131304512</v>
      </c>
      <c r="I236" s="1">
        <f>I237*4*I216</f>
        <v>12.959999999999999</v>
      </c>
      <c r="J236" s="421"/>
      <c r="L236" s="1">
        <f>L237*4*L216</f>
        <v>27.72</v>
      </c>
      <c r="M236" s="1">
        <f>M237*4*M216</f>
        <v>28.3934848</v>
      </c>
      <c r="N236" s="421"/>
      <c r="P236" s="207">
        <f>SUM(M236:N236)</f>
        <v>28.3934848</v>
      </c>
    </row>
    <row r="237" spans="1:16" ht="12.75" customHeight="1">
      <c r="A237" s="1" t="s">
        <v>143</v>
      </c>
      <c r="E237" s="321">
        <f>E236/E216</f>
        <v>9.4304142084907422E-2</v>
      </c>
      <c r="F237" s="322">
        <v>9.5000000000000001E-2</v>
      </c>
      <c r="G237" s="323">
        <v>0.108</v>
      </c>
      <c r="H237" s="324">
        <v>0.112</v>
      </c>
      <c r="I237" s="311">
        <v>0.108</v>
      </c>
      <c r="J237" s="432"/>
      <c r="K237" s="311"/>
      <c r="L237" s="311">
        <v>0.1</v>
      </c>
      <c r="M237" s="311">
        <v>0.1</v>
      </c>
      <c r="N237" s="427"/>
      <c r="O237" s="311"/>
      <c r="P237" s="341">
        <f>P236/P216</f>
        <v>0.11841807645324678</v>
      </c>
    </row>
    <row r="238" spans="1:16" ht="12.75" customHeight="1">
      <c r="E238" s="194"/>
      <c r="F238" s="194"/>
      <c r="G238" s="54"/>
      <c r="H238" s="95"/>
      <c r="J238" s="421"/>
      <c r="N238" s="421"/>
      <c r="P238" s="207"/>
    </row>
    <row r="239" spans="1:16" ht="12.75" customHeight="1">
      <c r="A239" s="2" t="s">
        <v>147</v>
      </c>
      <c r="B239" s="2"/>
      <c r="C239" s="2"/>
      <c r="D239" s="2"/>
      <c r="E239" s="619"/>
      <c r="F239" s="619">
        <f>SUM(F233,F236)-SUM(E233,E236)</f>
        <v>1.2004963013698671</v>
      </c>
      <c r="G239" s="620">
        <f>SUM(G233,G236)-SUM(F233,F236)</f>
        <v>-8.8454447909873579</v>
      </c>
      <c r="H239" s="176">
        <f>SUM(H233,H236)-SUM(G233,G236)</f>
        <v>4.2653436282841568</v>
      </c>
      <c r="I239" s="621">
        <f>SUM(I233,I236)-SUM(H233,H236)</f>
        <v>-17.643316715589748</v>
      </c>
      <c r="J239" s="419"/>
      <c r="K239" s="621"/>
      <c r="L239" s="621">
        <f>SUM(L233,L236)-SUM(I233,I236)</f>
        <v>11.438536423494625</v>
      </c>
      <c r="M239" s="621">
        <f>SUM(M233,M236)-SUM(L233,L236)</f>
        <v>0.88030049625777451</v>
      </c>
      <c r="N239" s="419"/>
      <c r="O239" s="621"/>
      <c r="P239" s="208"/>
    </row>
    <row r="240" spans="1:16" s="2" customFormat="1" ht="12.75" customHeight="1">
      <c r="E240" s="197"/>
      <c r="F240" s="197"/>
      <c r="G240" s="333"/>
      <c r="H240" s="334"/>
      <c r="I240" s="14"/>
      <c r="J240" s="433"/>
      <c r="K240" s="14"/>
      <c r="L240" s="14"/>
      <c r="M240" s="14"/>
      <c r="N240" s="433"/>
      <c r="O240" s="14"/>
      <c r="P240" s="335"/>
    </row>
    <row r="241" spans="1:20" s="2" customFormat="1" ht="12.75" customHeight="1">
      <c r="A241" s="30" t="s">
        <v>95</v>
      </c>
      <c r="B241" s="1"/>
      <c r="C241" s="1"/>
      <c r="D241" s="1"/>
      <c r="E241" s="643"/>
      <c r="F241" s="643">
        <f>F230+F239</f>
        <v>9.9355603287671244</v>
      </c>
      <c r="G241" s="644">
        <f>G230+G239</f>
        <v>8.156945975058008</v>
      </c>
      <c r="H241" s="325">
        <f>H230+H239</f>
        <v>1.0353868463970741</v>
      </c>
      <c r="I241" s="645">
        <f>I230+I239</f>
        <v>15.556434586041526</v>
      </c>
      <c r="J241" s="434"/>
      <c r="K241" s="645"/>
      <c r="L241" s="645">
        <f>L230+L239</f>
        <v>-19.705932687518278</v>
      </c>
      <c r="M241" s="645">
        <f>M230+M239</f>
        <v>0.75446636647724574</v>
      </c>
      <c r="N241" s="434"/>
      <c r="O241" s="645"/>
      <c r="P241" s="327"/>
    </row>
    <row r="242" spans="1:20" ht="12.75" customHeight="1"/>
    <row r="243" spans="1:20" ht="12.75" customHeight="1"/>
    <row r="244" spans="1:20" ht="12.75" customHeight="1">
      <c r="A244" s="93" t="s">
        <v>148</v>
      </c>
      <c r="B244" s="93"/>
      <c r="C244" s="93"/>
      <c r="D244" s="93"/>
      <c r="E244" s="93"/>
      <c r="F244" s="93"/>
      <c r="G244" s="93"/>
      <c r="H244" s="93"/>
      <c r="I244" s="93"/>
      <c r="J244" s="93"/>
      <c r="K244" s="93"/>
      <c r="L244" s="93"/>
      <c r="M244" s="93"/>
      <c r="N244" s="93"/>
      <c r="O244" s="93"/>
      <c r="P244" s="93"/>
    </row>
    <row r="245" spans="1:20" ht="12.75" customHeight="1" thickBot="1"/>
    <row r="246" spans="1:20" ht="12.75" customHeight="1">
      <c r="A246" s="94"/>
      <c r="B246" s="63"/>
      <c r="C246" s="63"/>
      <c r="D246" s="63"/>
      <c r="E246" s="604">
        <f>E$8</f>
        <v>43465</v>
      </c>
      <c r="F246" s="604">
        <f t="shared" ref="F246:P246" si="136">F$8</f>
        <v>43830</v>
      </c>
      <c r="G246" s="605">
        <f t="shared" si="136"/>
        <v>44196</v>
      </c>
      <c r="H246" s="606">
        <f t="shared" si="136"/>
        <v>44286</v>
      </c>
      <c r="I246" s="607">
        <f t="shared" si="136"/>
        <v>44377</v>
      </c>
      <c r="J246" s="608" t="str">
        <f t="shared" si="136"/>
        <v>FILING</v>
      </c>
      <c r="K246" s="609">
        <f t="shared" si="136"/>
        <v>44377</v>
      </c>
      <c r="L246" s="607">
        <f t="shared" si="136"/>
        <v>44469</v>
      </c>
      <c r="M246" s="607">
        <f>M$8</f>
        <v>44561</v>
      </c>
      <c r="N246" s="610" t="str">
        <f>N$8</f>
        <v>Adjustments</v>
      </c>
      <c r="O246" s="609">
        <f t="shared" si="136"/>
        <v>44561</v>
      </c>
      <c r="P246" s="611">
        <f t="shared" si="136"/>
        <v>44561</v>
      </c>
    </row>
    <row r="247" spans="1:20" ht="12.75" customHeight="1">
      <c r="A247" s="94"/>
      <c r="B247" s="63"/>
      <c r="C247" s="63"/>
      <c r="D247" s="63"/>
      <c r="E247" s="215"/>
      <c r="F247" s="215"/>
      <c r="G247" s="351"/>
      <c r="H247" s="352"/>
      <c r="I247" s="353"/>
      <c r="J247" s="428"/>
      <c r="K247" s="354"/>
      <c r="L247" s="353"/>
      <c r="M247" s="353"/>
      <c r="N247" s="426"/>
      <c r="O247" s="354"/>
      <c r="P247" s="355"/>
    </row>
    <row r="248" spans="1:20" ht="12.75" customHeight="1">
      <c r="A248" s="1" t="s">
        <v>97</v>
      </c>
      <c r="E248" s="225"/>
      <c r="F248" s="195">
        <v>22.462503000000002</v>
      </c>
      <c r="G248" s="217">
        <v>17.760999999999999</v>
      </c>
      <c r="H248" s="178">
        <v>1.385</v>
      </c>
      <c r="I248" s="6">
        <v>3.6282000000000001</v>
      </c>
      <c r="J248" s="423"/>
      <c r="K248" s="74"/>
      <c r="L248" s="6">
        <v>3.9606509999999999</v>
      </c>
      <c r="M248" s="6">
        <v>3.6285189999999998</v>
      </c>
      <c r="N248" s="421"/>
      <c r="O248" s="74"/>
      <c r="P248" s="206">
        <f>SUM(H248:N248)</f>
        <v>12.602370000000001</v>
      </c>
    </row>
    <row r="249" spans="1:20" ht="12.75" customHeight="1">
      <c r="A249" s="1" t="s">
        <v>149</v>
      </c>
      <c r="C249" s="6">
        <v>15</v>
      </c>
      <c r="D249" s="6"/>
      <c r="E249" s="194"/>
      <c r="F249" s="194"/>
      <c r="G249" s="217"/>
      <c r="H249" s="62"/>
      <c r="I249" s="63"/>
      <c r="J249" s="421"/>
      <c r="K249" s="63"/>
      <c r="L249" s="63"/>
      <c r="M249" s="63"/>
      <c r="N249" s="421"/>
      <c r="O249" s="63"/>
      <c r="P249" s="206"/>
    </row>
    <row r="250" spans="1:20" ht="12.75" customHeight="1">
      <c r="A250" s="1" t="s">
        <v>150</v>
      </c>
      <c r="E250" s="194"/>
      <c r="F250" s="194">
        <v>1</v>
      </c>
      <c r="G250" s="228">
        <f>F250+1</f>
        <v>2</v>
      </c>
      <c r="H250" s="358">
        <f>G250+0.25</f>
        <v>2.25</v>
      </c>
      <c r="I250" s="359">
        <f>H250+0.25</f>
        <v>2.5</v>
      </c>
      <c r="J250" s="427"/>
      <c r="K250" s="359">
        <f>I250</f>
        <v>2.5</v>
      </c>
      <c r="L250" s="359">
        <f>K250+0.25</f>
        <v>2.75</v>
      </c>
      <c r="M250" s="359">
        <f>L250+0.25</f>
        <v>3</v>
      </c>
      <c r="N250" s="427"/>
      <c r="O250" s="359">
        <f>M250</f>
        <v>3</v>
      </c>
      <c r="P250" s="357">
        <f>G250+1</f>
        <v>3</v>
      </c>
    </row>
    <row r="251" spans="1:20" ht="12.75" customHeight="1">
      <c r="E251" s="194"/>
      <c r="F251" s="194"/>
      <c r="G251" s="228"/>
      <c r="H251" s="67"/>
      <c r="I251" s="68"/>
      <c r="J251" s="427"/>
      <c r="K251" s="68"/>
      <c r="L251" s="68"/>
      <c r="M251" s="68"/>
      <c r="N251" s="427"/>
      <c r="O251" s="68"/>
      <c r="P251" s="258"/>
    </row>
    <row r="252" spans="1:20" ht="12.75" customHeight="1">
      <c r="A252" s="32" t="s">
        <v>151</v>
      </c>
      <c r="E252" s="194"/>
      <c r="F252" s="194"/>
      <c r="G252" s="228"/>
      <c r="H252" s="67"/>
      <c r="I252" s="68"/>
      <c r="J252" s="427"/>
      <c r="K252" s="68"/>
      <c r="L252" s="68"/>
      <c r="M252" s="68"/>
      <c r="N252" s="427"/>
      <c r="O252" s="68"/>
      <c r="P252" s="258"/>
    </row>
    <row r="253" spans="1:20" ht="12.75" customHeight="1">
      <c r="A253" s="1" t="s">
        <v>152</v>
      </c>
      <c r="E253" s="349"/>
      <c r="F253" s="349">
        <f>$E$271*S254*$T$253</f>
        <v>13.036049999999999</v>
      </c>
      <c r="G253" s="350">
        <f>$E$271*S255*$T$253</f>
        <v>12.166979999999999</v>
      </c>
      <c r="H253" s="294">
        <f>$P253*0.253</f>
        <v>2.8583712299999999</v>
      </c>
      <c r="I253" s="295">
        <f>$P253*0.251</f>
        <v>2.8357754100000001</v>
      </c>
      <c r="J253" s="429"/>
      <c r="K253" s="295">
        <f>SUM(I253:J253)</f>
        <v>2.8357754100000001</v>
      </c>
      <c r="L253" s="295">
        <f>$P253*0.249</f>
        <v>2.8131795899999998</v>
      </c>
      <c r="M253" s="295">
        <f>$P253*0.247</f>
        <v>2.79058377</v>
      </c>
      <c r="N253" s="421"/>
      <c r="O253" s="295">
        <f>SUM(M253:N253)</f>
        <v>2.79058377</v>
      </c>
      <c r="P253" s="292">
        <f>$E$271*S256*$T$253</f>
        <v>11.29791</v>
      </c>
      <c r="T253" s="387">
        <v>0.6</v>
      </c>
    </row>
    <row r="254" spans="1:20" ht="12.75" customHeight="1">
      <c r="A254" s="1" t="s">
        <v>153</v>
      </c>
      <c r="B254" s="2"/>
      <c r="C254" s="1">
        <f>F291</f>
        <v>22.462503000000002</v>
      </c>
      <c r="D254" s="2"/>
      <c r="E254" s="301"/>
      <c r="F254" s="349">
        <f>SLN($C254,0,$C$249)/2</f>
        <v>0.74875010000000009</v>
      </c>
      <c r="G254" s="298">
        <f>SLN($C$254,0,$C$249)</f>
        <v>1.4975002000000002</v>
      </c>
      <c r="H254" s="294">
        <f>SLN($C$254,0,$C$249)/4</f>
        <v>0.37437505000000004</v>
      </c>
      <c r="I254" s="295">
        <f>SLN($C$254,0,$C$249)/4</f>
        <v>0.37437505000000004</v>
      </c>
      <c r="J254" s="429"/>
      <c r="K254" s="295">
        <f t="shared" ref="K254:K257" si="137">SUM(I254:J254)</f>
        <v>0.37437505000000004</v>
      </c>
      <c r="L254" s="295">
        <f>SLN($C$254,0,$C$249)/4</f>
        <v>0.37437505000000004</v>
      </c>
      <c r="M254" s="296">
        <f>SLN($C$254,0,$C$249)/4</f>
        <v>0.37437505000000004</v>
      </c>
      <c r="N254" s="421"/>
      <c r="O254" s="295">
        <f t="shared" ref="O254:O257" si="138">SUM(M254:N254)</f>
        <v>0.37437505000000004</v>
      </c>
      <c r="P254" s="293">
        <f t="shared" ref="P254:P255" si="139">SUM(H254:J254,L254:N254)</f>
        <v>1.4975002000000002</v>
      </c>
      <c r="R254" s="1">
        <v>15</v>
      </c>
      <c r="S254" s="387">
        <f>R254/R$269</f>
        <v>0.125</v>
      </c>
    </row>
    <row r="255" spans="1:20" ht="12.75" customHeight="1">
      <c r="A255" s="1" t="s">
        <v>154</v>
      </c>
      <c r="C255" s="1">
        <f>G291</f>
        <v>17.760999999999999</v>
      </c>
      <c r="E255" s="297"/>
      <c r="F255" s="297"/>
      <c r="G255" s="298">
        <f>SLN($C255,0,$C$249)/2</f>
        <v>0.5920333333333333</v>
      </c>
      <c r="H255" s="294">
        <f>SLN($C255,0,$C$249)/4</f>
        <v>0.29601666666666665</v>
      </c>
      <c r="I255" s="295">
        <f>SLN($C255,0,$C$249)/4</f>
        <v>0.29601666666666665</v>
      </c>
      <c r="J255" s="429"/>
      <c r="K255" s="295">
        <f t="shared" si="137"/>
        <v>0.29601666666666665</v>
      </c>
      <c r="L255" s="295">
        <f t="shared" ref="L255:M257" si="140">SLN($C255,0,$C$249)/4</f>
        <v>0.29601666666666665</v>
      </c>
      <c r="M255" s="296">
        <f t="shared" si="140"/>
        <v>0.29601666666666665</v>
      </c>
      <c r="N255" s="421"/>
      <c r="O255" s="295">
        <f t="shared" si="138"/>
        <v>0.29601666666666665</v>
      </c>
      <c r="P255" s="293">
        <f t="shared" si="139"/>
        <v>1.1840666666666666</v>
      </c>
      <c r="R255" s="1">
        <f>R254-1</f>
        <v>14</v>
      </c>
      <c r="S255" s="387">
        <f t="shared" ref="S255:S268" si="141">R255/R$269</f>
        <v>0.11666666666666667</v>
      </c>
    </row>
    <row r="256" spans="1:20" ht="12.75" customHeight="1">
      <c r="A256" s="1" t="s">
        <v>155</v>
      </c>
      <c r="C256" s="1">
        <f>H291</f>
        <v>1.385</v>
      </c>
      <c r="E256" s="297"/>
      <c r="F256" s="297"/>
      <c r="G256" s="298"/>
      <c r="H256" s="299">
        <f>SLN($C256,0,$C$249)/4/2</f>
        <v>1.1541666666666667E-2</v>
      </c>
      <c r="I256" s="295">
        <f>SLN($C256,0,$C$249)/4</f>
        <v>2.3083333333333334E-2</v>
      </c>
      <c r="J256" s="430"/>
      <c r="K256" s="295">
        <f t="shared" si="137"/>
        <v>2.3083333333333334E-2</v>
      </c>
      <c r="L256" s="295">
        <f t="shared" si="140"/>
        <v>2.3083333333333334E-2</v>
      </c>
      <c r="M256" s="296">
        <f t="shared" si="140"/>
        <v>2.3083333333333334E-2</v>
      </c>
      <c r="N256" s="421"/>
      <c r="O256" s="295">
        <f t="shared" si="138"/>
        <v>2.3083333333333334E-2</v>
      </c>
      <c r="P256" s="293">
        <f>SUM(H256:J256,L256:N256)</f>
        <v>8.0791666666666664E-2</v>
      </c>
      <c r="R256" s="1">
        <f t="shared" ref="R256:R268" si="142">R255-1</f>
        <v>13</v>
      </c>
      <c r="S256" s="387">
        <f t="shared" si="141"/>
        <v>0.10833333333333334</v>
      </c>
    </row>
    <row r="257" spans="1:19" ht="12.75" customHeight="1">
      <c r="A257" s="1" t="s">
        <v>156</v>
      </c>
      <c r="C257" s="1">
        <f>I291</f>
        <v>3.6282000000000001</v>
      </c>
      <c r="E257" s="297"/>
      <c r="F257" s="297"/>
      <c r="G257" s="298"/>
      <c r="H257" s="299"/>
      <c r="I257" s="300">
        <f>SLN($C257,0,$C$249)/4/2</f>
        <v>3.0235000000000001E-2</v>
      </c>
      <c r="J257" s="430"/>
      <c r="K257" s="295">
        <f t="shared" si="137"/>
        <v>3.0235000000000001E-2</v>
      </c>
      <c r="L257" s="295">
        <f t="shared" si="140"/>
        <v>6.0470000000000003E-2</v>
      </c>
      <c r="M257" s="296">
        <f t="shared" si="140"/>
        <v>6.0470000000000003E-2</v>
      </c>
      <c r="N257" s="421"/>
      <c r="O257" s="295">
        <f t="shared" si="138"/>
        <v>6.0470000000000003E-2</v>
      </c>
      <c r="P257" s="293">
        <f t="shared" ref="P257:P259" si="143">SUM(H257:J257,L257:N257)</f>
        <v>0.151175</v>
      </c>
      <c r="R257" s="1">
        <f t="shared" si="142"/>
        <v>12</v>
      </c>
      <c r="S257" s="387">
        <f t="shared" si="141"/>
        <v>0.1</v>
      </c>
    </row>
    <row r="258" spans="1:19" ht="12.75" customHeight="1">
      <c r="A258" s="1" t="s">
        <v>157</v>
      </c>
      <c r="C258" s="1">
        <f>L291</f>
        <v>3.9606509999999999</v>
      </c>
      <c r="E258" s="297"/>
      <c r="F258" s="297"/>
      <c r="G258" s="298"/>
      <c r="H258" s="294"/>
      <c r="I258" s="295"/>
      <c r="J258" s="430"/>
      <c r="K258" s="295"/>
      <c r="L258" s="295">
        <f>SLN($C258,0,$C$249)/4/2</f>
        <v>3.3005424999999998E-2</v>
      </c>
      <c r="M258" s="296">
        <f>SLN($C258,0,$C$249)/4</f>
        <v>6.6010849999999996E-2</v>
      </c>
      <c r="N258" s="421"/>
      <c r="O258" s="295"/>
      <c r="P258" s="293">
        <f t="shared" si="143"/>
        <v>9.9016274999999987E-2</v>
      </c>
      <c r="R258" s="1">
        <f t="shared" si="142"/>
        <v>11</v>
      </c>
      <c r="S258" s="387">
        <f t="shared" si="141"/>
        <v>9.166666666666666E-2</v>
      </c>
    </row>
    <row r="259" spans="1:19" ht="12.75" customHeight="1">
      <c r="A259" s="1" t="s">
        <v>158</v>
      </c>
      <c r="C259" s="1">
        <f>M291</f>
        <v>3.6285189999999998</v>
      </c>
      <c r="E259" s="297"/>
      <c r="F259" s="297"/>
      <c r="G259" s="298"/>
      <c r="H259" s="294"/>
      <c r="I259" s="295"/>
      <c r="J259" s="430"/>
      <c r="K259" s="295"/>
      <c r="L259" s="295"/>
      <c r="M259" s="296">
        <f>SLN($C259,0,$C$249)/4/2</f>
        <v>3.023765833333333E-2</v>
      </c>
      <c r="N259" s="421"/>
      <c r="O259" s="295"/>
      <c r="P259" s="293">
        <f t="shared" si="143"/>
        <v>3.023765833333333E-2</v>
      </c>
      <c r="R259" s="1">
        <f t="shared" si="142"/>
        <v>10</v>
      </c>
      <c r="S259" s="387">
        <f t="shared" si="141"/>
        <v>8.3333333333333329E-2</v>
      </c>
    </row>
    <row r="260" spans="1:19" ht="12.75" customHeight="1">
      <c r="A260" s="1" t="s">
        <v>159</v>
      </c>
      <c r="B260" s="2"/>
      <c r="C260" s="1" t="e">
        <f>#REF!</f>
        <v>#REF!</v>
      </c>
      <c r="D260" s="2"/>
      <c r="E260" s="301"/>
      <c r="F260" s="297"/>
      <c r="G260" s="298"/>
      <c r="H260" s="294"/>
      <c r="I260" s="295"/>
      <c r="J260" s="429"/>
      <c r="K260" s="295"/>
      <c r="L260" s="295"/>
      <c r="M260" s="296"/>
      <c r="N260" s="421"/>
      <c r="O260" s="295"/>
      <c r="P260" s="293"/>
      <c r="R260" s="1">
        <f t="shared" si="142"/>
        <v>9</v>
      </c>
      <c r="S260" s="387">
        <f t="shared" si="141"/>
        <v>7.4999999999999997E-2</v>
      </c>
    </row>
    <row r="261" spans="1:19" ht="12.75" customHeight="1">
      <c r="A261" s="1" t="s">
        <v>160</v>
      </c>
      <c r="C261" s="1" t="e">
        <f>#REF!</f>
        <v>#REF!</v>
      </c>
      <c r="E261" s="297"/>
      <c r="F261" s="297"/>
      <c r="G261" s="298"/>
      <c r="H261" s="294"/>
      <c r="I261" s="295"/>
      <c r="J261" s="429"/>
      <c r="K261" s="295"/>
      <c r="L261" s="295"/>
      <c r="M261" s="296"/>
      <c r="N261" s="421"/>
      <c r="O261" s="295"/>
      <c r="P261" s="293"/>
      <c r="R261" s="1">
        <f t="shared" si="142"/>
        <v>8</v>
      </c>
      <c r="S261" s="387">
        <f t="shared" si="141"/>
        <v>6.6666666666666666E-2</v>
      </c>
    </row>
    <row r="262" spans="1:19" ht="12.75" customHeight="1">
      <c r="A262" s="1" t="s">
        <v>161</v>
      </c>
      <c r="C262" s="1" t="e">
        <f>#REF!</f>
        <v>#REF!</v>
      </c>
      <c r="E262" s="297"/>
      <c r="F262" s="297"/>
      <c r="G262" s="298"/>
      <c r="H262" s="294"/>
      <c r="I262" s="295"/>
      <c r="J262" s="429"/>
      <c r="K262" s="295"/>
      <c r="L262" s="295"/>
      <c r="M262" s="296"/>
      <c r="N262" s="421"/>
      <c r="O262" s="295"/>
      <c r="P262" s="293"/>
      <c r="R262" s="1">
        <f t="shared" si="142"/>
        <v>7</v>
      </c>
      <c r="S262" s="387">
        <f t="shared" si="141"/>
        <v>5.8333333333333334E-2</v>
      </c>
    </row>
    <row r="263" spans="1:19" ht="12.75" customHeight="1">
      <c r="A263" s="1" t="s">
        <v>162</v>
      </c>
      <c r="C263" s="1" t="e">
        <f>#REF!</f>
        <v>#REF!</v>
      </c>
      <c r="E263" s="297"/>
      <c r="F263" s="297"/>
      <c r="G263" s="298"/>
      <c r="H263" s="294"/>
      <c r="I263" s="295"/>
      <c r="J263" s="429"/>
      <c r="K263" s="295"/>
      <c r="L263" s="295"/>
      <c r="M263" s="296"/>
      <c r="N263" s="421"/>
      <c r="O263" s="295"/>
      <c r="P263" s="293"/>
      <c r="R263" s="1">
        <f t="shared" si="142"/>
        <v>6</v>
      </c>
      <c r="S263" s="387">
        <f t="shared" si="141"/>
        <v>0.05</v>
      </c>
    </row>
    <row r="264" spans="1:19" ht="12.75" customHeight="1">
      <c r="A264" s="1" t="s">
        <v>163</v>
      </c>
      <c r="C264" s="1" t="e">
        <f>#REF!</f>
        <v>#REF!</v>
      </c>
      <c r="E264" s="302"/>
      <c r="F264" s="302"/>
      <c r="G264" s="303"/>
      <c r="H264" s="294"/>
      <c r="I264" s="295"/>
      <c r="J264" s="429"/>
      <c r="K264" s="295"/>
      <c r="L264" s="295"/>
      <c r="M264" s="296"/>
      <c r="N264" s="421"/>
      <c r="O264" s="295"/>
      <c r="P264" s="293"/>
      <c r="R264" s="1">
        <f t="shared" si="142"/>
        <v>5</v>
      </c>
      <c r="S264" s="387">
        <f t="shared" si="141"/>
        <v>4.1666666666666664E-2</v>
      </c>
    </row>
    <row r="265" spans="1:19" ht="12.75" customHeight="1">
      <c r="A265" s="30" t="s">
        <v>164</v>
      </c>
      <c r="B265" s="2"/>
      <c r="C265" s="2"/>
      <c r="D265" s="2"/>
      <c r="E265" s="646">
        <v>13.249815999999999</v>
      </c>
      <c r="F265" s="623">
        <f>SUM(F253:F264)</f>
        <v>13.7848001</v>
      </c>
      <c r="G265" s="624">
        <f>SUM(G253:G264)</f>
        <v>14.256513533333333</v>
      </c>
      <c r="H265" s="66">
        <f>SUM(H253:H264)</f>
        <v>3.5403046133333329</v>
      </c>
      <c r="I265" s="627">
        <f>SUM(I253:I264)</f>
        <v>3.5594854599999999</v>
      </c>
      <c r="J265" s="419"/>
      <c r="K265" s="627">
        <f>SUM(K253:K264)</f>
        <v>3.5594854599999999</v>
      </c>
      <c r="L265" s="627">
        <f>SUM(L253:L264)</f>
        <v>3.6001300649999997</v>
      </c>
      <c r="M265" s="627">
        <f>SUM(M253:M264)</f>
        <v>3.6407773283333329</v>
      </c>
      <c r="N265" s="419"/>
      <c r="O265" s="627">
        <f>SUM(O253:O264)</f>
        <v>3.5445288199999996</v>
      </c>
      <c r="P265" s="252">
        <f t="shared" ref="P265" si="144">SUM(P253:P264)</f>
        <v>14.340697466666667</v>
      </c>
      <c r="R265" s="1">
        <f t="shared" si="142"/>
        <v>4</v>
      </c>
      <c r="S265" s="387">
        <f t="shared" si="141"/>
        <v>3.3333333333333333E-2</v>
      </c>
    </row>
    <row r="266" spans="1:19" ht="12.75" customHeight="1">
      <c r="E266" s="194"/>
      <c r="F266" s="194"/>
      <c r="G266" s="228"/>
      <c r="H266" s="62"/>
      <c r="I266" s="63"/>
      <c r="J266" s="421"/>
      <c r="K266" s="63"/>
      <c r="L266" s="63"/>
      <c r="M266" s="63"/>
      <c r="N266" s="421"/>
      <c r="O266" s="63"/>
      <c r="P266" s="206"/>
      <c r="R266" s="1">
        <f t="shared" si="142"/>
        <v>3</v>
      </c>
      <c r="S266" s="387">
        <f t="shared" si="141"/>
        <v>2.5000000000000001E-2</v>
      </c>
    </row>
    <row r="267" spans="1:19" ht="12.75" customHeight="1">
      <c r="A267" s="32" t="s">
        <v>165</v>
      </c>
      <c r="E267" s="194"/>
      <c r="F267" s="194"/>
      <c r="G267" s="228"/>
      <c r="H267" s="62"/>
      <c r="I267" s="63"/>
      <c r="J267" s="421"/>
      <c r="K267" s="63"/>
      <c r="L267" s="63"/>
      <c r="M267" s="63"/>
      <c r="N267" s="421"/>
      <c r="O267" s="63"/>
      <c r="P267" s="206"/>
      <c r="R267" s="1">
        <f t="shared" si="142"/>
        <v>2</v>
      </c>
      <c r="S267" s="387">
        <f t="shared" si="141"/>
        <v>1.6666666666666666E-2</v>
      </c>
    </row>
    <row r="268" spans="1:19" ht="12.75" customHeight="1">
      <c r="A268" s="1" t="s">
        <v>166</v>
      </c>
      <c r="E268" s="195"/>
      <c r="F268" s="199">
        <f>E271</f>
        <v>173.81399999999999</v>
      </c>
      <c r="G268" s="199">
        <f>F271</f>
        <v>182.49170289999998</v>
      </c>
      <c r="H268" s="62">
        <f>G271</f>
        <v>185.99618936666664</v>
      </c>
      <c r="I268" s="63">
        <f t="shared" ref="I268" si="145">H271</f>
        <v>183.84088475333331</v>
      </c>
      <c r="J268" s="421"/>
      <c r="K268" s="63">
        <f>SUM(I268:J268)</f>
        <v>183.84088475333331</v>
      </c>
      <c r="L268" s="63">
        <f>K271</f>
        <v>183.90959929333332</v>
      </c>
      <c r="M268" s="63">
        <f t="shared" ref="M268" si="146">L271</f>
        <v>184.27012022833333</v>
      </c>
      <c r="N268" s="421"/>
      <c r="O268" s="63">
        <f>SUM(M268:N268)</f>
        <v>184.27012022833333</v>
      </c>
      <c r="P268" s="293">
        <f>H268</f>
        <v>185.99618936666664</v>
      </c>
      <c r="R268" s="1">
        <f t="shared" si="142"/>
        <v>1</v>
      </c>
      <c r="S268" s="387">
        <f t="shared" si="141"/>
        <v>8.3333333333333332E-3</v>
      </c>
    </row>
    <row r="269" spans="1:19" ht="12.75" customHeight="1">
      <c r="A269" s="1" t="s">
        <v>167</v>
      </c>
      <c r="E269" s="263"/>
      <c r="F269" s="199">
        <f>F291</f>
        <v>22.462503000000002</v>
      </c>
      <c r="G269" s="218">
        <f>G291</f>
        <v>17.760999999999999</v>
      </c>
      <c r="H269" s="289">
        <f>H291</f>
        <v>1.385</v>
      </c>
      <c r="I269" s="110">
        <f>I291</f>
        <v>3.6282000000000001</v>
      </c>
      <c r="J269" s="431"/>
      <c r="K269" s="63">
        <f t="shared" ref="K269:K270" si="147">SUM(I269:J269)</f>
        <v>3.6282000000000001</v>
      </c>
      <c r="L269" s="110">
        <f>L291</f>
        <v>3.9606509999999999</v>
      </c>
      <c r="M269" s="110">
        <f>M291</f>
        <v>3.6285189999999998</v>
      </c>
      <c r="N269" s="425"/>
      <c r="O269" s="63">
        <f t="shared" ref="O269:O270" si="148">SUM(M269:N269)</f>
        <v>3.6285189999999998</v>
      </c>
      <c r="P269" s="342">
        <f>SUM(H269:J269,L269:N269)</f>
        <v>12.602370000000001</v>
      </c>
      <c r="R269" s="632">
        <f>SUM(R254:R268)</f>
        <v>120</v>
      </c>
      <c r="S269" s="647">
        <f>SUM(S254:S268)</f>
        <v>1</v>
      </c>
    </row>
    <row r="270" spans="1:19" ht="12.75" customHeight="1">
      <c r="A270" s="1" t="s">
        <v>168</v>
      </c>
      <c r="E270" s="194"/>
      <c r="F270" s="199">
        <f>-F265</f>
        <v>-13.7848001</v>
      </c>
      <c r="G270" s="218">
        <f>-G265</f>
        <v>-14.256513533333333</v>
      </c>
      <c r="H270" s="289">
        <f t="shared" ref="H270:I270" si="149">-H265</f>
        <v>-3.5403046133333329</v>
      </c>
      <c r="I270" s="110">
        <f t="shared" si="149"/>
        <v>-3.5594854599999999</v>
      </c>
      <c r="J270" s="431"/>
      <c r="K270" s="63">
        <f t="shared" si="147"/>
        <v>-3.5594854599999999</v>
      </c>
      <c r="L270" s="110">
        <f t="shared" ref="L270:M270" si="150">-L265</f>
        <v>-3.6001300649999997</v>
      </c>
      <c r="M270" s="110">
        <f t="shared" si="150"/>
        <v>-3.6407773283333329</v>
      </c>
      <c r="N270" s="421"/>
      <c r="O270" s="63">
        <f t="shared" si="148"/>
        <v>-3.6407773283333329</v>
      </c>
      <c r="P270" s="259">
        <f>SUM(H270:J270,L270:N270)</f>
        <v>-14.340697466666665</v>
      </c>
    </row>
    <row r="271" spans="1:19" ht="12.75" customHeight="1">
      <c r="A271" s="30" t="s">
        <v>169</v>
      </c>
      <c r="B271" s="2"/>
      <c r="C271" s="2"/>
      <c r="D271" s="2"/>
      <c r="E271" s="648">
        <v>173.81399999999999</v>
      </c>
      <c r="F271" s="649">
        <f>SUM(F268:F270)</f>
        <v>182.49170289999998</v>
      </c>
      <c r="G271" s="649">
        <f>SUM(G268:G270)</f>
        <v>185.99618936666664</v>
      </c>
      <c r="H271" s="66">
        <f t="shared" ref="H271:I271" si="151">SUM(H268:H270)</f>
        <v>183.84088475333331</v>
      </c>
      <c r="I271" s="627">
        <f t="shared" si="151"/>
        <v>183.90959929333332</v>
      </c>
      <c r="J271" s="419"/>
      <c r="K271" s="627">
        <f t="shared" ref="K271:M271" si="152">SUM(K268:K270)</f>
        <v>183.90959929333332</v>
      </c>
      <c r="L271" s="627">
        <f t="shared" si="152"/>
        <v>184.27012022833333</v>
      </c>
      <c r="M271" s="627">
        <f t="shared" si="152"/>
        <v>184.25786189999999</v>
      </c>
      <c r="N271" s="419"/>
      <c r="O271" s="627">
        <f t="shared" ref="O271" si="153">SUM(O268:O270)</f>
        <v>184.25786189999999</v>
      </c>
      <c r="P271" s="252">
        <f t="shared" ref="P271" si="154">SUM(P268:P270)</f>
        <v>184.25786189999999</v>
      </c>
    </row>
    <row r="272" spans="1:19" s="2" customFormat="1" ht="12.75" customHeight="1">
      <c r="A272" s="1"/>
      <c r="B272" s="1"/>
      <c r="C272" s="1"/>
      <c r="D272" s="1"/>
      <c r="E272" s="194"/>
      <c r="F272" s="194"/>
      <c r="G272" s="228"/>
      <c r="H272" s="62"/>
      <c r="I272" s="63"/>
      <c r="J272" s="421"/>
      <c r="K272" s="63"/>
      <c r="L272" s="63"/>
      <c r="M272" s="63"/>
      <c r="N272" s="421"/>
      <c r="O272" s="63"/>
      <c r="P272" s="206"/>
    </row>
    <row r="273" spans="1:19" ht="12.75" customHeight="1">
      <c r="A273" s="32" t="s">
        <v>170</v>
      </c>
      <c r="E273" s="194"/>
      <c r="F273" s="194"/>
      <c r="G273" s="228"/>
      <c r="H273" s="67"/>
      <c r="I273" s="68"/>
      <c r="J273" s="427"/>
      <c r="K273" s="68"/>
      <c r="L273" s="68"/>
      <c r="M273" s="68"/>
      <c r="N273" s="427"/>
      <c r="O273" s="68"/>
      <c r="P273" s="258"/>
    </row>
    <row r="274" spans="1:19" ht="12.75" customHeight="1">
      <c r="A274" s="1" t="s">
        <v>152</v>
      </c>
      <c r="E274" s="349"/>
      <c r="F274" s="349">
        <f t="shared" ref="F274:H275" si="155">F253</f>
        <v>13.036049999999999</v>
      </c>
      <c r="G274" s="350">
        <f t="shared" si="155"/>
        <v>12.166979999999999</v>
      </c>
      <c r="H274" s="294">
        <f t="shared" si="155"/>
        <v>2.8583712299999999</v>
      </c>
      <c r="I274" s="295">
        <f t="shared" ref="I274:I278" si="156">I253</f>
        <v>2.8357754100000001</v>
      </c>
      <c r="J274" s="429"/>
      <c r="K274" s="295">
        <f>SUM(I274:J274)</f>
        <v>2.8357754100000001</v>
      </c>
      <c r="L274" s="295">
        <f t="shared" ref="L274:M274" si="157">L253</f>
        <v>2.8131795899999998</v>
      </c>
      <c r="M274" s="295">
        <f t="shared" si="157"/>
        <v>2.79058377</v>
      </c>
      <c r="N274" s="421"/>
      <c r="O274" s="295">
        <f>SUM(M274:N274)</f>
        <v>2.79058377</v>
      </c>
      <c r="P274" s="293">
        <f>SUM(H274:J274,L274:N274)</f>
        <v>11.29791</v>
      </c>
    </row>
    <row r="275" spans="1:19" ht="12.75" customHeight="1">
      <c r="A275" s="1" t="s">
        <v>153</v>
      </c>
      <c r="B275" s="2"/>
      <c r="C275" s="1">
        <f>F248</f>
        <v>22.462503000000002</v>
      </c>
      <c r="D275" s="2"/>
      <c r="E275" s="301"/>
      <c r="F275" s="297">
        <f t="shared" si="155"/>
        <v>0.74875010000000009</v>
      </c>
      <c r="G275" s="298">
        <f t="shared" si="155"/>
        <v>1.4975002000000002</v>
      </c>
      <c r="H275" s="294">
        <f t="shared" si="155"/>
        <v>0.37437505000000004</v>
      </c>
      <c r="I275" s="295">
        <f t="shared" si="156"/>
        <v>0.37437505000000004</v>
      </c>
      <c r="J275" s="429"/>
      <c r="K275" s="295">
        <f t="shared" ref="K275" si="158">SUM(I275:J275)</f>
        <v>0.37437505000000004</v>
      </c>
      <c r="L275" s="295">
        <f t="shared" ref="L275:M275" si="159">L254</f>
        <v>0.37437505000000004</v>
      </c>
      <c r="M275" s="296">
        <f t="shared" si="159"/>
        <v>0.37437505000000004</v>
      </c>
      <c r="N275" s="421"/>
      <c r="O275" s="295">
        <f t="shared" ref="O275:O278" si="160">SUM(M275:N275)</f>
        <v>0.37437505000000004</v>
      </c>
      <c r="P275" s="293">
        <f>SUM(H275:J275,L275:N275)</f>
        <v>1.4975002000000002</v>
      </c>
    </row>
    <row r="276" spans="1:19" ht="12.75" customHeight="1">
      <c r="A276" s="1" t="s">
        <v>154</v>
      </c>
      <c r="C276" s="1">
        <f>G248</f>
        <v>17.760999999999999</v>
      </c>
      <c r="E276" s="297"/>
      <c r="F276" s="297"/>
      <c r="G276" s="356">
        <f>G255</f>
        <v>0.5920333333333333</v>
      </c>
      <c r="H276" s="294">
        <f>H255</f>
        <v>0.29601666666666665</v>
      </c>
      <c r="I276" s="295">
        <f t="shared" si="156"/>
        <v>0.29601666666666665</v>
      </c>
      <c r="J276" s="429"/>
      <c r="K276" s="295">
        <f t="shared" ref="K276" si="161">SUM(I276:J276)</f>
        <v>0.29601666666666665</v>
      </c>
      <c r="L276" s="295">
        <f t="shared" ref="L276:M276" si="162">L255</f>
        <v>0.29601666666666665</v>
      </c>
      <c r="M276" s="296">
        <f t="shared" si="162"/>
        <v>0.29601666666666665</v>
      </c>
      <c r="N276" s="421"/>
      <c r="O276" s="295">
        <f t="shared" si="160"/>
        <v>0.29601666666666665</v>
      </c>
      <c r="P276" s="293">
        <f t="shared" ref="P276:P280" si="163">SUM(H276:J276,L276:N276)</f>
        <v>1.1840666666666666</v>
      </c>
    </row>
    <row r="277" spans="1:19" ht="12.75" customHeight="1">
      <c r="A277" s="1" t="s">
        <v>155</v>
      </c>
      <c r="C277" s="1">
        <f>H248</f>
        <v>1.385</v>
      </c>
      <c r="E277" s="297"/>
      <c r="F277" s="297"/>
      <c r="G277" s="298"/>
      <c r="H277" s="299">
        <f>H256</f>
        <v>1.1541666666666667E-2</v>
      </c>
      <c r="I277" s="300">
        <f t="shared" si="156"/>
        <v>2.3083333333333334E-2</v>
      </c>
      <c r="J277" s="430"/>
      <c r="K277" s="295">
        <f t="shared" ref="K277:K278" si="164">SUM(I277:J277)</f>
        <v>2.3083333333333334E-2</v>
      </c>
      <c r="L277" s="300">
        <f t="shared" ref="L277:M277" si="165">L256</f>
        <v>2.3083333333333334E-2</v>
      </c>
      <c r="M277" s="300">
        <f t="shared" si="165"/>
        <v>2.3083333333333334E-2</v>
      </c>
      <c r="N277" s="421"/>
      <c r="O277" s="295">
        <f t="shared" si="160"/>
        <v>2.3083333333333334E-2</v>
      </c>
      <c r="P277" s="293">
        <f t="shared" si="163"/>
        <v>8.0791666666666664E-2</v>
      </c>
    </row>
    <row r="278" spans="1:19" ht="12.75" customHeight="1">
      <c r="A278" s="1" t="s">
        <v>156</v>
      </c>
      <c r="C278" s="1">
        <f>I248</f>
        <v>3.6282000000000001</v>
      </c>
      <c r="E278" s="297"/>
      <c r="F278" s="297"/>
      <c r="G278" s="298"/>
      <c r="H278" s="299"/>
      <c r="I278" s="300">
        <f t="shared" si="156"/>
        <v>3.0235000000000001E-2</v>
      </c>
      <c r="J278" s="430"/>
      <c r="K278" s="295">
        <f t="shared" si="164"/>
        <v>3.0235000000000001E-2</v>
      </c>
      <c r="L278" s="300">
        <f t="shared" ref="L278:M278" si="166">L257</f>
        <v>6.0470000000000003E-2</v>
      </c>
      <c r="M278" s="300">
        <f t="shared" si="166"/>
        <v>6.0470000000000003E-2</v>
      </c>
      <c r="N278" s="421"/>
      <c r="O278" s="295">
        <f t="shared" si="160"/>
        <v>6.0470000000000003E-2</v>
      </c>
      <c r="P278" s="293">
        <f t="shared" si="163"/>
        <v>0.151175</v>
      </c>
    </row>
    <row r="279" spans="1:19" ht="12.75" customHeight="1">
      <c r="A279" s="1" t="s">
        <v>157</v>
      </c>
      <c r="C279" s="1">
        <f>L248</f>
        <v>3.9606509999999999</v>
      </c>
      <c r="E279" s="297"/>
      <c r="F279" s="297"/>
      <c r="G279" s="298"/>
      <c r="H279" s="299"/>
      <c r="I279" s="300"/>
      <c r="J279" s="430"/>
      <c r="K279" s="295"/>
      <c r="L279" s="300">
        <f t="shared" ref="L279:M279" si="167">L258</f>
        <v>3.3005424999999998E-2</v>
      </c>
      <c r="M279" s="300">
        <f t="shared" si="167"/>
        <v>6.6010849999999996E-2</v>
      </c>
      <c r="N279" s="421"/>
      <c r="O279" s="295"/>
      <c r="P279" s="293">
        <f t="shared" si="163"/>
        <v>9.9016274999999987E-2</v>
      </c>
    </row>
    <row r="280" spans="1:19" ht="12.75" customHeight="1">
      <c r="A280" s="1" t="s">
        <v>158</v>
      </c>
      <c r="C280" s="1">
        <f>M248</f>
        <v>3.6285189999999998</v>
      </c>
      <c r="E280" s="297"/>
      <c r="F280" s="297"/>
      <c r="G280" s="298"/>
      <c r="H280" s="299"/>
      <c r="I280" s="300"/>
      <c r="J280" s="430"/>
      <c r="K280" s="295"/>
      <c r="L280" s="300"/>
      <c r="M280" s="300">
        <f>M259</f>
        <v>3.023765833333333E-2</v>
      </c>
      <c r="N280" s="421"/>
      <c r="O280" s="295"/>
      <c r="P280" s="293">
        <f t="shared" si="163"/>
        <v>3.023765833333333E-2</v>
      </c>
    </row>
    <row r="281" spans="1:19" ht="12.75" customHeight="1">
      <c r="A281" s="1" t="s">
        <v>159</v>
      </c>
      <c r="B281" s="2"/>
      <c r="C281" s="1" t="e">
        <f>#REF!</f>
        <v>#REF!</v>
      </c>
      <c r="D281" s="2"/>
      <c r="E281" s="301"/>
      <c r="F281" s="297"/>
      <c r="G281" s="298"/>
      <c r="H281" s="294"/>
      <c r="I281" s="295"/>
      <c r="J281" s="429"/>
      <c r="K281" s="295"/>
      <c r="L281" s="295"/>
      <c r="M281" s="296"/>
      <c r="N281" s="421"/>
      <c r="O281" s="295"/>
      <c r="P281" s="293"/>
    </row>
    <row r="282" spans="1:19" ht="12.75" customHeight="1">
      <c r="A282" s="1" t="s">
        <v>160</v>
      </c>
      <c r="C282" s="1" t="e">
        <f>#REF!</f>
        <v>#REF!</v>
      </c>
      <c r="E282" s="297"/>
      <c r="F282" s="297"/>
      <c r="G282" s="298"/>
      <c r="H282" s="294"/>
      <c r="I282" s="295"/>
      <c r="J282" s="429"/>
      <c r="K282" s="295"/>
      <c r="L282" s="295"/>
      <c r="M282" s="296"/>
      <c r="N282" s="421"/>
      <c r="O282" s="295"/>
      <c r="P282" s="293"/>
    </row>
    <row r="283" spans="1:19" ht="12.75" customHeight="1">
      <c r="A283" s="1" t="s">
        <v>161</v>
      </c>
      <c r="C283" s="1" t="e">
        <f>#REF!</f>
        <v>#REF!</v>
      </c>
      <c r="E283" s="297"/>
      <c r="F283" s="297"/>
      <c r="G283" s="298"/>
      <c r="H283" s="294"/>
      <c r="I283" s="295"/>
      <c r="J283" s="429"/>
      <c r="K283" s="295"/>
      <c r="L283" s="295"/>
      <c r="M283" s="296"/>
      <c r="N283" s="421"/>
      <c r="O283" s="295"/>
      <c r="P283" s="293"/>
    </row>
    <row r="284" spans="1:19" ht="12.75" customHeight="1">
      <c r="A284" s="1" t="s">
        <v>162</v>
      </c>
      <c r="C284" s="1" t="e">
        <f>#REF!</f>
        <v>#REF!</v>
      </c>
      <c r="E284" s="297"/>
      <c r="F284" s="297"/>
      <c r="G284" s="298"/>
      <c r="H284" s="294"/>
      <c r="I284" s="295"/>
      <c r="J284" s="429"/>
      <c r="K284" s="295"/>
      <c r="L284" s="295"/>
      <c r="M284" s="296"/>
      <c r="N284" s="421"/>
      <c r="O284" s="295"/>
      <c r="P284" s="293"/>
    </row>
    <row r="285" spans="1:19" ht="12.75" customHeight="1">
      <c r="A285" s="1" t="s">
        <v>163</v>
      </c>
      <c r="C285" s="1" t="e">
        <f>#REF!</f>
        <v>#REF!</v>
      </c>
      <c r="E285" s="297"/>
      <c r="F285" s="297"/>
      <c r="G285" s="298"/>
      <c r="H285" s="294"/>
      <c r="I285" s="295"/>
      <c r="J285" s="429"/>
      <c r="K285" s="295"/>
      <c r="L285" s="295"/>
      <c r="M285" s="296"/>
      <c r="N285" s="421"/>
      <c r="O285" s="295"/>
      <c r="P285" s="293"/>
    </row>
    <row r="286" spans="1:19" ht="12.75" customHeight="1">
      <c r="A286" s="1" t="s">
        <v>171</v>
      </c>
      <c r="E286" s="297"/>
      <c r="F286" s="297"/>
      <c r="G286" s="298"/>
      <c r="H286" s="294"/>
      <c r="I286" s="295"/>
      <c r="J286" s="429"/>
      <c r="K286" s="295"/>
      <c r="L286" s="295"/>
      <c r="M286" s="296"/>
      <c r="N286" s="421"/>
      <c r="O286" s="295"/>
      <c r="P286" s="293"/>
    </row>
    <row r="287" spans="1:19" ht="12.75" customHeight="1">
      <c r="A287" s="30" t="s">
        <v>172</v>
      </c>
      <c r="B287" s="2"/>
      <c r="C287" s="2"/>
      <c r="D287" s="2"/>
      <c r="E287" s="623"/>
      <c r="F287" s="623">
        <f>SUM(F274:F286)</f>
        <v>13.7848001</v>
      </c>
      <c r="G287" s="624">
        <f>SUM(G274:G286)</f>
        <v>14.256513533333333</v>
      </c>
      <c r="H287" s="66">
        <f>SUM(H274:H286)</f>
        <v>3.5403046133333329</v>
      </c>
      <c r="I287" s="627">
        <f>SUM(I274:I286)</f>
        <v>3.5594854599999999</v>
      </c>
      <c r="J287" s="419"/>
      <c r="K287" s="627">
        <f>SUM(K274:K286)</f>
        <v>3.5594854599999999</v>
      </c>
      <c r="L287" s="627">
        <f>SUM(L274:L286)</f>
        <v>3.6001300649999997</v>
      </c>
      <c r="M287" s="627">
        <f>SUM(M274:M286)</f>
        <v>3.6407773283333329</v>
      </c>
      <c r="N287" s="419"/>
      <c r="O287" s="627">
        <f>SUM(O274:O286)</f>
        <v>3.5445288199999996</v>
      </c>
      <c r="P287" s="252">
        <f t="shared" ref="P287" si="168">SUM(P274:P286)</f>
        <v>14.340697466666667</v>
      </c>
      <c r="R287" s="400">
        <f>-N342</f>
        <v>0</v>
      </c>
      <c r="S287" s="1" t="s">
        <v>173</v>
      </c>
    </row>
    <row r="288" spans="1:19" ht="12.75" customHeight="1">
      <c r="E288" s="194"/>
      <c r="F288" s="194"/>
      <c r="G288" s="228"/>
      <c r="H288" s="62"/>
      <c r="I288" s="63"/>
      <c r="J288" s="421"/>
      <c r="K288" s="63"/>
      <c r="L288" s="63"/>
      <c r="M288" s="63"/>
      <c r="N288" s="421"/>
      <c r="O288" s="63"/>
      <c r="P288" s="206"/>
      <c r="R288" s="398">
        <f>R287/SUM(O290:O292)</f>
        <v>0</v>
      </c>
      <c r="S288" s="1" t="s">
        <v>174</v>
      </c>
    </row>
    <row r="289" spans="1:19" ht="12.75" customHeight="1">
      <c r="A289" s="32" t="s">
        <v>175</v>
      </c>
      <c r="E289" s="194"/>
      <c r="F289" s="194"/>
      <c r="G289" s="228"/>
      <c r="H289" s="62"/>
      <c r="I289" s="63"/>
      <c r="J289" s="421"/>
      <c r="K289" s="63"/>
      <c r="L289" s="63"/>
      <c r="M289" s="63"/>
      <c r="N289" s="421"/>
      <c r="O289" s="63"/>
      <c r="P289" s="206"/>
    </row>
    <row r="290" spans="1:19" ht="12.75" customHeight="1">
      <c r="A290" s="1" t="s">
        <v>176</v>
      </c>
      <c r="E290" s="195"/>
      <c r="F290" s="199">
        <f>E294</f>
        <v>173.81399999999999</v>
      </c>
      <c r="G290" s="199">
        <f>F294</f>
        <v>182.49170289999998</v>
      </c>
      <c r="H290" s="62">
        <f>G294</f>
        <v>185.99618936666664</v>
      </c>
      <c r="I290" s="63">
        <f t="shared" ref="I290:M290" si="169">H294</f>
        <v>183.84088475333331</v>
      </c>
      <c r="J290" s="421"/>
      <c r="K290" s="63">
        <f>SUM(I290:J290)</f>
        <v>183.84088475333331</v>
      </c>
      <c r="L290" s="63">
        <f>K294</f>
        <v>183.90959929333332</v>
      </c>
      <c r="M290" s="63">
        <f t="shared" si="169"/>
        <v>184.27012022833333</v>
      </c>
      <c r="N290" s="421"/>
      <c r="O290" s="63">
        <f>SUM(M290:N290)</f>
        <v>184.27012022833333</v>
      </c>
      <c r="P290" s="293">
        <f>H290</f>
        <v>185.99618936666664</v>
      </c>
    </row>
    <row r="291" spans="1:19" ht="12.75" customHeight="1">
      <c r="A291" s="1" t="s">
        <v>167</v>
      </c>
      <c r="E291" s="263"/>
      <c r="F291" s="199">
        <f>F248</f>
        <v>22.462503000000002</v>
      </c>
      <c r="G291" s="218">
        <f>G248</f>
        <v>17.760999999999999</v>
      </c>
      <c r="H291" s="289">
        <f>H248</f>
        <v>1.385</v>
      </c>
      <c r="I291" s="110">
        <f>I248</f>
        <v>3.6282000000000001</v>
      </c>
      <c r="J291" s="431"/>
      <c r="K291" s="63">
        <f t="shared" ref="K291:K293" si="170">SUM(I291:J291)</f>
        <v>3.6282000000000001</v>
      </c>
      <c r="L291" s="110">
        <f>L248</f>
        <v>3.9606509999999999</v>
      </c>
      <c r="M291" s="110">
        <f>M248</f>
        <v>3.6285189999999998</v>
      </c>
      <c r="N291" s="425"/>
      <c r="O291" s="63">
        <f t="shared" ref="O291:O293" si="171">SUM(M291:N291)</f>
        <v>3.6285189999999998</v>
      </c>
      <c r="P291" s="342">
        <f>SUM(H291:J291,L291:N291)</f>
        <v>12.602370000000001</v>
      </c>
    </row>
    <row r="292" spans="1:19" ht="12.75" customHeight="1">
      <c r="A292" s="1" t="s">
        <v>168</v>
      </c>
      <c r="E292" s="194"/>
      <c r="F292" s="199">
        <f>-F287</f>
        <v>-13.7848001</v>
      </c>
      <c r="G292" s="218">
        <f>-G287</f>
        <v>-14.256513533333333</v>
      </c>
      <c r="H292" s="289">
        <f t="shared" ref="H292:M292" si="172">-H287</f>
        <v>-3.5403046133333329</v>
      </c>
      <c r="I292" s="110">
        <f t="shared" si="172"/>
        <v>-3.5594854599999999</v>
      </c>
      <c r="J292" s="431"/>
      <c r="K292" s="63">
        <f t="shared" si="170"/>
        <v>-3.5594854599999999</v>
      </c>
      <c r="L292" s="110">
        <f t="shared" si="172"/>
        <v>-3.6001300649999997</v>
      </c>
      <c r="M292" s="110">
        <f t="shared" si="172"/>
        <v>-3.6407773283333329</v>
      </c>
      <c r="N292" s="421"/>
      <c r="O292" s="63">
        <f t="shared" si="171"/>
        <v>-3.6407773283333329</v>
      </c>
      <c r="P292" s="342">
        <f t="shared" ref="P292:P293" si="173">SUM(H292:J292,L292:N292)</f>
        <v>-14.340697466666665</v>
      </c>
    </row>
    <row r="293" spans="1:19" ht="12.75" customHeight="1">
      <c r="A293" s="1" t="s">
        <v>177</v>
      </c>
      <c r="E293" s="194"/>
      <c r="F293" s="195">
        <v>0</v>
      </c>
      <c r="G293" s="202">
        <v>0</v>
      </c>
      <c r="H293" s="178">
        <v>0</v>
      </c>
      <c r="I293" s="6">
        <v>0</v>
      </c>
      <c r="J293" s="431"/>
      <c r="K293" s="63">
        <f t="shared" si="170"/>
        <v>0</v>
      </c>
      <c r="L293" s="6">
        <v>0</v>
      </c>
      <c r="M293" s="6">
        <v>0</v>
      </c>
      <c r="N293" s="421">
        <f>-R287</f>
        <v>0</v>
      </c>
      <c r="O293" s="63">
        <f t="shared" si="171"/>
        <v>0</v>
      </c>
      <c r="P293" s="342">
        <f t="shared" si="173"/>
        <v>0</v>
      </c>
    </row>
    <row r="294" spans="1:19" ht="12.75" customHeight="1">
      <c r="A294" s="30" t="s">
        <v>178</v>
      </c>
      <c r="B294" s="2"/>
      <c r="C294" s="2"/>
      <c r="D294" s="2"/>
      <c r="E294" s="649">
        <f>E42</f>
        <v>173.81399999999999</v>
      </c>
      <c r="F294" s="649">
        <f>SUM(F290:F293)</f>
        <v>182.49170289999998</v>
      </c>
      <c r="G294" s="649">
        <f>SUM(G290:G293)</f>
        <v>185.99618936666664</v>
      </c>
      <c r="H294" s="66">
        <f>SUM(H290:H293)</f>
        <v>183.84088475333331</v>
      </c>
      <c r="I294" s="627">
        <f>SUM(I290:I293)</f>
        <v>183.90959929333332</v>
      </c>
      <c r="J294" s="419"/>
      <c r="K294" s="627">
        <f>SUM(K290:K293)</f>
        <v>183.90959929333332</v>
      </c>
      <c r="L294" s="627">
        <f>SUM(L290:L293)</f>
        <v>184.27012022833333</v>
      </c>
      <c r="M294" s="627">
        <f>SUM(M290:M293)</f>
        <v>184.25786189999999</v>
      </c>
      <c r="N294" s="419"/>
      <c r="O294" s="627">
        <f>SUM(O290:O293)</f>
        <v>184.25786189999999</v>
      </c>
      <c r="P294" s="252">
        <f t="shared" ref="P294" si="174">SUM(P290:P293)</f>
        <v>184.25786189999999</v>
      </c>
    </row>
    <row r="295" spans="1:19" s="2" customFormat="1" ht="12.75" customHeight="1">
      <c r="A295" s="1"/>
      <c r="B295" s="1"/>
      <c r="C295" s="1"/>
      <c r="D295" s="1"/>
      <c r="E295" s="194"/>
      <c r="F295" s="194"/>
      <c r="G295" s="228"/>
      <c r="H295" s="62"/>
      <c r="I295" s="63"/>
      <c r="J295" s="421"/>
      <c r="K295" s="63"/>
      <c r="L295" s="63"/>
      <c r="M295" s="63"/>
      <c r="N295" s="421"/>
      <c r="O295" s="63"/>
      <c r="P295" s="206"/>
    </row>
    <row r="296" spans="1:19" ht="12.75" customHeight="1">
      <c r="A296" s="1" t="s">
        <v>179</v>
      </c>
      <c r="E296" s="194"/>
      <c r="F296" s="194">
        <f t="shared" ref="F296:P296" si="175">F265-F287</f>
        <v>0</v>
      </c>
      <c r="G296" s="228">
        <f t="shared" si="175"/>
        <v>0</v>
      </c>
      <c r="H296" s="62">
        <f t="shared" si="175"/>
        <v>0</v>
      </c>
      <c r="I296" s="63">
        <f t="shared" si="175"/>
        <v>0</v>
      </c>
      <c r="J296" s="421">
        <f t="shared" si="175"/>
        <v>0</v>
      </c>
      <c r="K296" s="63">
        <f t="shared" si="175"/>
        <v>0</v>
      </c>
      <c r="L296" s="63">
        <f t="shared" si="175"/>
        <v>0</v>
      </c>
      <c r="M296" s="63">
        <f t="shared" si="175"/>
        <v>0</v>
      </c>
      <c r="N296" s="421">
        <f t="shared" si="175"/>
        <v>0</v>
      </c>
      <c r="O296" s="63">
        <f t="shared" ref="O296" si="176">O265-O287</f>
        <v>0</v>
      </c>
      <c r="P296" s="206">
        <f t="shared" si="175"/>
        <v>0</v>
      </c>
    </row>
    <row r="297" spans="1:19" ht="12.75" customHeight="1"/>
    <row r="298" spans="1:19" ht="12.75" customHeight="1"/>
    <row r="299" spans="1:19" ht="12.75" customHeight="1">
      <c r="A299" s="93" t="s">
        <v>180</v>
      </c>
      <c r="B299" s="93"/>
      <c r="C299" s="93"/>
      <c r="D299" s="93"/>
      <c r="E299" s="93"/>
      <c r="F299" s="93"/>
      <c r="G299" s="93"/>
      <c r="H299" s="93"/>
      <c r="I299" s="93"/>
      <c r="J299" s="93"/>
      <c r="K299" s="93"/>
      <c r="L299" s="93"/>
      <c r="M299" s="93"/>
      <c r="N299" s="93"/>
      <c r="O299" s="93"/>
      <c r="P299" s="93"/>
    </row>
    <row r="300" spans="1:19" ht="12.75" customHeight="1" thickBot="1">
      <c r="A300" s="83"/>
      <c r="B300" s="83"/>
      <c r="C300" s="83"/>
      <c r="D300" s="83"/>
      <c r="E300" s="83"/>
      <c r="F300" s="83"/>
      <c r="G300" s="83"/>
      <c r="H300" s="83"/>
      <c r="I300" s="83"/>
      <c r="J300" s="83"/>
      <c r="K300" s="83"/>
      <c r="L300" s="83"/>
      <c r="M300" s="83"/>
      <c r="N300" s="83"/>
      <c r="O300" s="83"/>
      <c r="P300" s="83"/>
    </row>
    <row r="301" spans="1:19" s="63" customFormat="1" ht="12.75" customHeight="1">
      <c r="A301" s="94"/>
      <c r="E301" s="604">
        <f>E$8</f>
        <v>43465</v>
      </c>
      <c r="F301" s="604">
        <f t="shared" ref="F301:P301" si="177">F$8</f>
        <v>43830</v>
      </c>
      <c r="G301" s="605">
        <f t="shared" si="177"/>
        <v>44196</v>
      </c>
      <c r="H301" s="606">
        <f t="shared" si="177"/>
        <v>44286</v>
      </c>
      <c r="I301" s="607">
        <f t="shared" si="177"/>
        <v>44377</v>
      </c>
      <c r="J301" s="608" t="str">
        <f t="shared" si="177"/>
        <v>FILING</v>
      </c>
      <c r="K301" s="609">
        <f t="shared" si="177"/>
        <v>44377</v>
      </c>
      <c r="L301" s="607">
        <f t="shared" si="177"/>
        <v>44469</v>
      </c>
      <c r="M301" s="607">
        <f>M$8</f>
        <v>44561</v>
      </c>
      <c r="N301" s="610" t="str">
        <f>N$8</f>
        <v>Adjustments</v>
      </c>
      <c r="O301" s="609">
        <f t="shared" si="177"/>
        <v>44561</v>
      </c>
      <c r="P301" s="611">
        <f t="shared" si="177"/>
        <v>44561</v>
      </c>
      <c r="Q301" s="83"/>
    </row>
    <row r="302" spans="1:19" ht="12.75" customHeight="1">
      <c r="A302" s="83"/>
      <c r="B302" s="83"/>
      <c r="C302" s="83"/>
      <c r="D302" s="83"/>
      <c r="E302" s="226"/>
      <c r="F302" s="226"/>
      <c r="G302" s="270"/>
      <c r="H302" s="82"/>
      <c r="I302" s="83"/>
      <c r="J302" s="417"/>
      <c r="K302" s="83"/>
      <c r="L302" s="83"/>
      <c r="M302" s="83"/>
      <c r="N302" s="417"/>
      <c r="O302" s="83"/>
      <c r="P302" s="255"/>
    </row>
    <row r="303" spans="1:19" s="63" customFormat="1" ht="12.75" customHeight="1">
      <c r="A303" s="19" t="s">
        <v>181</v>
      </c>
      <c r="B303" s="34"/>
      <c r="C303" s="44"/>
      <c r="D303" s="1"/>
      <c r="E303" s="260"/>
      <c r="F303" s="260"/>
      <c r="G303" s="271"/>
      <c r="H303" s="82"/>
      <c r="I303" s="83"/>
      <c r="J303" s="417"/>
      <c r="K303" s="83"/>
      <c r="L303" s="83"/>
      <c r="M303" s="83"/>
      <c r="N303" s="417"/>
      <c r="O303" s="83"/>
      <c r="P303" s="255"/>
    </row>
    <row r="304" spans="1:19" ht="12.75" customHeight="1">
      <c r="A304" s="41" t="s">
        <v>182</v>
      </c>
      <c r="B304" s="38"/>
      <c r="C304" s="46"/>
      <c r="D304" s="16"/>
      <c r="E304" s="196"/>
      <c r="F304" s="196">
        <f>E309</f>
        <v>0</v>
      </c>
      <c r="G304" s="244">
        <f>F309</f>
        <v>0</v>
      </c>
      <c r="H304" s="78">
        <f>G309</f>
        <v>0</v>
      </c>
      <c r="I304" s="79">
        <f>H309</f>
        <v>0</v>
      </c>
      <c r="J304" s="418"/>
      <c r="K304" s="79"/>
      <c r="L304" s="79">
        <f>I309</f>
        <v>0</v>
      </c>
      <c r="M304" s="79">
        <f>L309</f>
        <v>0</v>
      </c>
      <c r="N304" s="418"/>
      <c r="O304" s="79"/>
      <c r="P304" s="251">
        <f>H304</f>
        <v>0</v>
      </c>
      <c r="Q304" s="34"/>
      <c r="R304" s="34"/>
      <c r="S304" s="34"/>
    </row>
    <row r="305" spans="1:16" s="16" customFormat="1" ht="12.75" customHeight="1">
      <c r="A305" s="3" t="s">
        <v>183</v>
      </c>
      <c r="B305" s="38"/>
      <c r="C305" s="46"/>
      <c r="E305" s="196"/>
      <c r="F305" s="196">
        <f>SUM(F158:F162)</f>
        <v>49.263696249999995</v>
      </c>
      <c r="G305" s="244">
        <f>SUM(G158:G162)</f>
        <v>43.725416666666668</v>
      </c>
      <c r="H305" s="78">
        <f>SUM(H158:H162)</f>
        <v>10.525</v>
      </c>
      <c r="I305" s="79">
        <f>SUM(I158:I162)</f>
        <v>10.507777777777777</v>
      </c>
      <c r="J305" s="418"/>
      <c r="K305" s="79"/>
      <c r="L305" s="79">
        <f>SUM(L158:L162)</f>
        <v>5.9097222222222214</v>
      </c>
      <c r="M305" s="79">
        <f>SUM(M158:M162)</f>
        <v>5.9097222222222214</v>
      </c>
      <c r="N305" s="418"/>
      <c r="O305" s="79"/>
      <c r="P305" s="251">
        <f>SUM(H305:N305)</f>
        <v>32.852222222222224</v>
      </c>
    </row>
    <row r="306" spans="1:16" s="16" customFormat="1" ht="12.75" customHeight="1">
      <c r="A306" s="41" t="s">
        <v>184</v>
      </c>
      <c r="B306" s="38"/>
      <c r="C306" s="46"/>
      <c r="E306" s="196"/>
      <c r="F306" s="196">
        <f>-SUM(F158:F161,F162)</f>
        <v>-49.263696249999995</v>
      </c>
      <c r="G306" s="244">
        <f>-SUM(G158:G161,G162)</f>
        <v>-43.725416666666668</v>
      </c>
      <c r="H306" s="97">
        <f>-SUM(H158:H161,H162)</f>
        <v>-10.525</v>
      </c>
      <c r="I306" s="16">
        <f>-SUM(I158:I161,I162)</f>
        <v>-10.507777777777777</v>
      </c>
      <c r="J306" s="418"/>
      <c r="L306" s="16">
        <f>-SUM(L158:L161,L162)</f>
        <v>-5.9097222222222214</v>
      </c>
      <c r="M306" s="16">
        <f>-SUM(M158:M161,M162)</f>
        <v>-5.9097222222222214</v>
      </c>
      <c r="N306" s="424"/>
      <c r="P306" s="251">
        <f t="shared" ref="P306:P308" si="178">SUM(H306:N306)</f>
        <v>-32.852222222222224</v>
      </c>
    </row>
    <row r="307" spans="1:16" s="16" customFormat="1" ht="12.75" customHeight="1">
      <c r="A307" s="41" t="s">
        <v>185</v>
      </c>
      <c r="B307" s="38"/>
      <c r="C307" s="46"/>
      <c r="E307" s="196"/>
      <c r="F307" s="196">
        <f>-F122</f>
        <v>0</v>
      </c>
      <c r="G307" s="196">
        <f>-G122</f>
        <v>0</v>
      </c>
      <c r="H307" s="97">
        <f>-H122</f>
        <v>0</v>
      </c>
      <c r="I307" s="16">
        <f>-I122</f>
        <v>0</v>
      </c>
      <c r="J307" s="418"/>
      <c r="L307" s="16">
        <f>-L122</f>
        <v>0</v>
      </c>
      <c r="M307" s="16">
        <f>-M122</f>
        <v>0</v>
      </c>
      <c r="N307" s="424"/>
      <c r="P307" s="251">
        <f t="shared" si="178"/>
        <v>0</v>
      </c>
    </row>
    <row r="308" spans="1:16" s="16" customFormat="1" ht="12.75" customHeight="1">
      <c r="A308" s="41" t="s">
        <v>186</v>
      </c>
      <c r="B308" s="38"/>
      <c r="C308" s="46"/>
      <c r="E308" s="196"/>
      <c r="F308" s="245">
        <v>0</v>
      </c>
      <c r="G308" s="245">
        <v>0</v>
      </c>
      <c r="H308" s="326">
        <v>0</v>
      </c>
      <c r="I308" s="23">
        <v>0</v>
      </c>
      <c r="J308" s="418"/>
      <c r="L308" s="23">
        <v>0</v>
      </c>
      <c r="M308" s="23">
        <v>0</v>
      </c>
      <c r="N308" s="425">
        <f>-'Recap-Fresh Start Schedule'!G45</f>
        <v>0</v>
      </c>
      <c r="P308" s="251">
        <f t="shared" si="178"/>
        <v>0</v>
      </c>
    </row>
    <row r="309" spans="1:16" s="16" customFormat="1" ht="12.75" customHeight="1">
      <c r="A309" s="30" t="s">
        <v>187</v>
      </c>
      <c r="B309" s="30"/>
      <c r="C309" s="47"/>
      <c r="D309" s="2"/>
      <c r="E309" s="648">
        <v>0</v>
      </c>
      <c r="F309" s="649">
        <f>SUM(F304:F308)</f>
        <v>0</v>
      </c>
      <c r="G309" s="649">
        <f>SUM(G304:G308)</f>
        <v>0</v>
      </c>
      <c r="H309" s="66">
        <f>SUM(H304:H308)</f>
        <v>0</v>
      </c>
      <c r="I309" s="627">
        <f>SUM(I304:I308)</f>
        <v>0</v>
      </c>
      <c r="J309" s="419"/>
      <c r="K309" s="627"/>
      <c r="L309" s="627">
        <f>SUM(L304:L308)</f>
        <v>0</v>
      </c>
      <c r="M309" s="627">
        <f>SUM(M304:M308)</f>
        <v>0</v>
      </c>
      <c r="N309" s="419"/>
      <c r="O309" s="627"/>
      <c r="P309" s="252">
        <f t="shared" ref="P309" si="179">SUM(P304:P308)</f>
        <v>0</v>
      </c>
    </row>
    <row r="310" spans="1:16" s="2" customFormat="1" ht="12.75" customHeight="1">
      <c r="A310" s="41"/>
      <c r="B310" s="38"/>
      <c r="C310" s="46"/>
      <c r="D310" s="16"/>
      <c r="E310" s="196"/>
      <c r="F310" s="196"/>
      <c r="G310" s="196"/>
      <c r="H310" s="97"/>
      <c r="I310" s="16"/>
      <c r="J310" s="418"/>
      <c r="K310" s="16"/>
      <c r="L310" s="16"/>
      <c r="M310" s="16"/>
      <c r="N310" s="424"/>
      <c r="O310" s="16"/>
      <c r="P310" s="251"/>
    </row>
    <row r="311" spans="1:16" s="16" customFormat="1" ht="24.6" customHeight="1">
      <c r="A311" s="41" t="s">
        <v>124</v>
      </c>
      <c r="B311" s="38"/>
      <c r="C311" s="46"/>
      <c r="E311" s="196">
        <f>-E320</f>
        <v>0</v>
      </c>
      <c r="F311" s="196">
        <f t="shared" ref="F311:I311" si="180">-F320</f>
        <v>0</v>
      </c>
      <c r="G311" s="196">
        <f t="shared" si="180"/>
        <v>0</v>
      </c>
      <c r="H311" s="97">
        <f t="shared" si="180"/>
        <v>0</v>
      </c>
      <c r="I311" s="16">
        <f t="shared" si="180"/>
        <v>0</v>
      </c>
      <c r="J311" s="418"/>
      <c r="L311" s="16">
        <f t="shared" ref="L311:P311" si="181">-L320</f>
        <v>0</v>
      </c>
      <c r="M311" s="16">
        <f t="shared" si="181"/>
        <v>0</v>
      </c>
      <c r="N311" s="424"/>
      <c r="P311" s="251">
        <f t="shared" si="181"/>
        <v>0</v>
      </c>
    </row>
    <row r="312" spans="1:16" s="16" customFormat="1" ht="12.75" customHeight="1">
      <c r="A312" s="30" t="s">
        <v>79</v>
      </c>
      <c r="B312" s="30"/>
      <c r="C312" s="47"/>
      <c r="D312" s="2"/>
      <c r="E312" s="649">
        <f>SUM(E309,E311)</f>
        <v>0</v>
      </c>
      <c r="F312" s="649">
        <f t="shared" ref="F312:I312" si="182">SUM(F309,F311)</f>
        <v>0</v>
      </c>
      <c r="G312" s="649">
        <f t="shared" si="182"/>
        <v>0</v>
      </c>
      <c r="H312" s="66">
        <f t="shared" si="182"/>
        <v>0</v>
      </c>
      <c r="I312" s="627">
        <f t="shared" si="182"/>
        <v>0</v>
      </c>
      <c r="J312" s="419"/>
      <c r="K312" s="627"/>
      <c r="L312" s="627">
        <f t="shared" ref="L312:M312" si="183">SUM(L309,L311)</f>
        <v>0</v>
      </c>
      <c r="M312" s="627">
        <f t="shared" si="183"/>
        <v>0</v>
      </c>
      <c r="N312" s="419"/>
      <c r="O312" s="627"/>
      <c r="P312" s="252">
        <f>SUM(P309,P311)</f>
        <v>0</v>
      </c>
    </row>
    <row r="313" spans="1:16" s="2" customFormat="1" ht="12.75" customHeight="1">
      <c r="A313" s="41"/>
      <c r="B313" s="38"/>
      <c r="C313" s="46"/>
      <c r="D313" s="16"/>
      <c r="E313" s="196"/>
      <c r="F313" s="196"/>
      <c r="G313" s="244"/>
      <c r="H313" s="78"/>
      <c r="I313" s="79"/>
      <c r="J313" s="418"/>
      <c r="K313" s="79"/>
      <c r="L313" s="79"/>
      <c r="M313" s="79"/>
      <c r="N313" s="418"/>
      <c r="O313" s="79"/>
      <c r="P313" s="251"/>
    </row>
    <row r="314" spans="1:16" s="16" customFormat="1" ht="12.75" customHeight="1">
      <c r="A314" s="19" t="s">
        <v>188</v>
      </c>
      <c r="B314" s="19"/>
      <c r="C314" s="44"/>
      <c r="D314" s="1"/>
      <c r="E314" s="261"/>
      <c r="F314" s="261"/>
      <c r="G314" s="272"/>
      <c r="H314" s="84"/>
      <c r="I314" s="85"/>
      <c r="J314" s="420"/>
      <c r="K314" s="85"/>
      <c r="L314" s="85"/>
      <c r="M314" s="85"/>
      <c r="N314" s="420"/>
      <c r="O314" s="85"/>
      <c r="P314" s="256"/>
    </row>
    <row r="315" spans="1:16" ht="12.75" customHeight="1">
      <c r="A315" s="3" t="s">
        <v>189</v>
      </c>
      <c r="B315" s="2"/>
      <c r="C315" s="2"/>
      <c r="D315" s="2"/>
      <c r="E315" s="194"/>
      <c r="F315" s="192">
        <f>F36</f>
        <v>120.54536107876716</v>
      </c>
      <c r="G315" s="278">
        <f>G36</f>
        <v>97.550458387158471</v>
      </c>
      <c r="H315" s="62">
        <f>H36</f>
        <v>93.801349233555555</v>
      </c>
      <c r="I315" s="63">
        <f>I36</f>
        <v>68.266979041819326</v>
      </c>
      <c r="J315" s="421"/>
      <c r="K315" s="63"/>
      <c r="L315" s="63">
        <f>L36</f>
        <v>63.266266132078819</v>
      </c>
      <c r="M315" s="63">
        <f>N315</f>
        <v>93.801349233555555</v>
      </c>
      <c r="N315" s="421">
        <f>H315</f>
        <v>93.801349233555555</v>
      </c>
      <c r="O315" s="63"/>
      <c r="P315" s="206">
        <f ca="1">P36</f>
        <v>40.020824520973086</v>
      </c>
    </row>
    <row r="316" spans="1:16" ht="12.75" customHeight="1">
      <c r="A316" s="3" t="s">
        <v>190</v>
      </c>
      <c r="B316" s="612" t="s">
        <v>191</v>
      </c>
      <c r="C316" s="45">
        <v>0</v>
      </c>
      <c r="E316" s="262"/>
      <c r="F316" s="313">
        <f>$C$316</f>
        <v>0</v>
      </c>
      <c r="G316" s="312">
        <f>$C$316</f>
        <v>0</v>
      </c>
      <c r="H316" s="86">
        <f>$C$316</f>
        <v>0</v>
      </c>
      <c r="I316" s="87">
        <f>$C$316</f>
        <v>0</v>
      </c>
      <c r="J316" s="422"/>
      <c r="K316" s="87"/>
      <c r="L316" s="87">
        <f>$C$316</f>
        <v>0</v>
      </c>
      <c r="M316" s="87">
        <f>N316</f>
        <v>0</v>
      </c>
      <c r="N316" s="422">
        <f>H316</f>
        <v>0</v>
      </c>
      <c r="O316" s="87"/>
      <c r="P316" s="257">
        <f t="shared" ref="P316" si="184">$C$316</f>
        <v>0</v>
      </c>
    </row>
    <row r="317" spans="1:16" ht="12.75" customHeight="1">
      <c r="A317" s="51" t="s">
        <v>192</v>
      </c>
      <c r="B317" s="48"/>
      <c r="C317" s="2"/>
      <c r="D317" s="2"/>
      <c r="E317" s="648"/>
      <c r="F317" s="650">
        <f>F316*F315/12</f>
        <v>0</v>
      </c>
      <c r="G317" s="651">
        <f>G316*G315/12</f>
        <v>0</v>
      </c>
      <c r="H317" s="66">
        <f>H316*H315/12</f>
        <v>0</v>
      </c>
      <c r="I317" s="627">
        <f>I316*I315/12</f>
        <v>0</v>
      </c>
      <c r="J317" s="419"/>
      <c r="K317" s="627"/>
      <c r="L317" s="627">
        <f>L316*L315/12</f>
        <v>0</v>
      </c>
      <c r="M317" s="627">
        <f>M316*M315/12</f>
        <v>0</v>
      </c>
      <c r="N317" s="419"/>
      <c r="O317" s="627"/>
      <c r="P317" s="252">
        <f>SUM(H317:N317)</f>
        <v>0</v>
      </c>
    </row>
    <row r="318" spans="1:16" s="2" customFormat="1" ht="12.75" customHeight="1">
      <c r="A318" s="24"/>
      <c r="B318" s="24"/>
      <c r="C318" s="1"/>
      <c r="D318" s="1"/>
      <c r="E318" s="225"/>
      <c r="F318" s="225"/>
      <c r="G318" s="241"/>
      <c r="H318" s="73"/>
      <c r="I318" s="74"/>
      <c r="J318" s="423"/>
      <c r="K318" s="74"/>
      <c r="L318" s="74"/>
      <c r="M318" s="74"/>
      <c r="N318" s="423"/>
      <c r="O318" s="74"/>
      <c r="P318" s="249"/>
    </row>
    <row r="319" spans="1:16" ht="12.75" customHeight="1">
      <c r="A319" s="32" t="s">
        <v>193</v>
      </c>
      <c r="B319" s="16"/>
      <c r="C319" s="16"/>
      <c r="D319" s="16"/>
      <c r="E319" s="194"/>
      <c r="F319" s="194"/>
      <c r="G319" s="228"/>
      <c r="H319" s="62"/>
      <c r="I319" s="63"/>
      <c r="J319" s="421"/>
      <c r="K319" s="63"/>
      <c r="L319" s="63"/>
      <c r="M319" s="63"/>
      <c r="N319" s="421"/>
      <c r="O319" s="63"/>
      <c r="P319" s="206"/>
    </row>
    <row r="320" spans="1:16" s="16" customFormat="1" ht="12.75" customHeight="1">
      <c r="A320" s="16" t="s">
        <v>194</v>
      </c>
      <c r="B320" s="38"/>
      <c r="C320" s="49"/>
      <c r="D320" s="49"/>
      <c r="E320" s="194"/>
      <c r="F320" s="194"/>
      <c r="G320" s="228"/>
      <c r="H320" s="62"/>
      <c r="I320" s="63"/>
      <c r="J320" s="421">
        <f>I312</f>
        <v>0</v>
      </c>
      <c r="K320" s="63">
        <f t="shared" ref="K320:K321" si="185">SUM(I320:J320)</f>
        <v>0</v>
      </c>
      <c r="L320" s="63">
        <f>K320</f>
        <v>0</v>
      </c>
      <c r="M320" s="63">
        <f>L320</f>
        <v>0</v>
      </c>
      <c r="N320" s="451">
        <f>'Recap-Fresh Start Schedule'!I45</f>
        <v>0</v>
      </c>
      <c r="O320" s="63">
        <f t="shared" ref="O320:O321" si="186">SUM(M320:N320)</f>
        <v>0</v>
      </c>
      <c r="P320" s="206">
        <f>O320</f>
        <v>0</v>
      </c>
    </row>
    <row r="321" spans="1:18" s="16" customFormat="1" ht="12.75" customHeight="1">
      <c r="A321" s="41" t="s">
        <v>195</v>
      </c>
      <c r="B321" s="38"/>
      <c r="C321" s="49"/>
      <c r="D321" s="49"/>
      <c r="E321" s="227"/>
      <c r="F321" s="227"/>
      <c r="G321" s="273"/>
      <c r="H321" s="62"/>
      <c r="I321" s="63"/>
      <c r="J321" s="421">
        <f>SUM(I146:J149)</f>
        <v>300</v>
      </c>
      <c r="K321" s="63">
        <f t="shared" si="185"/>
        <v>300</v>
      </c>
      <c r="L321" s="63">
        <f>K321</f>
        <v>300</v>
      </c>
      <c r="M321" s="63">
        <f>L321</f>
        <v>300</v>
      </c>
      <c r="N321" s="451">
        <f>SUM('Recap-Fresh Start Schedule'!I43:I44)</f>
        <v>-300</v>
      </c>
      <c r="O321" s="63">
        <f t="shared" si="186"/>
        <v>0</v>
      </c>
      <c r="P321" s="206">
        <f>O321</f>
        <v>0</v>
      </c>
      <c r="R321" s="1"/>
    </row>
    <row r="322" spans="1:18" s="16" customFormat="1" ht="12.75" customHeight="1">
      <c r="A322" s="50" t="s">
        <v>196</v>
      </c>
      <c r="B322" s="50"/>
      <c r="C322" s="14"/>
      <c r="D322" s="14"/>
      <c r="E322" s="619">
        <f>SUM(E320:E321)</f>
        <v>0</v>
      </c>
      <c r="F322" s="619">
        <f>SUM(F320:F321)</f>
        <v>0</v>
      </c>
      <c r="G322" s="626">
        <f>SUM(G320:G321)</f>
        <v>0</v>
      </c>
      <c r="H322" s="66">
        <f>SUM(H320:H321)</f>
        <v>0</v>
      </c>
      <c r="I322" s="627">
        <f>SUM(I320:I321)</f>
        <v>0</v>
      </c>
      <c r="J322" s="419"/>
      <c r="K322" s="627">
        <f t="shared" ref="K322:P322" si="187">SUM(K320:K321)</f>
        <v>300</v>
      </c>
      <c r="L322" s="627">
        <f t="shared" si="187"/>
        <v>300</v>
      </c>
      <c r="M322" s="627">
        <f t="shared" si="187"/>
        <v>300</v>
      </c>
      <c r="N322" s="419">
        <f t="shared" si="187"/>
        <v>-300</v>
      </c>
      <c r="O322" s="627">
        <f t="shared" ref="O322" si="188">SUM(O320:O321)</f>
        <v>0</v>
      </c>
      <c r="P322" s="252">
        <f t="shared" si="187"/>
        <v>0</v>
      </c>
      <c r="R322" s="1"/>
    </row>
    <row r="323" spans="1:18" s="14" customFormat="1" ht="12.75" customHeight="1">
      <c r="A323" s="3"/>
      <c r="B323" s="3"/>
      <c r="C323" s="3"/>
      <c r="D323" s="3"/>
      <c r="E323" s="1"/>
      <c r="F323" s="1"/>
      <c r="G323" s="1"/>
      <c r="H323" s="3"/>
      <c r="I323" s="3"/>
      <c r="J323" s="3"/>
      <c r="K323" s="3"/>
      <c r="L323" s="3"/>
      <c r="M323" s="3"/>
      <c r="N323" s="3"/>
      <c r="O323" s="3"/>
      <c r="P323" s="3"/>
      <c r="R323" s="1"/>
    </row>
    <row r="324" spans="1:18" ht="12.75" customHeight="1">
      <c r="A324" s="30"/>
      <c r="B324" s="2"/>
      <c r="C324" s="2"/>
      <c r="D324" s="2"/>
      <c r="E324" s="269"/>
      <c r="F324" s="269"/>
      <c r="G324" s="269"/>
      <c r="H324" s="65"/>
      <c r="I324" s="65"/>
      <c r="J324" s="65"/>
      <c r="K324" s="65"/>
      <c r="L324" s="65"/>
      <c r="M324" s="65"/>
      <c r="N324" s="65"/>
      <c r="O324" s="65"/>
      <c r="P324" s="65"/>
    </row>
    <row r="325" spans="1:18" s="2" customFormat="1" ht="12.75" customHeight="1">
      <c r="A325" s="93" t="s">
        <v>197</v>
      </c>
      <c r="B325" s="93"/>
      <c r="C325" s="93"/>
      <c r="D325" s="93"/>
      <c r="E325" s="93"/>
      <c r="F325" s="93"/>
      <c r="G325" s="93"/>
      <c r="H325" s="93"/>
      <c r="I325" s="93"/>
      <c r="J325" s="93"/>
      <c r="K325" s="93"/>
      <c r="L325" s="93"/>
      <c r="M325" s="93"/>
      <c r="N325" s="93"/>
      <c r="O325" s="93"/>
      <c r="P325" s="93"/>
    </row>
    <row r="326" spans="1:18" ht="12.75" customHeight="1" thickBot="1"/>
    <row r="327" spans="1:18" ht="12.75" customHeight="1">
      <c r="A327" s="94"/>
      <c r="E327" s="604">
        <f>E$8</f>
        <v>43465</v>
      </c>
      <c r="F327" s="604">
        <f t="shared" ref="F327:P327" si="189">F$8</f>
        <v>43830</v>
      </c>
      <c r="G327" s="605">
        <f t="shared" si="189"/>
        <v>44196</v>
      </c>
      <c r="H327" s="606">
        <f t="shared" si="189"/>
        <v>44286</v>
      </c>
      <c r="I327" s="607">
        <f t="shared" si="189"/>
        <v>44377</v>
      </c>
      <c r="J327" s="608" t="str">
        <f t="shared" si="189"/>
        <v>FILING</v>
      </c>
      <c r="K327" s="609">
        <f t="shared" si="189"/>
        <v>44377</v>
      </c>
      <c r="L327" s="607">
        <f t="shared" si="189"/>
        <v>44469</v>
      </c>
      <c r="M327" s="607">
        <f>M$8</f>
        <v>44561</v>
      </c>
      <c r="N327" s="610" t="str">
        <f>N$8</f>
        <v>Adjustments</v>
      </c>
      <c r="O327" s="609">
        <f t="shared" si="189"/>
        <v>44561</v>
      </c>
      <c r="P327" s="611">
        <f t="shared" si="189"/>
        <v>44561</v>
      </c>
    </row>
    <row r="328" spans="1:18" ht="12.75" customHeight="1">
      <c r="A328" s="32" t="s">
        <v>198</v>
      </c>
      <c r="E328" s="266"/>
      <c r="F328" s="266"/>
      <c r="G328" s="275"/>
      <c r="H328" s="88"/>
      <c r="I328" s="89"/>
      <c r="J328" s="402"/>
      <c r="K328" s="89"/>
      <c r="L328" s="89"/>
      <c r="M328" s="89"/>
      <c r="N328" s="402"/>
      <c r="O328" s="89"/>
      <c r="P328" s="315"/>
    </row>
    <row r="329" spans="1:18">
      <c r="A329" s="104" t="s">
        <v>199</v>
      </c>
      <c r="E329" s="266"/>
      <c r="F329" s="266"/>
      <c r="G329" s="275"/>
      <c r="H329" s="88"/>
      <c r="I329" s="89"/>
      <c r="J329" s="402"/>
      <c r="K329" s="89"/>
      <c r="L329" s="89"/>
      <c r="M329" s="89"/>
      <c r="N329" s="402"/>
      <c r="O329" s="89"/>
      <c r="P329" s="315"/>
    </row>
    <row r="330" spans="1:18">
      <c r="A330" s="1" t="s">
        <v>200</v>
      </c>
      <c r="E330" s="276"/>
      <c r="F330" s="276">
        <v>0.05</v>
      </c>
      <c r="G330" s="277">
        <v>0.05</v>
      </c>
      <c r="H330" s="314">
        <v>0.05</v>
      </c>
      <c r="I330" s="109">
        <v>0.05</v>
      </c>
      <c r="J330" s="415">
        <f>I330</f>
        <v>0.05</v>
      </c>
      <c r="K330" s="109">
        <v>0.05</v>
      </c>
      <c r="L330" s="109">
        <v>0.05</v>
      </c>
      <c r="M330" s="109">
        <v>0.05</v>
      </c>
      <c r="N330" s="403">
        <f>M330</f>
        <v>0.05</v>
      </c>
      <c r="O330" s="109">
        <v>0.05</v>
      </c>
      <c r="P330" s="316"/>
    </row>
    <row r="331" spans="1:18">
      <c r="A331" s="1" t="s">
        <v>201</v>
      </c>
      <c r="E331" s="276"/>
      <c r="F331" s="276">
        <v>0.3</v>
      </c>
      <c r="G331" s="277">
        <v>0.3</v>
      </c>
      <c r="H331" s="314">
        <v>0.3</v>
      </c>
      <c r="I331" s="109">
        <v>0.3</v>
      </c>
      <c r="J331" s="415">
        <f t="shared" ref="J331" si="190">I331</f>
        <v>0.3</v>
      </c>
      <c r="K331" s="109">
        <v>0.3</v>
      </c>
      <c r="L331" s="109">
        <v>0.3</v>
      </c>
      <c r="M331" s="109">
        <v>0.3</v>
      </c>
      <c r="N331" s="403">
        <f t="shared" ref="N331:N332" si="191">M331</f>
        <v>0.3</v>
      </c>
      <c r="O331" s="109">
        <v>0.3</v>
      </c>
      <c r="P331" s="316"/>
    </row>
    <row r="332" spans="1:18">
      <c r="A332" s="29" t="s">
        <v>202</v>
      </c>
      <c r="E332" s="652"/>
      <c r="F332" s="652">
        <f>F330+F331*(1-F330)</f>
        <v>0.33499999999999996</v>
      </c>
      <c r="G332" s="653">
        <f t="shared" ref="G332:J332" si="192">G330+G331*(1-G330)</f>
        <v>0.33499999999999996</v>
      </c>
      <c r="H332" s="105">
        <f t="shared" si="192"/>
        <v>0.33499999999999996</v>
      </c>
      <c r="I332" s="654">
        <f t="shared" si="192"/>
        <v>0.33499999999999996</v>
      </c>
      <c r="J332" s="404">
        <f t="shared" si="192"/>
        <v>0.33499999999999996</v>
      </c>
      <c r="K332" s="654">
        <f t="shared" ref="K332:M332" si="193">K330+K331*(1-K330)</f>
        <v>0.33499999999999996</v>
      </c>
      <c r="L332" s="654">
        <f t="shared" si="193"/>
        <v>0.33499999999999996</v>
      </c>
      <c r="M332" s="654">
        <f t="shared" si="193"/>
        <v>0.33499999999999996</v>
      </c>
      <c r="N332" s="404">
        <f t="shared" si="191"/>
        <v>0.33499999999999996</v>
      </c>
      <c r="O332" s="654">
        <f t="shared" ref="O332" si="194">O330+O331*(1-O330)</f>
        <v>0.33499999999999996</v>
      </c>
      <c r="P332" s="317"/>
    </row>
    <row r="333" spans="1:18">
      <c r="E333" s="266"/>
      <c r="F333" s="266"/>
      <c r="G333" s="275"/>
      <c r="H333" s="88"/>
      <c r="I333" s="89"/>
      <c r="J333" s="402"/>
      <c r="K333" s="89"/>
      <c r="L333" s="89"/>
      <c r="M333" s="89"/>
      <c r="N333" s="402"/>
      <c r="O333" s="89"/>
      <c r="P333" s="315"/>
    </row>
    <row r="334" spans="1:18">
      <c r="A334" s="1" t="s">
        <v>203</v>
      </c>
      <c r="E334" s="266"/>
      <c r="F334" s="266">
        <f>F23</f>
        <v>-5.1094660469696507</v>
      </c>
      <c r="G334" s="275">
        <f>G23</f>
        <v>-10.344331896969734</v>
      </c>
      <c r="H334" s="111">
        <f>H23</f>
        <v>-2.6140430375757528</v>
      </c>
      <c r="I334" s="25">
        <f>I23</f>
        <v>-41.69633266202019</v>
      </c>
      <c r="J334" s="402">
        <f>J23</f>
        <v>-2.916666666666667</v>
      </c>
      <c r="K334" s="25">
        <f>SUM(I334:J334)</f>
        <v>-44.612999328686854</v>
      </c>
      <c r="L334" s="25">
        <f>L23</f>
        <v>-1.4514183781313115</v>
      </c>
      <c r="M334" s="25">
        <f>M23</f>
        <v>-1.4543253968254</v>
      </c>
      <c r="N334" s="402">
        <f ca="1">N23</f>
        <v>-159.25785575244089</v>
      </c>
      <c r="O334" s="25">
        <f ca="1">SUM(M334:N334)</f>
        <v>-160.71218114926629</v>
      </c>
      <c r="P334" s="318"/>
    </row>
    <row r="335" spans="1:18">
      <c r="A335" s="4" t="s">
        <v>204</v>
      </c>
      <c r="B335" s="4"/>
      <c r="C335" s="4"/>
      <c r="D335" s="4"/>
      <c r="E335" s="267"/>
      <c r="F335" s="265">
        <v>0</v>
      </c>
      <c r="G335" s="347">
        <v>0</v>
      </c>
      <c r="H335" s="112">
        <v>0</v>
      </c>
      <c r="I335" s="27">
        <v>0</v>
      </c>
      <c r="J335" s="405">
        <v>0</v>
      </c>
      <c r="K335" s="348">
        <f>SUM(I335:J335)</f>
        <v>0</v>
      </c>
      <c r="L335" s="27">
        <v>0</v>
      </c>
      <c r="M335" s="27">
        <v>0</v>
      </c>
      <c r="N335" s="408">
        <f ca="1">-'Recap-Fresh Start Schedule'!K17</f>
        <v>190.98044032237692</v>
      </c>
      <c r="O335" s="348">
        <f ca="1">SUM(M335:N335)</f>
        <v>190.98044032237692</v>
      </c>
      <c r="P335" s="319"/>
    </row>
    <row r="336" spans="1:18" s="4" customFormat="1">
      <c r="A336" s="29" t="s">
        <v>205</v>
      </c>
      <c r="B336" s="1"/>
      <c r="C336" s="1"/>
      <c r="D336" s="1"/>
      <c r="E336" s="655"/>
      <c r="F336" s="656">
        <f>SUM(F334:F335)</f>
        <v>-5.1094660469696507</v>
      </c>
      <c r="G336" s="657">
        <f t="shared" ref="G336:N336" si="195">SUM(G334:G335)</f>
        <v>-10.344331896969734</v>
      </c>
      <c r="H336" s="345">
        <f t="shared" si="195"/>
        <v>-2.6140430375757528</v>
      </c>
      <c r="I336" s="658">
        <f t="shared" si="195"/>
        <v>-41.69633266202019</v>
      </c>
      <c r="J336" s="406">
        <f t="shared" si="195"/>
        <v>-2.916666666666667</v>
      </c>
      <c r="K336" s="658">
        <f t="shared" si="195"/>
        <v>-44.612999328686854</v>
      </c>
      <c r="L336" s="658">
        <f t="shared" si="195"/>
        <v>-1.4514183781313115</v>
      </c>
      <c r="M336" s="658">
        <f t="shared" si="195"/>
        <v>-1.4543253968254</v>
      </c>
      <c r="N336" s="406">
        <f t="shared" ca="1" si="195"/>
        <v>31.722584569936032</v>
      </c>
      <c r="O336" s="658">
        <f t="shared" ref="O336" ca="1" si="196">SUM(O334:O335)</f>
        <v>30.268259173110636</v>
      </c>
      <c r="P336" s="346"/>
    </row>
    <row r="337" spans="1:16">
      <c r="E337" s="266"/>
      <c r="F337" s="266"/>
      <c r="G337" s="275"/>
      <c r="H337" s="111"/>
      <c r="I337" s="25"/>
      <c r="J337" s="402"/>
      <c r="K337" s="25"/>
      <c r="L337" s="25"/>
      <c r="M337" s="25"/>
      <c r="N337" s="402"/>
      <c r="O337" s="25"/>
      <c r="P337" s="318"/>
    </row>
    <row r="338" spans="1:16">
      <c r="A338" s="1" t="s">
        <v>62</v>
      </c>
      <c r="E338" s="266"/>
      <c r="F338" s="264">
        <f>F$332*F336</f>
        <v>-1.7116711257348327</v>
      </c>
      <c r="G338" s="274">
        <f>G$332*G336</f>
        <v>-3.4653511854848609</v>
      </c>
      <c r="H338" s="113">
        <f>H$332*H336</f>
        <v>-0.87570441758787709</v>
      </c>
      <c r="I338" s="26">
        <f>I$332*I336</f>
        <v>-13.968271441776762</v>
      </c>
      <c r="J338" s="408">
        <f>J$332*J336</f>
        <v>-0.9770833333333333</v>
      </c>
      <c r="K338" s="26">
        <f>SUM(I338:J338)</f>
        <v>-14.945354775110095</v>
      </c>
      <c r="L338" s="26">
        <f>L$332*L336</f>
        <v>-0.4862251566739893</v>
      </c>
      <c r="M338" s="26">
        <f>M$332*M336</f>
        <v>-0.48719900793650894</v>
      </c>
      <c r="N338" s="407">
        <f ca="1">N$332*N336</f>
        <v>10.62706583092857</v>
      </c>
      <c r="O338" s="26">
        <f ca="1">SUM(M338:N338)</f>
        <v>10.139866822992062</v>
      </c>
      <c r="P338" s="319"/>
    </row>
    <row r="339" spans="1:16">
      <c r="A339" s="29" t="s">
        <v>206</v>
      </c>
      <c r="E339" s="655"/>
      <c r="F339" s="656">
        <f t="shared" ref="F339:O339" si="197">F334-F338</f>
        <v>-3.397794921234818</v>
      </c>
      <c r="G339" s="657">
        <f t="shared" si="197"/>
        <v>-6.8789807114848731</v>
      </c>
      <c r="H339" s="345">
        <f t="shared" si="197"/>
        <v>-1.7383386199878759</v>
      </c>
      <c r="I339" s="658">
        <f t="shared" si="197"/>
        <v>-27.728061220243426</v>
      </c>
      <c r="J339" s="406">
        <f t="shared" si="197"/>
        <v>-1.9395833333333337</v>
      </c>
      <c r="K339" s="658">
        <f t="shared" si="197"/>
        <v>-29.667644553576757</v>
      </c>
      <c r="L339" s="658">
        <f t="shared" si="197"/>
        <v>-0.96519322145732223</v>
      </c>
      <c r="M339" s="658">
        <f t="shared" si="197"/>
        <v>-0.96712638888889102</v>
      </c>
      <c r="N339" s="406">
        <f t="shared" ca="1" si="197"/>
        <v>-169.88492158336945</v>
      </c>
      <c r="O339" s="658">
        <f t="shared" ca="1" si="197"/>
        <v>-170.85204797225833</v>
      </c>
      <c r="P339" s="346"/>
    </row>
    <row r="340" spans="1:16">
      <c r="E340" s="266"/>
      <c r="F340" s="266"/>
      <c r="G340" s="275"/>
      <c r="H340" s="111"/>
      <c r="I340" s="25"/>
      <c r="J340" s="402"/>
      <c r="K340" s="25"/>
      <c r="L340" s="25"/>
      <c r="M340" s="25"/>
      <c r="N340" s="402"/>
      <c r="O340" s="25"/>
      <c r="P340" s="318"/>
    </row>
    <row r="341" spans="1:16">
      <c r="A341" s="32" t="s">
        <v>207</v>
      </c>
      <c r="E341" s="264"/>
      <c r="F341" s="264"/>
      <c r="G341" s="274"/>
      <c r="H341" s="113"/>
      <c r="I341" s="26"/>
      <c r="J341" s="408"/>
      <c r="K341" s="26"/>
      <c r="L341" s="26"/>
      <c r="M341" s="26"/>
      <c r="N341" s="408"/>
      <c r="O341" s="26"/>
      <c r="P341" s="320"/>
    </row>
    <row r="342" spans="1:16">
      <c r="A342" s="1" t="s">
        <v>208</v>
      </c>
      <c r="E342" s="264"/>
      <c r="F342" s="264">
        <f t="shared" ref="F342:M342" si="198">F296</f>
        <v>0</v>
      </c>
      <c r="G342" s="274">
        <f t="shared" si="198"/>
        <v>0</v>
      </c>
      <c r="H342" s="113">
        <f t="shared" si="198"/>
        <v>0</v>
      </c>
      <c r="I342" s="26">
        <f t="shared" si="198"/>
        <v>0</v>
      </c>
      <c r="J342" s="408">
        <f t="shared" si="198"/>
        <v>0</v>
      </c>
      <c r="K342" s="26">
        <f t="shared" si="198"/>
        <v>0</v>
      </c>
      <c r="L342" s="26">
        <f t="shared" si="198"/>
        <v>0</v>
      </c>
      <c r="M342" s="26">
        <f t="shared" si="198"/>
        <v>0</v>
      </c>
      <c r="N342" s="408"/>
      <c r="O342" s="26">
        <f t="shared" ref="O342" si="199">SUM(M342:N342)</f>
        <v>0</v>
      </c>
      <c r="P342" s="319"/>
    </row>
    <row r="343" spans="1:16">
      <c r="A343" s="1" t="s">
        <v>171</v>
      </c>
      <c r="E343" s="264"/>
      <c r="F343" s="265">
        <v>0</v>
      </c>
      <c r="G343" s="347">
        <v>0</v>
      </c>
      <c r="H343" s="112">
        <v>0</v>
      </c>
      <c r="I343" s="27">
        <v>0</v>
      </c>
      <c r="J343" s="405">
        <v>0</v>
      </c>
      <c r="K343" s="348">
        <f>SUM(I343:J343)</f>
        <v>0</v>
      </c>
      <c r="L343" s="27">
        <v>0</v>
      </c>
      <c r="M343" s="27">
        <v>0</v>
      </c>
      <c r="N343" s="405">
        <v>0</v>
      </c>
      <c r="O343" s="348">
        <f>SUM(M343:N343)</f>
        <v>0</v>
      </c>
      <c r="P343" s="319"/>
    </row>
    <row r="344" spans="1:16">
      <c r="A344" s="107" t="s">
        <v>209</v>
      </c>
      <c r="B344" s="49"/>
      <c r="C344" s="49"/>
      <c r="D344" s="49"/>
      <c r="E344" s="659">
        <v>0</v>
      </c>
      <c r="F344" s="656">
        <f t="shared" ref="F344:O344" si="200">SUM(F342:F343)</f>
        <v>0</v>
      </c>
      <c r="G344" s="657">
        <f t="shared" si="200"/>
        <v>0</v>
      </c>
      <c r="H344" s="345">
        <f t="shared" si="200"/>
        <v>0</v>
      </c>
      <c r="I344" s="658">
        <f t="shared" si="200"/>
        <v>0</v>
      </c>
      <c r="J344" s="406">
        <f t="shared" si="200"/>
        <v>0</v>
      </c>
      <c r="K344" s="658">
        <f t="shared" si="200"/>
        <v>0</v>
      </c>
      <c r="L344" s="658">
        <f t="shared" si="200"/>
        <v>0</v>
      </c>
      <c r="M344" s="658">
        <f t="shared" si="200"/>
        <v>0</v>
      </c>
      <c r="N344" s="406">
        <f t="shared" si="200"/>
        <v>0</v>
      </c>
      <c r="O344" s="658">
        <f t="shared" si="200"/>
        <v>0</v>
      </c>
      <c r="P344" s="346"/>
    </row>
    <row r="345" spans="1:16">
      <c r="A345" s="362" t="s">
        <v>210</v>
      </c>
      <c r="B345" s="99"/>
      <c r="C345" s="99"/>
      <c r="D345" s="99"/>
      <c r="E345" s="363">
        <f>SUM($E344:E344)</f>
        <v>0</v>
      </c>
      <c r="F345" s="363">
        <f>SUM($E344:F344)</f>
        <v>0</v>
      </c>
      <c r="G345" s="364">
        <f>SUM($E344:G344)</f>
        <v>0</v>
      </c>
      <c r="H345" s="365">
        <f>SUM($E344:H344)</f>
        <v>0</v>
      </c>
      <c r="I345" s="366">
        <f>SUM($E344:I344)</f>
        <v>0</v>
      </c>
      <c r="J345" s="409">
        <f>SUM($E344:J344)</f>
        <v>0</v>
      </c>
      <c r="K345" s="366">
        <f>SUM($E344:$H344,$K344:K344)</f>
        <v>0</v>
      </c>
      <c r="L345" s="366">
        <f>SUM($E344:$H344,$K344:L344)</f>
        <v>0</v>
      </c>
      <c r="M345" s="366">
        <f>SUM($E344:$H344,$K344:M344)</f>
        <v>0</v>
      </c>
      <c r="N345" s="409">
        <f>SUM($F344:$H344,$K344:N344)</f>
        <v>0</v>
      </c>
      <c r="O345" s="366">
        <f>SUM($E344:$H344,$K344:N344)</f>
        <v>0</v>
      </c>
      <c r="P345" s="367"/>
    </row>
    <row r="346" spans="1:16" s="49" customFormat="1">
      <c r="A346" s="1"/>
      <c r="B346" s="1"/>
      <c r="C346" s="1"/>
      <c r="D346" s="1"/>
      <c r="E346" s="266"/>
      <c r="F346" s="266"/>
      <c r="G346" s="275"/>
      <c r="H346" s="111"/>
      <c r="I346" s="25"/>
      <c r="J346" s="402"/>
      <c r="K346" s="25"/>
      <c r="L346" s="25"/>
      <c r="M346" s="25"/>
      <c r="N346" s="402"/>
      <c r="O346" s="25"/>
      <c r="P346" s="318"/>
    </row>
    <row r="347" spans="1:16" s="99" customFormat="1">
      <c r="A347" s="1" t="s">
        <v>211</v>
      </c>
      <c r="B347" s="1"/>
      <c r="C347" s="1"/>
      <c r="D347" s="1"/>
      <c r="E347" s="264"/>
      <c r="F347" s="264">
        <f t="shared" ref="F347:O347" si="201">F336+F344</f>
        <v>-5.1094660469696507</v>
      </c>
      <c r="G347" s="264">
        <f t="shared" si="201"/>
        <v>-10.344331896969734</v>
      </c>
      <c r="H347" s="113">
        <f t="shared" si="201"/>
        <v>-2.6140430375757528</v>
      </c>
      <c r="I347" s="26">
        <f t="shared" si="201"/>
        <v>-41.69633266202019</v>
      </c>
      <c r="J347" s="408">
        <f t="shared" si="201"/>
        <v>-2.916666666666667</v>
      </c>
      <c r="K347" s="26">
        <f t="shared" si="201"/>
        <v>-44.612999328686854</v>
      </c>
      <c r="L347" s="26">
        <f t="shared" si="201"/>
        <v>-1.4514183781313115</v>
      </c>
      <c r="M347" s="26">
        <f t="shared" si="201"/>
        <v>-1.4543253968254</v>
      </c>
      <c r="N347" s="408">
        <f t="shared" ca="1" si="201"/>
        <v>31.722584569936032</v>
      </c>
      <c r="O347" s="26">
        <f t="shared" ca="1" si="201"/>
        <v>30.268259173110636</v>
      </c>
      <c r="P347" s="320"/>
    </row>
    <row r="348" spans="1:16">
      <c r="A348" s="1" t="s">
        <v>212</v>
      </c>
      <c r="E348" s="264"/>
      <c r="F348" s="264">
        <f>IF(F347&lt;0,-F347,-MIN(F347,F355))</f>
        <v>5.1094660469696507</v>
      </c>
      <c r="G348" s="274">
        <f t="shared" ref="G348:J348" si="202">IF(G347&lt;0,-G347,-MIN(G347,G355))</f>
        <v>10.344331896969734</v>
      </c>
      <c r="H348" s="113">
        <f t="shared" si="202"/>
        <v>2.6140430375757528</v>
      </c>
      <c r="I348" s="26">
        <f t="shared" si="202"/>
        <v>41.69633266202019</v>
      </c>
      <c r="J348" s="26">
        <f t="shared" si="202"/>
        <v>2.916666666666667</v>
      </c>
      <c r="K348" s="26">
        <f>IF(K347&lt;0,-K347,-MIN(K347+K349,K355))</f>
        <v>44.612999328686854</v>
      </c>
      <c r="L348" s="26">
        <f>IF(L347&lt;0,-L347,-MIN(L347+L349,L355))</f>
        <v>1.4514183781313115</v>
      </c>
      <c r="M348" s="26">
        <f>IF(M347&lt;0,-M347,-MIN(M347+M349,M355))</f>
        <v>1.4543253968254</v>
      </c>
      <c r="N348" s="408">
        <f>-M359</f>
        <v>-65.586584085158705</v>
      </c>
      <c r="O348" s="26">
        <f>M348+N348</f>
        <v>-64.132258688333309</v>
      </c>
      <c r="P348" s="320"/>
    </row>
    <row r="349" spans="1:16">
      <c r="A349" s="1" t="s">
        <v>213</v>
      </c>
      <c r="E349" s="264"/>
      <c r="F349" s="265">
        <v>0</v>
      </c>
      <c r="G349" s="347">
        <v>0</v>
      </c>
      <c r="H349" s="112">
        <v>0</v>
      </c>
      <c r="I349" s="27">
        <v>0</v>
      </c>
      <c r="J349" s="405"/>
      <c r="K349" s="27">
        <f>IF(K347&lt;0,0,-MIN(K347,K362,K367))</f>
        <v>0</v>
      </c>
      <c r="L349" s="26">
        <f>IF(L347&lt;0,0,-MIN(L347,L362,L367))</f>
        <v>0</v>
      </c>
      <c r="M349" s="26">
        <f>IF(M347&lt;0,0,-MIN(M347,M362,M367))</f>
        <v>0</v>
      </c>
      <c r="N349" s="408">
        <f ca="1">IF(N347+N348&gt;0,-MIN(N347+N348,M294),0)</f>
        <v>0</v>
      </c>
      <c r="O349" s="27">
        <f ca="1">M349+N349</f>
        <v>0</v>
      </c>
      <c r="P349" s="320"/>
    </row>
    <row r="350" spans="1:16">
      <c r="A350" s="50" t="s">
        <v>214</v>
      </c>
      <c r="B350" s="14"/>
      <c r="C350" s="14"/>
      <c r="D350" s="14"/>
      <c r="E350" s="660"/>
      <c r="F350" s="660">
        <f t="shared" ref="F350:N350" si="203">SUM(F347:F349)</f>
        <v>0</v>
      </c>
      <c r="G350" s="661">
        <f t="shared" si="203"/>
        <v>0</v>
      </c>
      <c r="H350" s="360">
        <f t="shared" si="203"/>
        <v>0</v>
      </c>
      <c r="I350" s="662">
        <f t="shared" si="203"/>
        <v>0</v>
      </c>
      <c r="J350" s="410">
        <f t="shared" si="203"/>
        <v>0</v>
      </c>
      <c r="K350" s="662">
        <f t="shared" si="203"/>
        <v>0</v>
      </c>
      <c r="L350" s="662">
        <f t="shared" si="203"/>
        <v>0</v>
      </c>
      <c r="M350" s="662">
        <f t="shared" si="203"/>
        <v>0</v>
      </c>
      <c r="N350" s="410">
        <f t="shared" ca="1" si="203"/>
        <v>-33.863999515222673</v>
      </c>
      <c r="O350" s="662">
        <f t="shared" ref="O350" ca="1" si="204">SUM(O347:O349)</f>
        <v>-33.863999515222673</v>
      </c>
      <c r="P350" s="361"/>
    </row>
    <row r="351" spans="1:16">
      <c r="E351" s="266"/>
      <c r="F351" s="266"/>
      <c r="G351" s="275"/>
      <c r="H351" s="111"/>
      <c r="I351" s="25"/>
      <c r="J351" s="402"/>
      <c r="K351" s="25"/>
      <c r="L351" s="25"/>
      <c r="M351" s="25"/>
      <c r="N351" s="402"/>
      <c r="O351" s="25"/>
      <c r="P351" s="318"/>
    </row>
    <row r="352" spans="1:16" s="14" customFormat="1">
      <c r="A352" s="379" t="s">
        <v>215</v>
      </c>
      <c r="B352" s="380"/>
      <c r="C352" s="380"/>
      <c r="D352" s="380"/>
      <c r="E352" s="381"/>
      <c r="F352" s="381">
        <f t="shared" ref="F352:O352" si="205">F$332*F$350</f>
        <v>0</v>
      </c>
      <c r="G352" s="382">
        <f t="shared" si="205"/>
        <v>0</v>
      </c>
      <c r="H352" s="383">
        <f t="shared" si="205"/>
        <v>0</v>
      </c>
      <c r="I352" s="384">
        <f t="shared" si="205"/>
        <v>0</v>
      </c>
      <c r="J352" s="416">
        <f t="shared" si="205"/>
        <v>0</v>
      </c>
      <c r="K352" s="384">
        <f t="shared" si="205"/>
        <v>0</v>
      </c>
      <c r="L352" s="384">
        <f t="shared" si="205"/>
        <v>0</v>
      </c>
      <c r="M352" s="384">
        <f t="shared" si="205"/>
        <v>0</v>
      </c>
      <c r="N352" s="411">
        <f t="shared" ca="1" si="205"/>
        <v>-11.344439837599595</v>
      </c>
      <c r="O352" s="384">
        <f t="shared" ca="1" si="205"/>
        <v>-11.344439837599595</v>
      </c>
      <c r="P352" s="385"/>
    </row>
    <row r="353" spans="1:18">
      <c r="E353" s="266"/>
      <c r="F353" s="266"/>
      <c r="G353" s="275"/>
      <c r="H353" s="111"/>
      <c r="I353" s="25"/>
      <c r="J353" s="402"/>
      <c r="K353" s="25"/>
      <c r="L353" s="25"/>
      <c r="M353" s="25"/>
      <c r="N353" s="402"/>
      <c r="O353" s="25"/>
      <c r="P353" s="318"/>
    </row>
    <row r="354" spans="1:18" s="49" customFormat="1">
      <c r="A354" s="32" t="s">
        <v>216</v>
      </c>
      <c r="B354" s="1"/>
      <c r="C354" s="1"/>
      <c r="D354" s="1"/>
      <c r="E354" s="266"/>
      <c r="F354" s="266"/>
      <c r="G354" s="275"/>
      <c r="H354" s="111"/>
      <c r="I354" s="25"/>
      <c r="J354" s="402"/>
      <c r="K354" s="25"/>
      <c r="L354" s="25"/>
      <c r="M354" s="25"/>
      <c r="N354" s="402"/>
      <c r="O354" s="25"/>
      <c r="P354" s="318"/>
      <c r="R354" s="115"/>
    </row>
    <row r="355" spans="1:18">
      <c r="A355" s="1" t="s">
        <v>217</v>
      </c>
      <c r="E355" s="264"/>
      <c r="F355" s="264">
        <f>E359</f>
        <v>0</v>
      </c>
      <c r="G355" s="274">
        <f t="shared" ref="G355:I355" si="206">F359</f>
        <v>5.1094660469696507</v>
      </c>
      <c r="H355" s="113">
        <f t="shared" si="206"/>
        <v>15.453797943939385</v>
      </c>
      <c r="I355" s="26">
        <f t="shared" si="206"/>
        <v>18.06784098151514</v>
      </c>
      <c r="J355" s="408"/>
      <c r="K355" s="26">
        <f>I355</f>
        <v>18.06784098151514</v>
      </c>
      <c r="L355" s="26">
        <f t="shared" ref="L355:M355" si="207">K359</f>
        <v>62.680840310201994</v>
      </c>
      <c r="M355" s="26">
        <f t="shared" si="207"/>
        <v>64.132258688333309</v>
      </c>
      <c r="N355" s="408"/>
      <c r="O355" s="26">
        <f>M355</f>
        <v>64.132258688333309</v>
      </c>
      <c r="P355" s="320"/>
    </row>
    <row r="356" spans="1:18">
      <c r="A356" s="1" t="s">
        <v>218</v>
      </c>
      <c r="E356" s="194"/>
      <c r="F356" s="264">
        <f>SUMIF(F348,"&gt;0")</f>
        <v>5.1094660469696507</v>
      </c>
      <c r="G356" s="274">
        <f t="shared" ref="G356:J356" si="208">SUMIF(G348,"&gt;0")</f>
        <v>10.344331896969734</v>
      </c>
      <c r="H356" s="113">
        <f t="shared" si="208"/>
        <v>2.6140430375757528</v>
      </c>
      <c r="I356" s="26">
        <f t="shared" si="208"/>
        <v>41.69633266202019</v>
      </c>
      <c r="J356" s="26">
        <f t="shared" si="208"/>
        <v>2.916666666666667</v>
      </c>
      <c r="K356" s="348">
        <f>SUM(I356:J356)</f>
        <v>44.612999328686854</v>
      </c>
      <c r="L356" s="26">
        <f t="shared" ref="L356:M356" si="209">SUMIF(L348,"&gt;0")</f>
        <v>1.4514183781313115</v>
      </c>
      <c r="M356" s="26">
        <f t="shared" si="209"/>
        <v>1.4543253968254</v>
      </c>
      <c r="N356" s="408"/>
      <c r="O356" s="348">
        <f>SUM(M356:N356)</f>
        <v>1.4543253968254</v>
      </c>
      <c r="P356" s="320"/>
    </row>
    <row r="357" spans="1:18">
      <c r="A357" s="1" t="s">
        <v>219</v>
      </c>
      <c r="E357" s="264"/>
      <c r="F357" s="264">
        <f>SUMIF(F348,"&lt;0")</f>
        <v>0</v>
      </c>
      <c r="G357" s="274">
        <f t="shared" ref="G357:I357" si="210">SUMIF(G348,"&lt;0")</f>
        <v>0</v>
      </c>
      <c r="H357" s="113">
        <f t="shared" si="210"/>
        <v>0</v>
      </c>
      <c r="I357" s="26">
        <f t="shared" si="210"/>
        <v>0</v>
      </c>
      <c r="J357" s="408"/>
      <c r="K357" s="348">
        <f>SUM(I357:J357)</f>
        <v>0</v>
      </c>
      <c r="L357" s="26">
        <f t="shared" ref="L357:M357" si="211">SUMIF(L348,"&lt;0")</f>
        <v>0</v>
      </c>
      <c r="M357" s="26">
        <f t="shared" si="211"/>
        <v>0</v>
      </c>
      <c r="N357" s="408"/>
      <c r="O357" s="348">
        <f>SUM(M357:N357)</f>
        <v>0</v>
      </c>
      <c r="P357" s="320"/>
    </row>
    <row r="358" spans="1:18">
      <c r="A358" s="1" t="s">
        <v>220</v>
      </c>
      <c r="E358" s="266"/>
      <c r="F358" s="265">
        <v>0</v>
      </c>
      <c r="G358" s="347">
        <v>0</v>
      </c>
      <c r="H358" s="112">
        <v>0</v>
      </c>
      <c r="I358" s="27">
        <v>0</v>
      </c>
      <c r="J358" s="407"/>
      <c r="K358" s="348">
        <f>SUM(I358:J358)</f>
        <v>0</v>
      </c>
      <c r="L358" s="27">
        <v>0</v>
      </c>
      <c r="M358" s="27">
        <v>0</v>
      </c>
      <c r="N358" s="412"/>
      <c r="O358" s="348">
        <f>SUM(M358:N358)</f>
        <v>0</v>
      </c>
      <c r="P358" s="319"/>
    </row>
    <row r="359" spans="1:18">
      <c r="A359" s="50" t="s">
        <v>221</v>
      </c>
      <c r="B359" s="14"/>
      <c r="C359" s="14"/>
      <c r="D359" s="14"/>
      <c r="E359" s="659">
        <v>0</v>
      </c>
      <c r="F359" s="660">
        <f>SUM(F355:F358)</f>
        <v>5.1094660469696507</v>
      </c>
      <c r="G359" s="661">
        <f>SUM(G355:G358)</f>
        <v>15.453797943939385</v>
      </c>
      <c r="H359" s="360">
        <f>SUM(H355:H358)</f>
        <v>18.06784098151514</v>
      </c>
      <c r="I359" s="662">
        <f>SUM(I355:I358)</f>
        <v>59.764173643535329</v>
      </c>
      <c r="J359" s="410"/>
      <c r="K359" s="662">
        <f>SUM(K355:K358)</f>
        <v>62.680840310201994</v>
      </c>
      <c r="L359" s="662">
        <f>SUM(L355:L358)</f>
        <v>64.132258688333309</v>
      </c>
      <c r="M359" s="662">
        <f>SUM(M355:M358)</f>
        <v>65.586584085158705</v>
      </c>
      <c r="N359" s="413"/>
      <c r="O359" s="662">
        <f>SUM(O355:O358)</f>
        <v>65.586584085158705</v>
      </c>
      <c r="P359" s="361"/>
    </row>
    <row r="360" spans="1:18">
      <c r="E360" s="266"/>
      <c r="F360" s="266"/>
      <c r="G360" s="275"/>
      <c r="H360" s="111"/>
      <c r="I360" s="25"/>
      <c r="J360" s="402"/>
      <c r="K360" s="25"/>
      <c r="L360" s="25"/>
      <c r="M360" s="25"/>
      <c r="N360" s="402"/>
      <c r="O360" s="25"/>
      <c r="P360" s="318"/>
    </row>
    <row r="361" spans="1:18" s="2" customFormat="1">
      <c r="A361" s="32" t="s">
        <v>222</v>
      </c>
      <c r="B361" s="1"/>
      <c r="C361" s="1"/>
      <c r="D361" s="1"/>
      <c r="E361" s="266"/>
      <c r="F361" s="266"/>
      <c r="G361" s="275"/>
      <c r="H361" s="111"/>
      <c r="I361" s="25"/>
      <c r="J361" s="402"/>
      <c r="K361" s="25"/>
      <c r="L361" s="25"/>
      <c r="M361" s="25"/>
      <c r="N361" s="402"/>
      <c r="O361" s="25"/>
      <c r="P361" s="318"/>
    </row>
    <row r="362" spans="1:18">
      <c r="A362" s="1" t="s">
        <v>217</v>
      </c>
      <c r="E362" s="264"/>
      <c r="F362" s="264">
        <f>E365</f>
        <v>0</v>
      </c>
      <c r="G362" s="274">
        <f t="shared" ref="G362" si="212">F365</f>
        <v>0</v>
      </c>
      <c r="H362" s="113">
        <f t="shared" ref="H362" si="213">G365</f>
        <v>0</v>
      </c>
      <c r="I362" s="26">
        <f t="shared" ref="I362" si="214">H365</f>
        <v>0</v>
      </c>
      <c r="J362" s="408"/>
      <c r="K362" s="26">
        <f>I362</f>
        <v>0</v>
      </c>
      <c r="L362" s="26">
        <f t="shared" ref="L362" si="215">K365</f>
        <v>0</v>
      </c>
      <c r="M362" s="26">
        <f t="shared" ref="M362" si="216">L365</f>
        <v>0</v>
      </c>
      <c r="N362" s="408"/>
      <c r="O362" s="26">
        <f>M362</f>
        <v>0</v>
      </c>
      <c r="P362" s="320"/>
    </row>
    <row r="363" spans="1:18">
      <c r="A363" s="1" t="s">
        <v>218</v>
      </c>
      <c r="E363" s="194"/>
      <c r="F363" s="265">
        <v>0</v>
      </c>
      <c r="G363" s="347">
        <v>0</v>
      </c>
      <c r="H363" s="112">
        <v>0</v>
      </c>
      <c r="I363" s="27">
        <v>0</v>
      </c>
      <c r="J363" s="407">
        <f>-J358</f>
        <v>0</v>
      </c>
      <c r="K363" s="348">
        <f>SUM(I363:J363)</f>
        <v>0</v>
      </c>
      <c r="L363" s="27">
        <v>0</v>
      </c>
      <c r="M363" s="27">
        <v>0</v>
      </c>
      <c r="N363" s="412"/>
      <c r="O363" s="348">
        <f>SUM(M363:N363)</f>
        <v>0</v>
      </c>
      <c r="P363" s="319"/>
    </row>
    <row r="364" spans="1:18">
      <c r="A364" s="1" t="s">
        <v>219</v>
      </c>
      <c r="E364" s="264"/>
      <c r="F364" s="265">
        <v>0</v>
      </c>
      <c r="G364" s="347">
        <v>0</v>
      </c>
      <c r="H364" s="112">
        <v>0</v>
      </c>
      <c r="I364" s="27">
        <v>0</v>
      </c>
      <c r="J364" s="407"/>
      <c r="K364" s="348">
        <f>SUM(I364:J364)</f>
        <v>0</v>
      </c>
      <c r="L364" s="348">
        <f t="shared" ref="L364:M364" si="217">L349</f>
        <v>0</v>
      </c>
      <c r="M364" s="348">
        <f t="shared" si="217"/>
        <v>0</v>
      </c>
      <c r="N364" s="412">
        <f>IF('Recap-Fresh Start Schedule'!S48&gt;Financials!M365,-Financials!M365,-'Recap-Fresh Start Schedule'!S48)</f>
        <v>0</v>
      </c>
      <c r="O364" s="348">
        <f>SUM(M364:N364)</f>
        <v>0</v>
      </c>
      <c r="P364" s="319"/>
    </row>
    <row r="365" spans="1:18">
      <c r="A365" s="50" t="s">
        <v>223</v>
      </c>
      <c r="B365" s="14"/>
      <c r="C365" s="14"/>
      <c r="D365" s="14"/>
      <c r="E365" s="659">
        <v>0</v>
      </c>
      <c r="F365" s="660">
        <f>SUM(F362:F364)</f>
        <v>0</v>
      </c>
      <c r="G365" s="661">
        <f t="shared" ref="G365:I365" si="218">SUM(G362:G364)</f>
        <v>0</v>
      </c>
      <c r="H365" s="360">
        <f t="shared" si="218"/>
        <v>0</v>
      </c>
      <c r="I365" s="662">
        <f t="shared" si="218"/>
        <v>0</v>
      </c>
      <c r="J365" s="410"/>
      <c r="K365" s="662">
        <f t="shared" ref="K365:M365" si="219">SUM(K362:K364)</f>
        <v>0</v>
      </c>
      <c r="L365" s="662">
        <f t="shared" si="219"/>
        <v>0</v>
      </c>
      <c r="M365" s="662">
        <f t="shared" si="219"/>
        <v>0</v>
      </c>
      <c r="N365" s="414"/>
      <c r="O365" s="662">
        <f t="shared" ref="O365" si="220">SUM(O362:O364)</f>
        <v>0</v>
      </c>
      <c r="P365" s="361"/>
    </row>
    <row r="366" spans="1:18">
      <c r="E366" s="266"/>
      <c r="F366" s="266"/>
      <c r="G366" s="275"/>
      <c r="H366" s="111"/>
      <c r="I366" s="25"/>
      <c r="J366" s="402"/>
      <c r="K366" s="25"/>
      <c r="L366" s="25"/>
      <c r="M366" s="25"/>
      <c r="N366" s="402"/>
      <c r="O366" s="25"/>
      <c r="P366" s="318"/>
    </row>
    <row r="367" spans="1:18" s="2" customFormat="1">
      <c r="A367" s="1" t="s">
        <v>224</v>
      </c>
      <c r="B367" s="1"/>
      <c r="C367" s="311">
        <v>3.2599999999999997E-2</v>
      </c>
      <c r="D367" s="1"/>
      <c r="E367" s="266"/>
      <c r="F367" s="266"/>
      <c r="G367" s="275"/>
      <c r="H367" s="111"/>
      <c r="I367" s="25"/>
      <c r="J367" s="402"/>
      <c r="K367" s="26">
        <f>$C$367*$J$363/4</f>
        <v>0</v>
      </c>
      <c r="L367" s="26">
        <f t="shared" ref="L367:M367" si="221">$C$367*$J$363/4</f>
        <v>0</v>
      </c>
      <c r="M367" s="26">
        <f t="shared" si="221"/>
        <v>0</v>
      </c>
      <c r="N367" s="402"/>
      <c r="O367" s="26">
        <f>$C$367*$J$363/4</f>
        <v>0</v>
      </c>
      <c r="P367" s="319"/>
    </row>
    <row r="368" spans="1:18">
      <c r="E368" s="266"/>
      <c r="F368" s="266"/>
      <c r="G368" s="275"/>
      <c r="H368" s="111"/>
      <c r="I368" s="25"/>
      <c r="J368" s="402"/>
      <c r="K368" s="25"/>
      <c r="L368" s="25"/>
      <c r="M368" s="25"/>
      <c r="N368" s="402"/>
      <c r="O368" s="25"/>
      <c r="P368" s="318"/>
    </row>
    <row r="369" spans="1:16">
      <c r="A369" s="32" t="s">
        <v>225</v>
      </c>
      <c r="E369" s="266"/>
      <c r="F369" s="266"/>
      <c r="G369" s="275"/>
      <c r="H369" s="111"/>
      <c r="I369" s="25"/>
      <c r="J369" s="402"/>
      <c r="K369" s="25"/>
      <c r="L369" s="25"/>
      <c r="M369" s="25"/>
      <c r="N369" s="402"/>
      <c r="O369" s="25"/>
      <c r="P369" s="318"/>
    </row>
    <row r="370" spans="1:16">
      <c r="A370" s="1" t="s">
        <v>226</v>
      </c>
      <c r="E370" s="266"/>
      <c r="F370" s="264">
        <f>E373</f>
        <v>0</v>
      </c>
      <c r="G370" s="274">
        <f>F373</f>
        <v>1.7116711257348327</v>
      </c>
      <c r="H370" s="113">
        <f>G373</f>
        <v>5.1770223112196936</v>
      </c>
      <c r="I370" s="26">
        <f>H373</f>
        <v>6.0527267288075706</v>
      </c>
      <c r="J370" s="402"/>
      <c r="K370" s="26">
        <f>I370</f>
        <v>6.0527267288075706</v>
      </c>
      <c r="L370" s="26">
        <f>K373</f>
        <v>20.998081503917668</v>
      </c>
      <c r="M370" s="26">
        <f>L373</f>
        <v>21.484306660591656</v>
      </c>
      <c r="N370" s="402"/>
      <c r="O370" s="26">
        <f>M370</f>
        <v>21.484306660591656</v>
      </c>
      <c r="P370" s="320"/>
    </row>
    <row r="371" spans="1:16">
      <c r="A371" s="1" t="s">
        <v>227</v>
      </c>
      <c r="E371" s="266"/>
      <c r="F371" s="264">
        <f>IF(E345&lt;=0,IF(F345&lt;0,0,F344+E345),IF(F345&lt;0,-E345,F344))*F332</f>
        <v>0</v>
      </c>
      <c r="G371" s="274">
        <f>IF(F345&lt;=0,IF(G345&lt;0,0,G344+F345),IF(G345&lt;0,-F345,G344))*G332</f>
        <v>0</v>
      </c>
      <c r="H371" s="113">
        <f>IF(G345&lt;=0,IF(H345&lt;0,0,H344+G345),IF(H345&lt;0,-G345,H344))*H332</f>
        <v>0</v>
      </c>
      <c r="I371" s="26">
        <f>IF(H345&lt;=0,IF(I345&lt;0,0,I344+H345),IF(I345&lt;0,-H345,I344))*I332</f>
        <v>0</v>
      </c>
      <c r="J371" s="408">
        <f>J356*J332</f>
        <v>0.9770833333333333</v>
      </c>
      <c r="K371" s="26">
        <f>SUM(I371:J371)</f>
        <v>0.9770833333333333</v>
      </c>
      <c r="L371" s="26">
        <f>IF(K345&lt;=0,IF(L345&lt;0,0,L344+K345),IF(L345&lt;0,-K345,L344))*L332</f>
        <v>0</v>
      </c>
      <c r="M371" s="26">
        <f>IF(L345&lt;=0,IF(M345&lt;0,0,M344+L345),IF(M345&lt;0,-L345,M344))*M332</f>
        <v>0</v>
      </c>
      <c r="N371" s="408">
        <f ca="1">'Recap-Fresh Start Schedule'!I19</f>
        <v>-10.62706583092857</v>
      </c>
      <c r="O371" s="26">
        <f ca="1">SUM(M371:N371)</f>
        <v>-10.62706583092857</v>
      </c>
      <c r="P371" s="320"/>
    </row>
    <row r="372" spans="1:16">
      <c r="A372" s="1" t="s">
        <v>228</v>
      </c>
      <c r="E372" s="266"/>
      <c r="F372" s="264">
        <f>SUM(F356:F357,F363:F364)*F332</f>
        <v>1.7116711257348327</v>
      </c>
      <c r="G372" s="274">
        <f>SUM(G356:G357,G363:G364)*G332</f>
        <v>3.4653511854848609</v>
      </c>
      <c r="H372" s="113">
        <f>SUM(H356:H357,H363:H364)*H332</f>
        <v>0.87570441758787709</v>
      </c>
      <c r="I372" s="26">
        <f>SUM(I356:I357,I363:I364)*I332</f>
        <v>13.968271441776762</v>
      </c>
      <c r="J372" s="402"/>
      <c r="K372" s="26">
        <f>SUM(I372:J372)</f>
        <v>13.968271441776762</v>
      </c>
      <c r="L372" s="26">
        <f>SUM(L356:L357,L363:L364)*L332</f>
        <v>0.4862251566739893</v>
      </c>
      <c r="M372" s="26">
        <f>SUM(M356:M357,M363:M364)*M332</f>
        <v>0.48719900793650894</v>
      </c>
      <c r="N372" s="402"/>
      <c r="O372" s="26">
        <f>SUM(M372:N372)</f>
        <v>0.48719900793650894</v>
      </c>
      <c r="P372" s="320"/>
    </row>
    <row r="373" spans="1:16">
      <c r="A373" s="30" t="s">
        <v>229</v>
      </c>
      <c r="B373" s="2"/>
      <c r="C373" s="2"/>
      <c r="D373" s="2"/>
      <c r="E373" s="663">
        <f>E59</f>
        <v>0</v>
      </c>
      <c r="F373" s="656">
        <f>SUM(F370:F372)</f>
        <v>1.7116711257348327</v>
      </c>
      <c r="G373" s="657">
        <f>SUM(G370:G372)</f>
        <v>5.1770223112196936</v>
      </c>
      <c r="H373" s="345">
        <f>SUM(H370:H372)</f>
        <v>6.0527267288075706</v>
      </c>
      <c r="I373" s="658">
        <f>SUM(I370:I372)</f>
        <v>20.020998170584335</v>
      </c>
      <c r="J373" s="406"/>
      <c r="K373" s="658">
        <f>SUM(K370:K372)</f>
        <v>20.998081503917668</v>
      </c>
      <c r="L373" s="658">
        <f>SUM(L370:L372)</f>
        <v>21.484306660591656</v>
      </c>
      <c r="M373" s="658">
        <f>SUM(M370:M372)</f>
        <v>21.971505668528167</v>
      </c>
      <c r="N373" s="406"/>
      <c r="O373" s="658">
        <f ca="1">SUM(O370:O372)</f>
        <v>11.344439837599595</v>
      </c>
      <c r="P373" s="346"/>
    </row>
    <row r="374" spans="1:16">
      <c r="A374" s="106"/>
      <c r="E374" s="266"/>
      <c r="F374" s="266"/>
      <c r="G374" s="275"/>
      <c r="H374" s="114"/>
      <c r="I374" s="108"/>
      <c r="J374" s="412"/>
      <c r="K374" s="108"/>
      <c r="L374" s="108"/>
      <c r="M374" s="25"/>
      <c r="N374" s="402"/>
      <c r="O374" s="108"/>
      <c r="P374" s="318"/>
    </row>
    <row r="375" spans="1:16" s="2" customFormat="1">
      <c r="A375" s="1" t="s">
        <v>230</v>
      </c>
      <c r="B375" s="1"/>
      <c r="C375" s="1"/>
      <c r="D375" s="1"/>
      <c r="E375" s="266"/>
      <c r="F375" s="264">
        <f>E378</f>
        <v>0</v>
      </c>
      <c r="G375" s="274">
        <f>F378</f>
        <v>0</v>
      </c>
      <c r="H375" s="113">
        <f>G378</f>
        <v>0</v>
      </c>
      <c r="I375" s="26">
        <f>H378</f>
        <v>0</v>
      </c>
      <c r="J375" s="402"/>
      <c r="K375" s="26">
        <f>I375</f>
        <v>0</v>
      </c>
      <c r="L375" s="26">
        <f>K378</f>
        <v>0</v>
      </c>
      <c r="M375" s="26">
        <f>L378</f>
        <v>0</v>
      </c>
      <c r="N375" s="402"/>
      <c r="O375" s="26">
        <f>M375</f>
        <v>0</v>
      </c>
      <c r="P375" s="320"/>
    </row>
    <row r="376" spans="1:16">
      <c r="A376" s="1" t="s">
        <v>231</v>
      </c>
      <c r="E376" s="266"/>
      <c r="F376" s="264">
        <f>IF(E345&gt;=0,IF(F345&gt;0,0,-F344-E345),IF(F345&gt;0,-E345,-F344))*F332</f>
        <v>0</v>
      </c>
      <c r="G376" s="274">
        <f>IF(F345&gt;=0,IF(G345&gt;0,0,-G344-F345),IF(G345&gt;0,-F345,-G344))*G332</f>
        <v>0</v>
      </c>
      <c r="H376" s="113">
        <f>IF(G345&gt;=0,IF(H345&gt;0,0,-H344-G345),IF(H345&gt;0,-G345,-H344))*H332</f>
        <v>0</v>
      </c>
      <c r="I376" s="26">
        <f>IF(H345&gt;=0,IF(I345&gt;0,0,-I344-H345),IF(I345&gt;0,-H345,-I344))*I332</f>
        <v>0</v>
      </c>
      <c r="J376" s="408">
        <f>IF(I345&gt;=0,IF(J345&gt;0,0,J344+I345),IF(J345&gt;0,-I345,-J344))*J332</f>
        <v>0</v>
      </c>
      <c r="K376" s="348">
        <f>SUM(I376:J376)</f>
        <v>0</v>
      </c>
      <c r="L376" s="26">
        <f>IF(K345&gt;=0,IF(L345&gt;0,0,-L344-K345),IF(L345&gt;0,-K345,-L344))*L332</f>
        <v>0</v>
      </c>
      <c r="M376" s="26">
        <f>IF(L345&gt;=0,IF(M345&gt;0,0,-M344-L345),IF(M345&gt;0,-L345,-M344))*M332</f>
        <v>0</v>
      </c>
      <c r="N376" s="408">
        <f ca="1">-N349*N332</f>
        <v>0</v>
      </c>
      <c r="O376" s="348">
        <f ca="1">SUM(M376:N376)</f>
        <v>0</v>
      </c>
      <c r="P376" s="319"/>
    </row>
    <row r="377" spans="1:16">
      <c r="A377" s="1" t="s">
        <v>232</v>
      </c>
      <c r="E377" s="266"/>
      <c r="F377" s="265">
        <v>0</v>
      </c>
      <c r="G377" s="347">
        <v>0</v>
      </c>
      <c r="H377" s="112">
        <v>0</v>
      </c>
      <c r="I377" s="27">
        <v>0</v>
      </c>
      <c r="J377" s="405"/>
      <c r="K377" s="348">
        <f>SUM(I377:J377)</f>
        <v>0</v>
      </c>
      <c r="L377" s="27">
        <v>0</v>
      </c>
      <c r="M377" s="27">
        <v>0</v>
      </c>
      <c r="N377" s="412"/>
      <c r="O377" s="348">
        <f>SUM(M377:N377)</f>
        <v>0</v>
      </c>
      <c r="P377" s="319"/>
    </row>
    <row r="378" spans="1:16">
      <c r="A378" s="50" t="s">
        <v>233</v>
      </c>
      <c r="E378" s="527">
        <f>E59</f>
        <v>0</v>
      </c>
      <c r="F378" s="528">
        <f>SUM(F375:F377)</f>
        <v>0</v>
      </c>
      <c r="G378" s="529">
        <f>SUM(G375:G377)</f>
        <v>0</v>
      </c>
      <c r="H378" s="530">
        <f>SUM(H375:H377)</f>
        <v>0</v>
      </c>
      <c r="I378" s="531">
        <f>SUM(I375:I377)</f>
        <v>0</v>
      </c>
      <c r="J378" s="532"/>
      <c r="K378" s="531">
        <f>SUM(K375:K377)</f>
        <v>0</v>
      </c>
      <c r="L378" s="531">
        <f>SUM(L375:L377)</f>
        <v>0</v>
      </c>
      <c r="M378" s="531">
        <f>SUM(M375:M377)</f>
        <v>0</v>
      </c>
      <c r="N378" s="532"/>
      <c r="O378" s="531">
        <f ca="1">SUM(O375:O377)</f>
        <v>0</v>
      </c>
      <c r="P378" s="533"/>
    </row>
  </sheetData>
  <conditionalFormatting sqref="E66:P67">
    <cfRule type="expression" dxfId="2" priority="8">
      <formula>0</formula>
    </cfRule>
    <cfRule type="cellIs" dxfId="1" priority="9" operator="notEqual">
      <formula>0</formula>
    </cfRule>
  </conditionalFormatting>
  <printOptions horizontalCentered="1"/>
  <pageMargins left="0.25" right="0.25" top="0.25" bottom="0.25" header="0" footer="0.3"/>
  <pageSetup paperSize="316" scale="65" fitToHeight="10" orientation="landscape" r:id="rId1"/>
  <headerFooter>
    <oddFooter>&amp;L&amp;F - &amp;A&amp;Cpage &amp;P of &amp;N&amp;R&amp;D - &amp;T</oddFooter>
  </headerFooter>
  <rowBreaks count="8" manualBreakCount="8">
    <brk id="31" max="19" man="1"/>
    <brk id="67" max="19" man="1"/>
    <brk id="96" max="19" man="1"/>
    <brk id="171" max="19" man="1"/>
    <brk id="212" max="19" man="1"/>
    <brk id="244" max="19" man="1"/>
    <brk id="299" max="19" man="1"/>
    <brk id="325" max="19" man="1"/>
  </row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autoPageBreaks="0"/>
  </sheetPr>
  <dimension ref="A1:Z48"/>
  <sheetViews>
    <sheetView showGridLines="0" tabSelected="1" zoomScale="75" zoomScaleNormal="209" zoomScaleSheetLayoutView="85" workbookViewId="0">
      <selection activeCell="X53" sqref="X53"/>
    </sheetView>
  </sheetViews>
  <sheetFormatPr defaultColWidth="9.140625" defaultRowHeight="14.1"/>
  <cols>
    <col min="1" max="1" width="1.85546875" style="98" customWidth="1"/>
    <col min="2" max="5" width="9.140625" style="98"/>
    <col min="6" max="6" width="1.85546875" style="98" customWidth="1"/>
    <col min="7" max="7" width="10.85546875" style="98" customWidth="1"/>
    <col min="8" max="8" width="1.85546875" style="98" customWidth="1"/>
    <col min="9" max="9" width="10.85546875" style="98" customWidth="1"/>
    <col min="10" max="10" width="1.85546875" style="98" customWidth="1"/>
    <col min="11" max="11" width="10.85546875" style="98" customWidth="1"/>
    <col min="12" max="12" width="1.85546875" style="98" customWidth="1"/>
    <col min="13" max="13" width="10.85546875" style="98" customWidth="1"/>
    <col min="14" max="17" width="8.85546875" style="98" customWidth="1"/>
    <col min="18" max="18" width="41.85546875" style="98" customWidth="1"/>
    <col min="19" max="19" width="25" style="98" customWidth="1"/>
    <col min="20" max="20" width="1.85546875" style="98" customWidth="1"/>
    <col min="21" max="25" width="8.85546875" style="98" customWidth="1"/>
    <col min="26" max="16384" width="9.140625" style="98"/>
  </cols>
  <sheetData>
    <row r="1" spans="1:26" ht="15.95">
      <c r="A1" s="116" t="str">
        <f>UPPER("Fermat Technologies")</f>
        <v>FERMAT TECHNOLOGIES</v>
      </c>
    </row>
    <row r="2" spans="1:26" ht="15.75" customHeight="1">
      <c r="A2" s="116" t="s">
        <v>234</v>
      </c>
      <c r="Q2" s="160"/>
      <c r="S2" s="117"/>
    </row>
    <row r="3" spans="1:26" ht="12.75" customHeight="1">
      <c r="A3" s="118" t="s">
        <v>47</v>
      </c>
      <c r="B3" s="119"/>
      <c r="C3" s="119"/>
      <c r="D3" s="119"/>
      <c r="E3" s="119"/>
      <c r="F3" s="119"/>
      <c r="G3" s="119"/>
      <c r="H3" s="119"/>
      <c r="I3" s="119"/>
      <c r="J3" s="119"/>
      <c r="K3" s="119"/>
      <c r="L3" s="119"/>
      <c r="M3" s="119"/>
      <c r="N3" s="119"/>
      <c r="O3" s="119"/>
      <c r="P3" s="119"/>
      <c r="Q3" s="119"/>
      <c r="R3" s="119"/>
      <c r="S3" s="119"/>
      <c r="T3" s="119"/>
      <c r="U3" s="119"/>
      <c r="V3" s="119"/>
      <c r="W3" s="119"/>
      <c r="X3" s="119"/>
      <c r="Y3" s="119"/>
    </row>
    <row r="4" spans="1:26">
      <c r="R4" s="120"/>
      <c r="S4" s="117"/>
    </row>
    <row r="5" spans="1:26" ht="12.75" customHeight="1">
      <c r="B5" s="121" t="s">
        <v>235</v>
      </c>
      <c r="C5" s="121"/>
      <c r="D5" s="121"/>
      <c r="E5" s="121"/>
      <c r="F5" s="121"/>
      <c r="G5" s="121"/>
      <c r="H5" s="121"/>
      <c r="I5" s="121"/>
      <c r="J5" s="121"/>
      <c r="K5" s="121"/>
      <c r="L5" s="121"/>
      <c r="M5" s="121"/>
      <c r="O5" s="122" t="s">
        <v>236</v>
      </c>
      <c r="P5" s="122"/>
      <c r="Q5" s="122"/>
      <c r="R5" s="122"/>
      <c r="S5" s="122"/>
      <c r="T5" s="121"/>
      <c r="U5" s="121"/>
      <c r="V5" s="121"/>
      <c r="W5" s="121"/>
      <c r="X5" s="121"/>
      <c r="Y5" s="122"/>
    </row>
    <row r="6" spans="1:26" ht="12.75" customHeight="1"/>
    <row r="7" spans="1:26" ht="12.75" customHeight="1">
      <c r="C7" s="120"/>
      <c r="D7" s="120"/>
      <c r="G7" s="123" t="s">
        <v>237</v>
      </c>
      <c r="I7" s="124" t="s">
        <v>50</v>
      </c>
      <c r="J7" s="125"/>
      <c r="K7" s="126"/>
      <c r="M7" s="123" t="s">
        <v>238</v>
      </c>
      <c r="O7" s="127" t="s">
        <v>239</v>
      </c>
      <c r="P7" s="127"/>
      <c r="Q7" s="127"/>
      <c r="R7" s="127"/>
      <c r="S7" s="127"/>
      <c r="U7" s="127" t="s">
        <v>240</v>
      </c>
      <c r="V7" s="127"/>
      <c r="W7" s="127"/>
      <c r="X7" s="127"/>
      <c r="Y7" s="127"/>
    </row>
    <row r="8" spans="1:26" ht="12.75" customHeight="1">
      <c r="G8" s="128">
        <f>Financials!$M$8</f>
        <v>44561</v>
      </c>
      <c r="I8" s="129" t="s">
        <v>241</v>
      </c>
      <c r="J8" s="130"/>
      <c r="K8" s="131" t="s">
        <v>242</v>
      </c>
      <c r="M8" s="128">
        <f>Financials!$M$8</f>
        <v>44561</v>
      </c>
      <c r="O8" s="7" t="s">
        <v>243</v>
      </c>
      <c r="P8" s="7"/>
      <c r="Q8" s="7"/>
      <c r="R8" s="117"/>
      <c r="S8" s="132">
        <v>385</v>
      </c>
      <c r="T8" s="117"/>
      <c r="U8" s="7" t="s">
        <v>244</v>
      </c>
      <c r="V8" s="144"/>
      <c r="W8" s="144"/>
      <c r="X8" s="144"/>
      <c r="Y8" s="544">
        <v>7</v>
      </c>
      <c r="Z8" s="566" t="s">
        <v>245</v>
      </c>
    </row>
    <row r="9" spans="1:26" ht="12.75" customHeight="1">
      <c r="B9" s="133" t="s">
        <v>67</v>
      </c>
      <c r="C9" s="117"/>
      <c r="D9" s="117"/>
      <c r="E9" s="117"/>
      <c r="F9" s="117"/>
      <c r="G9" s="117"/>
      <c r="H9" s="117"/>
      <c r="I9" s="134"/>
      <c r="J9" s="117"/>
      <c r="K9" s="135"/>
      <c r="L9" s="117"/>
      <c r="M9" s="117"/>
      <c r="O9" s="7" t="s">
        <v>246</v>
      </c>
      <c r="P9" s="7"/>
      <c r="Q9" s="7"/>
      <c r="R9" s="117"/>
      <c r="S9" s="458">
        <f ca="1">M10</f>
        <v>40.020824520973086</v>
      </c>
      <c r="T9" s="117"/>
      <c r="U9" s="7" t="s">
        <v>131</v>
      </c>
      <c r="V9" s="144"/>
      <c r="W9" s="144"/>
      <c r="X9" s="144"/>
      <c r="Y9" s="545">
        <f>S30*Z9</f>
        <v>9.6250000000000018</v>
      </c>
      <c r="Z9" s="397">
        <v>3.5000000000000003E-2</v>
      </c>
    </row>
    <row r="10" spans="1:26" ht="12.75" customHeight="1">
      <c r="B10" s="117" t="str">
        <f>Financials!A36</f>
        <v>Cash and Cash Equivalents</v>
      </c>
      <c r="C10" s="117"/>
      <c r="D10" s="117"/>
      <c r="E10" s="117"/>
      <c r="F10" s="117"/>
      <c r="G10" s="181">
        <f ca="1">Financials!M36</f>
        <v>63.145824520973086</v>
      </c>
      <c r="H10" s="120"/>
      <c r="I10" s="539">
        <f>'Recap-Fresh Start JE'!I9+'Recap-Fresh Start JE'!I17-'Recap-Fresh Start JE'!J13-'Recap-Fresh Start JE'!J22-'Recap-Fresh Start JE'!J28-'Recap-Fresh Start JE'!J36</f>
        <v>-23.125</v>
      </c>
      <c r="J10" s="120"/>
      <c r="K10" s="137"/>
      <c r="L10" s="120"/>
      <c r="M10" s="120">
        <f ca="1">SUM(G10,I10,K10)</f>
        <v>40.020824520973086</v>
      </c>
      <c r="O10" s="7" t="s">
        <v>247</v>
      </c>
      <c r="P10" s="7"/>
      <c r="Q10" s="7"/>
      <c r="R10" s="117"/>
      <c r="S10" s="546">
        <f>-'Recap-Fresh Start JE'!J10</f>
        <v>-275</v>
      </c>
      <c r="T10" s="117"/>
      <c r="U10" s="98" t="s">
        <v>248</v>
      </c>
      <c r="V10" s="144"/>
      <c r="W10" s="144"/>
      <c r="X10" s="144"/>
      <c r="Y10" s="545">
        <f>S31*Z10</f>
        <v>1.5</v>
      </c>
      <c r="Z10" s="570">
        <v>0.03</v>
      </c>
    </row>
    <row r="11" spans="1:26" s="117" customFormat="1" ht="12.75" customHeight="1">
      <c r="B11" s="117" t="str">
        <f>Financials!A37</f>
        <v>Accounts Receivable</v>
      </c>
      <c r="G11" s="182">
        <f>Financials!M37</f>
        <v>47.836849391304348</v>
      </c>
      <c r="H11" s="139"/>
      <c r="I11" s="140"/>
      <c r="J11" s="141"/>
      <c r="K11" s="142"/>
      <c r="L11" s="141"/>
      <c r="M11" s="143">
        <f t="shared" ref="M11:M13" si="0">SUM(G11,I11,K11)</f>
        <v>47.836849391304348</v>
      </c>
      <c r="O11" s="52" t="s">
        <v>249</v>
      </c>
      <c r="P11" s="8"/>
      <c r="Q11" s="8"/>
      <c r="S11" s="664">
        <f ca="1">SUM(S8:S10)</f>
        <v>150.02082452097306</v>
      </c>
      <c r="T11" s="136"/>
      <c r="U11" s="7" t="s">
        <v>250</v>
      </c>
      <c r="X11" s="144"/>
      <c r="Y11" s="544">
        <v>5</v>
      </c>
    </row>
    <row r="12" spans="1:26" s="117" customFormat="1" ht="12.75" customHeight="1">
      <c r="B12" s="117" t="str">
        <f>Financials!A38</f>
        <v>Inventory</v>
      </c>
      <c r="G12" s="182">
        <f>Financials!M38</f>
        <v>35.228963640302261</v>
      </c>
      <c r="H12" s="139"/>
      <c r="I12" s="140"/>
      <c r="J12" s="141"/>
      <c r="K12" s="142"/>
      <c r="L12" s="141"/>
      <c r="M12" s="143">
        <f t="shared" si="0"/>
        <v>35.228963640302261</v>
      </c>
      <c r="O12" s="117" t="s">
        <v>24</v>
      </c>
      <c r="S12" s="117">
        <f>'Recap-Fresh Start JE'!J18</f>
        <v>48.5</v>
      </c>
      <c r="U12" s="138" t="s">
        <v>251</v>
      </c>
      <c r="V12" s="144"/>
      <c r="W12" s="144"/>
      <c r="X12" s="144"/>
      <c r="Y12" s="665">
        <f>SUM(Y8:Y11)</f>
        <v>23.125</v>
      </c>
    </row>
    <row r="13" spans="1:26" s="117" customFormat="1" ht="12.75" customHeight="1">
      <c r="B13" s="117" t="str">
        <f>Financials!A39</f>
        <v>Prepaid Expenses</v>
      </c>
      <c r="G13" s="182">
        <f>Financials!M39</f>
        <v>7.6662408959999997</v>
      </c>
      <c r="H13" s="139"/>
      <c r="I13" s="140"/>
      <c r="J13" s="141"/>
      <c r="K13" s="142"/>
      <c r="L13" s="141"/>
      <c r="M13" s="143">
        <f t="shared" si="0"/>
        <v>7.6662408959999997</v>
      </c>
      <c r="O13" s="117" t="s">
        <v>252</v>
      </c>
      <c r="S13" s="117">
        <f ca="1">S11-S12</f>
        <v>101.52082452097306</v>
      </c>
      <c r="U13" s="138"/>
      <c r="V13" s="144"/>
      <c r="W13" s="144"/>
      <c r="X13" s="144"/>
      <c r="Y13" s="145"/>
    </row>
    <row r="14" spans="1:26" s="117" customFormat="1" ht="12.75" customHeight="1">
      <c r="B14" s="138" t="str">
        <f>Financials!A40</f>
        <v>Total Current Assets</v>
      </c>
      <c r="C14" s="144"/>
      <c r="D14" s="144"/>
      <c r="E14" s="144"/>
      <c r="F14" s="144"/>
      <c r="G14" s="665">
        <f ca="1">SUM(G10:G13)</f>
        <v>153.87787844857971</v>
      </c>
      <c r="H14" s="145"/>
      <c r="I14" s="146"/>
      <c r="J14" s="145"/>
      <c r="K14" s="147"/>
      <c r="L14" s="145"/>
      <c r="M14" s="665">
        <f ca="1">SUM(M10:M13)</f>
        <v>130.75287844857971</v>
      </c>
      <c r="T14" s="144"/>
    </row>
    <row r="15" spans="1:26" s="117" customFormat="1" ht="12.75" customHeight="1">
      <c r="B15" s="138"/>
      <c r="I15" s="148"/>
      <c r="K15" s="149"/>
      <c r="O15" s="127"/>
      <c r="P15" s="127"/>
      <c r="Q15" s="613" t="s">
        <v>253</v>
      </c>
      <c r="R15" s="613"/>
      <c r="S15" s="127"/>
      <c r="U15" s="127" t="s">
        <v>254</v>
      </c>
      <c r="V15" s="127"/>
      <c r="W15" s="127"/>
      <c r="X15" s="127"/>
      <c r="Y15" s="127"/>
    </row>
    <row r="16" spans="1:26" s="117" customFormat="1" ht="12.75" customHeight="1">
      <c r="B16" s="150" t="str">
        <f>Financials!A42</f>
        <v>PP&amp;E, net</v>
      </c>
      <c r="G16" s="183">
        <f>Financials!M42</f>
        <v>184.25786189999999</v>
      </c>
      <c r="H16" s="141"/>
      <c r="I16" s="140"/>
      <c r="J16" s="141"/>
      <c r="K16" s="142"/>
      <c r="L16" s="141"/>
      <c r="M16" s="143">
        <f t="shared" ref="M16" si="1">SUM(G16,I16,K16)</f>
        <v>184.25786189999999</v>
      </c>
      <c r="O16" s="98" t="s">
        <v>243</v>
      </c>
      <c r="P16" s="98"/>
      <c r="Q16" s="98"/>
      <c r="R16" s="98"/>
      <c r="S16" s="120">
        <f>S8</f>
        <v>385</v>
      </c>
      <c r="U16" s="117" t="s">
        <v>250</v>
      </c>
      <c r="V16" s="144"/>
      <c r="W16" s="144"/>
      <c r="X16" s="144"/>
      <c r="Y16" s="546">
        <f>-Y11</f>
        <v>-5</v>
      </c>
    </row>
    <row r="17" spans="2:26" s="117" customFormat="1" ht="12.75" customHeight="1">
      <c r="B17" s="150" t="str">
        <f>Financials!A43</f>
        <v>Goodwill</v>
      </c>
      <c r="G17" s="183">
        <f>Financials!M43</f>
        <v>326.81700000000001</v>
      </c>
      <c r="H17" s="141"/>
      <c r="I17" s="140"/>
      <c r="J17" s="141"/>
      <c r="K17" s="543">
        <f ca="1">S22-G17</f>
        <v>-190.98044032237692</v>
      </c>
      <c r="L17" s="141"/>
      <c r="M17" s="143">
        <f ca="1">SUM(G17,I17,K17)</f>
        <v>135.83655967762309</v>
      </c>
      <c r="O17" s="98" t="s">
        <v>255</v>
      </c>
      <c r="P17" s="98"/>
      <c r="Q17" s="98"/>
      <c r="R17" s="98"/>
      <c r="S17" s="547">
        <f ca="1">M10</f>
        <v>40.020824520973086</v>
      </c>
      <c r="T17" s="144"/>
      <c r="U17" s="7" t="s">
        <v>244</v>
      </c>
      <c r="V17" s="144"/>
      <c r="W17" s="144"/>
      <c r="X17" s="144"/>
      <c r="Y17" s="546">
        <f>-Y8</f>
        <v>-7</v>
      </c>
    </row>
    <row r="18" spans="2:26" s="144" customFormat="1" ht="12.75" customHeight="1">
      <c r="B18" s="117" t="str">
        <f>Financials!A44</f>
        <v>Deferred Financing Costs</v>
      </c>
      <c r="C18" s="117"/>
      <c r="D18" s="117"/>
      <c r="E18" s="117"/>
      <c r="F18" s="117"/>
      <c r="G18" s="183">
        <f>Financials!M44</f>
        <v>6.2565909090909066</v>
      </c>
      <c r="H18" s="141"/>
      <c r="I18" s="540">
        <f>'Recap-Fresh Start JE'!I12-'Recap-Fresh Start JE'!J31</f>
        <v>3.3684090909090951</v>
      </c>
      <c r="J18" s="141"/>
      <c r="K18" s="142"/>
      <c r="L18" s="141"/>
      <c r="M18" s="143">
        <f>SUM(G18,I18,K18)</f>
        <v>9.6250000000000018</v>
      </c>
      <c r="O18" s="343" t="s">
        <v>256</v>
      </c>
      <c r="P18" s="98"/>
      <c r="Q18" s="98"/>
      <c r="R18" s="98"/>
      <c r="S18" s="665">
        <f ca="1">SUM(S16:S17)</f>
        <v>425.02082452097306</v>
      </c>
      <c r="U18" s="117" t="s">
        <v>257</v>
      </c>
      <c r="V18" s="117"/>
      <c r="W18" s="117"/>
      <c r="X18" s="117"/>
      <c r="Y18" s="547">
        <f>-G18</f>
        <v>-6.2565909090909066</v>
      </c>
    </row>
    <row r="19" spans="2:26" s="117" customFormat="1" ht="12.75" customHeight="1">
      <c r="B19" s="117" t="str">
        <f>Financials!A45</f>
        <v>Deferred Tax Asset</v>
      </c>
      <c r="G19" s="183">
        <f>Financials!M45</f>
        <v>21.971505668528167</v>
      </c>
      <c r="H19" s="141"/>
      <c r="I19" s="586">
        <f ca="1">-'Recap-Fresh Start JE'!J53</f>
        <v>-10.62706583092857</v>
      </c>
      <c r="J19" s="141"/>
      <c r="K19" s="142"/>
      <c r="L19" s="141"/>
      <c r="M19" s="143">
        <f ca="1">SUM(G19:K19)</f>
        <v>11.344439837599596</v>
      </c>
      <c r="O19" s="117" t="s">
        <v>258</v>
      </c>
      <c r="S19" s="547">
        <f ca="1">SUM(M23,M24,M33)</f>
        <v>46.795915342829318</v>
      </c>
      <c r="T19" s="144"/>
      <c r="U19" s="117" t="s">
        <v>259</v>
      </c>
      <c r="Y19" s="547">
        <f ca="1">-'Recap-Fresh Start JE'!I60</f>
        <v>-190.98044032237692</v>
      </c>
    </row>
    <row r="20" spans="2:26" s="117" customFormat="1" ht="12.75" customHeight="1">
      <c r="B20" s="138" t="str">
        <f>Financials!A46</f>
        <v>Total Assets</v>
      </c>
      <c r="C20" s="144"/>
      <c r="D20" s="144"/>
      <c r="E20" s="144"/>
      <c r="F20" s="144"/>
      <c r="G20" s="665">
        <f ca="1">SUM(G16:G19,G14)</f>
        <v>693.18083692619882</v>
      </c>
      <c r="H20" s="145"/>
      <c r="I20" s="146"/>
      <c r="J20" s="145"/>
      <c r="K20" s="147"/>
      <c r="L20" s="145"/>
      <c r="M20" s="665">
        <f ca="1">SUM(M16:M19,M14)</f>
        <v>471.81673986380235</v>
      </c>
      <c r="O20" s="343" t="s">
        <v>260</v>
      </c>
      <c r="P20" s="98"/>
      <c r="Q20" s="98"/>
      <c r="R20" s="98"/>
      <c r="S20" s="665">
        <f ca="1">S18+S19</f>
        <v>471.81673986380235</v>
      </c>
      <c r="T20" s="98"/>
      <c r="U20" s="7" t="s">
        <v>261</v>
      </c>
      <c r="V20" s="144"/>
      <c r="W20" s="144"/>
      <c r="X20" s="144"/>
      <c r="Y20" s="548">
        <f ca="1">'Recap-Fresh Start JE'!J42</f>
        <v>49.979175479026935</v>
      </c>
    </row>
    <row r="21" spans="2:26" s="117" customFormat="1" ht="12.75" customHeight="1">
      <c r="I21" s="148"/>
      <c r="K21" s="149"/>
      <c r="O21" s="117" t="s">
        <v>262</v>
      </c>
      <c r="S21" s="548">
        <f ca="1">-(M16+M18+M19+M14)</f>
        <v>-335.98018018617927</v>
      </c>
      <c r="U21" s="138" t="s">
        <v>263</v>
      </c>
      <c r="V21" s="144"/>
      <c r="W21" s="144"/>
      <c r="X21" s="144"/>
      <c r="Y21" s="585">
        <f ca="1">SUM(Y16:Y20)</f>
        <v>-159.25785575244089</v>
      </c>
    </row>
    <row r="22" spans="2:26" s="117" customFormat="1" ht="12.75" customHeight="1">
      <c r="B22" s="133" t="str">
        <f>Financials!A48</f>
        <v>Liabilities:</v>
      </c>
      <c r="G22" s="141"/>
      <c r="H22" s="141"/>
      <c r="I22" s="140"/>
      <c r="J22" s="141"/>
      <c r="K22" s="142"/>
      <c r="L22" s="141"/>
      <c r="M22" s="141"/>
      <c r="O22" s="138" t="s">
        <v>45</v>
      </c>
      <c r="P22" s="144"/>
      <c r="Q22" s="144"/>
      <c r="R22" s="144"/>
      <c r="S22" s="547">
        <f ca="1">SUM(S20:S21)</f>
        <v>135.83655967762309</v>
      </c>
      <c r="U22" s="117" t="s">
        <v>264</v>
      </c>
      <c r="Y22" s="547">
        <f ca="1">-('Recap-Fresh Start JE'!I52+'Recap-Fresh Start JE'!I55)</f>
        <v>-10.62706583092857</v>
      </c>
    </row>
    <row r="23" spans="2:26" s="117" customFormat="1" ht="12.75" customHeight="1">
      <c r="B23" s="117" t="str">
        <f>Financials!A49</f>
        <v>Accounts Payable</v>
      </c>
      <c r="G23" s="183">
        <f>Financials!M49</f>
        <v>18.402430542829315</v>
      </c>
      <c r="H23" s="141"/>
      <c r="I23" s="140"/>
      <c r="J23" s="141"/>
      <c r="K23" s="142"/>
      <c r="L23" s="141"/>
      <c r="M23" s="143">
        <f t="shared" ref="M23:M26" si="2">SUM(G23,I23,K23)</f>
        <v>18.402430542829315</v>
      </c>
      <c r="U23" s="138" t="s">
        <v>265</v>
      </c>
      <c r="V23" s="144"/>
      <c r="W23" s="144"/>
      <c r="X23" s="144"/>
      <c r="Y23" s="665">
        <f ca="1">Y21+Y22</f>
        <v>-169.88492158336945</v>
      </c>
    </row>
    <row r="24" spans="2:26" s="117" customFormat="1" ht="12.75" customHeight="1">
      <c r="B24" s="117" t="str">
        <f>Financials!A50</f>
        <v>Accrued Expenses</v>
      </c>
      <c r="G24" s="183">
        <f>Financials!M50</f>
        <v>28.3934848</v>
      </c>
      <c r="H24" s="141"/>
      <c r="I24" s="140"/>
      <c r="J24" s="141"/>
      <c r="K24" s="142"/>
      <c r="L24" s="141"/>
      <c r="M24" s="143">
        <f t="shared" si="2"/>
        <v>28.3934848</v>
      </c>
      <c r="U24" s="117" t="s">
        <v>266</v>
      </c>
      <c r="Y24" s="547">
        <f>'Recap-Fresh Start JE'!J47+'Recap-Fresh Start JE'!J18</f>
        <v>213.5</v>
      </c>
    </row>
    <row r="25" spans="2:26" s="144" customFormat="1" ht="12.75" customHeight="1">
      <c r="B25" s="117" t="str">
        <f>Financials!A51</f>
        <v>Other Current Liabilities</v>
      </c>
      <c r="C25" s="117"/>
      <c r="D25" s="117"/>
      <c r="E25" s="117"/>
      <c r="F25" s="117"/>
      <c r="G25" s="183">
        <f>Financials!M51</f>
        <v>0</v>
      </c>
      <c r="H25" s="141"/>
      <c r="I25" s="140"/>
      <c r="J25" s="141"/>
      <c r="K25" s="142"/>
      <c r="L25" s="141"/>
      <c r="M25" s="143">
        <f t="shared" si="2"/>
        <v>0</v>
      </c>
      <c r="O25" s="138"/>
      <c r="S25" s="145"/>
      <c r="T25" s="117"/>
      <c r="U25" s="138" t="s">
        <v>267</v>
      </c>
      <c r="Y25" s="665">
        <f ca="1">SUM(Y23,Y24)</f>
        <v>43.615078416630553</v>
      </c>
      <c r="Z25" s="117"/>
    </row>
    <row r="26" spans="2:26" s="117" customFormat="1" ht="12.75" customHeight="1">
      <c r="B26" s="150" t="str">
        <f>Financials!A52</f>
        <v>Current Portion of Long-Term Debt</v>
      </c>
      <c r="G26" s="183">
        <f>Financials!M52</f>
        <v>225</v>
      </c>
      <c r="H26" s="141"/>
      <c r="I26" s="586">
        <f>-'Recap-Fresh Start JE'!I26</f>
        <v>-225</v>
      </c>
      <c r="J26" s="141"/>
      <c r="K26" s="142"/>
      <c r="L26" s="141"/>
      <c r="M26" s="143">
        <f t="shared" si="2"/>
        <v>0</v>
      </c>
      <c r="O26" s="138"/>
      <c r="P26" s="144"/>
      <c r="Q26" s="144"/>
      <c r="R26" s="144"/>
      <c r="S26" s="145"/>
      <c r="T26" s="144"/>
    </row>
    <row r="27" spans="2:26" s="117" customFormat="1" ht="12.75" customHeight="1">
      <c r="B27" s="138" t="str">
        <f>Financials!A53</f>
        <v>Total Current Liabilities</v>
      </c>
      <c r="C27" s="144"/>
      <c r="D27" s="144"/>
      <c r="E27" s="144"/>
      <c r="F27" s="144"/>
      <c r="G27" s="665">
        <f>SUM(G23:G26)</f>
        <v>271.79591534282929</v>
      </c>
      <c r="H27" s="145"/>
      <c r="I27" s="146"/>
      <c r="J27" s="145"/>
      <c r="K27" s="147"/>
      <c r="L27" s="145"/>
      <c r="M27" s="665">
        <f>SUM(M23:M26)</f>
        <v>46.795915342829318</v>
      </c>
      <c r="U27" s="138"/>
      <c r="V27" s="144"/>
      <c r="W27" s="144"/>
      <c r="X27" s="144"/>
      <c r="Y27" s="145"/>
    </row>
    <row r="28" spans="2:26" s="117" customFormat="1" ht="12.75" customHeight="1">
      <c r="G28" s="153"/>
      <c r="H28" s="141"/>
      <c r="I28" s="140"/>
      <c r="J28" s="141"/>
      <c r="K28" s="142"/>
      <c r="L28" s="141"/>
      <c r="M28" s="139"/>
      <c r="O28" s="127" t="s">
        <v>268</v>
      </c>
      <c r="P28" s="127"/>
      <c r="Q28" s="127"/>
      <c r="R28" s="127"/>
      <c r="S28" s="127"/>
      <c r="T28" s="127"/>
      <c r="U28" s="127"/>
      <c r="V28" s="127"/>
      <c r="W28" s="127"/>
      <c r="X28" s="127"/>
      <c r="Y28" s="127"/>
    </row>
    <row r="29" spans="2:26" s="117" customFormat="1" ht="12.75" customHeight="1">
      <c r="B29" s="150" t="str">
        <f>Financials!A55</f>
        <v>Liabilities Subject to Compromise</v>
      </c>
      <c r="G29" s="154">
        <f>G46</f>
        <v>300</v>
      </c>
      <c r="H29" s="141"/>
      <c r="I29" s="540">
        <f>-'Recap-Fresh Start JE'!I40-'Recap-Fresh Start JE'!I27</f>
        <v>-300</v>
      </c>
      <c r="J29" s="141"/>
      <c r="K29" s="142"/>
      <c r="L29" s="141"/>
      <c r="M29" s="143">
        <f>SUM(G29,I29,K29)</f>
        <v>0</v>
      </c>
      <c r="O29" s="151" t="s">
        <v>269</v>
      </c>
      <c r="P29" s="98"/>
      <c r="Q29" s="98"/>
      <c r="R29" s="98"/>
      <c r="S29" s="98"/>
      <c r="U29" s="151" t="s">
        <v>270</v>
      </c>
      <c r="V29" s="152"/>
      <c r="X29" s="152"/>
      <c r="Y29" s="152"/>
    </row>
    <row r="30" spans="2:26" s="117" customFormat="1" ht="12.75" customHeight="1">
      <c r="B30" s="144"/>
      <c r="C30" s="144"/>
      <c r="D30" s="144"/>
      <c r="E30" s="144"/>
      <c r="F30" s="144"/>
      <c r="G30" s="144"/>
      <c r="H30" s="144"/>
      <c r="I30" s="146"/>
      <c r="J30" s="145"/>
      <c r="K30" s="147"/>
      <c r="L30" s="144"/>
      <c r="M30" s="144"/>
      <c r="O30" s="7" t="s">
        <v>271</v>
      </c>
      <c r="P30" s="7"/>
      <c r="Q30" s="7"/>
      <c r="R30" s="7"/>
      <c r="S30" s="549">
        <v>275</v>
      </c>
      <c r="U30" s="7" t="s">
        <v>272</v>
      </c>
      <c r="V30" s="7"/>
      <c r="W30" s="7"/>
      <c r="X30" s="7"/>
      <c r="Y30" s="580">
        <f>'Recap-Fresh Start JE'!I26</f>
        <v>225</v>
      </c>
    </row>
    <row r="31" spans="2:26" s="117" customFormat="1" ht="12.75" customHeight="1">
      <c r="B31" s="117" t="str">
        <f>Financials!A57</f>
        <v>Long-Term Debt</v>
      </c>
      <c r="G31" s="183">
        <f>Financials!M57</f>
        <v>0</v>
      </c>
      <c r="H31" s="141"/>
      <c r="I31" s="586">
        <f>'Recap-Fresh Start JE'!J10</f>
        <v>275</v>
      </c>
      <c r="J31" s="141"/>
      <c r="K31" s="142"/>
      <c r="L31" s="141"/>
      <c r="M31" s="143">
        <f t="shared" ref="M31:M34" si="3">SUM(G31,I31,K31)</f>
        <v>275</v>
      </c>
      <c r="O31" s="117" t="s">
        <v>273</v>
      </c>
      <c r="S31" s="550">
        <v>50</v>
      </c>
      <c r="U31" s="7" t="s">
        <v>274</v>
      </c>
      <c r="Y31" s="581">
        <f>Financials!M114</f>
        <v>100</v>
      </c>
    </row>
    <row r="32" spans="2:26" s="117" customFormat="1" ht="12.75" customHeight="1">
      <c r="B32" s="117" t="str">
        <f>Financials!A58</f>
        <v>Pension &amp; Post-Retirement Benefits</v>
      </c>
      <c r="G32" s="183">
        <f>Financials!M58</f>
        <v>0</v>
      </c>
      <c r="H32" s="141"/>
      <c r="I32" s="140"/>
      <c r="J32" s="141"/>
      <c r="K32" s="142"/>
      <c r="L32" s="141"/>
      <c r="M32" s="143">
        <f t="shared" si="3"/>
        <v>0</v>
      </c>
      <c r="O32" s="7" t="s">
        <v>275</v>
      </c>
      <c r="P32" s="7"/>
      <c r="Q32" s="7"/>
      <c r="R32" s="7"/>
      <c r="S32" s="538">
        <f>-I10</f>
        <v>23.125</v>
      </c>
      <c r="U32" s="117" t="s">
        <v>276</v>
      </c>
      <c r="Y32" s="546">
        <f>Y12</f>
        <v>23.125</v>
      </c>
    </row>
    <row r="33" spans="1:25" s="117" customFormat="1" ht="12.75" customHeight="1">
      <c r="B33" s="150" t="str">
        <f>Financials!A59</f>
        <v>Deferred Tax Liability</v>
      </c>
      <c r="G33" s="183">
        <f>Financials!M59</f>
        <v>0</v>
      </c>
      <c r="H33" s="141"/>
      <c r="I33" s="541">
        <f ca="1">'Recap-Fresh Start JE'!J56</f>
        <v>0</v>
      </c>
      <c r="J33" s="141"/>
      <c r="K33" s="399"/>
      <c r="L33" s="141"/>
      <c r="M33" s="378">
        <f t="shared" ca="1" si="3"/>
        <v>0</v>
      </c>
      <c r="O33" s="52" t="s">
        <v>277</v>
      </c>
      <c r="P33" s="7"/>
      <c r="Q33" s="7"/>
      <c r="R33" s="7"/>
      <c r="S33" s="666">
        <f>SUM(S30:S32)</f>
        <v>348.125</v>
      </c>
      <c r="U33" s="52" t="s">
        <v>278</v>
      </c>
      <c r="V33" s="155"/>
      <c r="W33" s="155"/>
      <c r="X33" s="155"/>
      <c r="Y33" s="664">
        <f>SUM(Y30:Y32)</f>
        <v>348.125</v>
      </c>
    </row>
    <row r="34" spans="1:25" s="144" customFormat="1" ht="12.75" customHeight="1">
      <c r="B34" s="150" t="str">
        <f>Financials!A60</f>
        <v>Other Long-Term Liabilities</v>
      </c>
      <c r="C34" s="117"/>
      <c r="D34" s="117"/>
      <c r="E34" s="117"/>
      <c r="F34" s="117"/>
      <c r="G34" s="183">
        <f>Financials!M60</f>
        <v>0</v>
      </c>
      <c r="H34" s="141"/>
      <c r="I34" s="140"/>
      <c r="J34" s="141"/>
      <c r="K34" s="142"/>
      <c r="L34" s="141"/>
      <c r="M34" s="378">
        <f t="shared" si="3"/>
        <v>0</v>
      </c>
      <c r="O34" s="122" t="s">
        <v>279</v>
      </c>
      <c r="P34" s="122"/>
      <c r="Q34" s="122"/>
      <c r="R34" s="122"/>
      <c r="S34" s="122"/>
      <c r="T34" s="121"/>
      <c r="U34" s="121"/>
      <c r="V34" s="121"/>
      <c r="W34" s="121"/>
      <c r="X34" s="121"/>
      <c r="Y34" s="122"/>
    </row>
    <row r="35" spans="1:25" s="144" customFormat="1" ht="12.75" customHeight="1">
      <c r="B35" s="156" t="str">
        <f>Financials!A61</f>
        <v>Total Liabilities</v>
      </c>
      <c r="C35" s="117"/>
      <c r="D35" s="117"/>
      <c r="E35" s="117"/>
      <c r="F35" s="117"/>
      <c r="G35" s="665">
        <f>SUM(G27,G29,G31:G34)</f>
        <v>571.79591534282929</v>
      </c>
      <c r="H35" s="120"/>
      <c r="I35" s="146"/>
      <c r="J35" s="120"/>
      <c r="K35" s="147"/>
      <c r="L35" s="120"/>
      <c r="M35" s="665">
        <f ca="1">SUM(M27,M29,M31:M34)</f>
        <v>321.79591534282929</v>
      </c>
      <c r="O35" s="157" t="s">
        <v>280</v>
      </c>
      <c r="P35" s="158"/>
      <c r="Q35" s="158"/>
      <c r="R35" s="117"/>
      <c r="S35" s="159" t="s">
        <v>281</v>
      </c>
      <c r="T35" s="117"/>
      <c r="U35" s="159" t="s">
        <v>6</v>
      </c>
      <c r="V35" s="159" t="s">
        <v>282</v>
      </c>
      <c r="W35" s="131" t="s">
        <v>36</v>
      </c>
      <c r="X35" s="129" t="s">
        <v>283</v>
      </c>
      <c r="Y35" s="159" t="s">
        <v>284</v>
      </c>
    </row>
    <row r="36" spans="1:25" s="117" customFormat="1" ht="12.75" customHeight="1">
      <c r="B36" s="144"/>
      <c r="C36" s="144"/>
      <c r="D36" s="144"/>
      <c r="E36" s="144"/>
      <c r="F36" s="144"/>
      <c r="G36" s="144"/>
      <c r="H36" s="120"/>
      <c r="I36" s="146"/>
      <c r="J36" s="144"/>
      <c r="K36" s="147"/>
      <c r="L36" s="120"/>
      <c r="M36" s="144"/>
      <c r="O36" s="117" t="s">
        <v>285</v>
      </c>
      <c r="S36" s="551">
        <f>Y12</f>
        <v>23.125</v>
      </c>
      <c r="T36" s="551"/>
      <c r="U36" s="552">
        <f>Y32</f>
        <v>23.125</v>
      </c>
      <c r="V36" s="556">
        <v>0</v>
      </c>
      <c r="W36" s="583">
        <v>0</v>
      </c>
      <c r="X36" s="140">
        <f>SUM(U36:W36)</f>
        <v>23.125</v>
      </c>
      <c r="Y36" s="161">
        <f>IFERROR(X36/S36,0)</f>
        <v>1</v>
      </c>
    </row>
    <row r="37" spans="1:25" s="117" customFormat="1" ht="12.75" customHeight="1">
      <c r="B37" s="117" t="str">
        <f>Financials!A63</f>
        <v>Common Stock &amp; Additional Paid in Capital</v>
      </c>
      <c r="G37" s="183">
        <f>Financials!M63</f>
        <v>165</v>
      </c>
      <c r="H37" s="120"/>
      <c r="I37" s="542">
        <f ca="1">-'Recap-Fresh Start JE'!I46+'Recap-Fresh Start JE'!J41</f>
        <v>-14.979175479026935</v>
      </c>
      <c r="K37" s="149"/>
      <c r="L37" s="120"/>
      <c r="M37" s="160">
        <f ca="1">SUM(G37,I37,K37)</f>
        <v>150.02082452097306</v>
      </c>
      <c r="O37" s="117" t="s">
        <v>286</v>
      </c>
      <c r="Q37" s="144"/>
      <c r="R37" s="144"/>
      <c r="S37" s="555">
        <f>Y30</f>
        <v>225</v>
      </c>
      <c r="T37" s="551"/>
      <c r="U37" s="552">
        <f>Y30</f>
        <v>225</v>
      </c>
      <c r="V37" s="556">
        <v>0</v>
      </c>
      <c r="W37" s="557">
        <v>0</v>
      </c>
      <c r="X37" s="140">
        <f>SUM(U37:W37)</f>
        <v>225</v>
      </c>
      <c r="Y37" s="161">
        <f>IFERROR(X37/S37,0)</f>
        <v>1</v>
      </c>
    </row>
    <row r="38" spans="1:25" s="117" customFormat="1" ht="12.75" customHeight="1">
      <c r="B38" s="117" t="str">
        <f>Financials!A64</f>
        <v>Retained Earnings</v>
      </c>
      <c r="G38" s="183">
        <f>Financials!M64</f>
        <v>-43.615078416630539</v>
      </c>
      <c r="H38" s="120"/>
      <c r="I38" s="542">
        <f ca="1">Y25-Y19</f>
        <v>234.59551873900747</v>
      </c>
      <c r="K38" s="588">
        <f ca="1">-'Recap-Fresh Start JE'!I60</f>
        <v>-190.98044032237692</v>
      </c>
      <c r="L38" s="120"/>
      <c r="M38" s="160">
        <f t="shared" ref="M38" ca="1" si="4">SUM(G38,I38,K38)</f>
        <v>0</v>
      </c>
      <c r="O38" s="138" t="s">
        <v>287</v>
      </c>
      <c r="P38" s="144"/>
      <c r="Q38" s="144"/>
      <c r="R38" s="144"/>
      <c r="S38" s="667">
        <f>SUM(S36:S37)</f>
        <v>248.125</v>
      </c>
      <c r="T38" s="518"/>
      <c r="U38" s="667">
        <f t="shared" ref="U38:X38" si="5">SUM(U36:U37)</f>
        <v>248.125</v>
      </c>
      <c r="V38" s="667">
        <f t="shared" si="5"/>
        <v>0</v>
      </c>
      <c r="W38" s="668">
        <f t="shared" si="5"/>
        <v>0</v>
      </c>
      <c r="X38" s="669">
        <f t="shared" si="5"/>
        <v>248.125</v>
      </c>
      <c r="Y38" s="670">
        <f>IFERROR(X38/S38,0)</f>
        <v>1</v>
      </c>
    </row>
    <row r="39" spans="1:25" s="144" customFormat="1" ht="12.75" customHeight="1" thickBot="1">
      <c r="B39" s="138" t="str">
        <f>Financials!A65</f>
        <v>Total Liabilities &amp; Shareholders Equity</v>
      </c>
      <c r="G39" s="162">
        <f>G35+SUM(G37:G38)</f>
        <v>693.18083692619871</v>
      </c>
      <c r="H39" s="145"/>
      <c r="I39" s="486"/>
      <c r="J39" s="120"/>
      <c r="K39" s="149"/>
      <c r="L39" s="145"/>
      <c r="M39" s="665">
        <f ca="1">M35+SUM(M37:M38)</f>
        <v>471.81673986380235</v>
      </c>
      <c r="O39" s="117"/>
      <c r="P39" s="117"/>
      <c r="Q39" s="117"/>
      <c r="R39" s="117"/>
      <c r="S39" s="517"/>
      <c r="T39" s="517"/>
      <c r="U39" s="517"/>
      <c r="V39" s="517"/>
      <c r="W39" s="519"/>
      <c r="X39" s="140"/>
      <c r="Y39" s="117"/>
    </row>
    <row r="40" spans="1:25" s="117" customFormat="1" ht="12.75" customHeight="1" thickTop="1">
      <c r="B40" s="155" t="s">
        <v>288</v>
      </c>
      <c r="C40" s="155"/>
      <c r="D40" s="155"/>
      <c r="E40" s="155"/>
      <c r="F40" s="155"/>
      <c r="G40" s="488">
        <f ca="1">G20-G39</f>
        <v>0</v>
      </c>
      <c r="H40" s="163"/>
      <c r="I40" s="134">
        <f ca="1">SUM(I9:I19)-SUM(I26:I38)</f>
        <v>0</v>
      </c>
      <c r="J40" s="117">
        <f t="shared" ref="J40:K40" si="6">SUM(J9:J19)-SUM(J26:J38)</f>
        <v>0</v>
      </c>
      <c r="K40" s="135">
        <f t="shared" ca="1" si="6"/>
        <v>0</v>
      </c>
      <c r="L40" s="163"/>
      <c r="M40" s="117">
        <f ca="1">SUM(M20)-SUM(M39)</f>
        <v>0</v>
      </c>
      <c r="O40" s="117" t="str">
        <f>B43</f>
        <v>2nd Lien Term Loan</v>
      </c>
      <c r="S40" s="554">
        <f>Financials!M114</f>
        <v>100</v>
      </c>
      <c r="T40" s="551"/>
      <c r="U40" s="552">
        <f>Y31</f>
        <v>100</v>
      </c>
      <c r="V40" s="556">
        <v>0</v>
      </c>
      <c r="W40" s="557">
        <v>0</v>
      </c>
      <c r="X40" s="140">
        <f>SUM(U40:W40)</f>
        <v>100</v>
      </c>
      <c r="Y40" s="161">
        <f>IFERROR(X40/S40,0)</f>
        <v>1</v>
      </c>
    </row>
    <row r="41" spans="1:25" s="117" customFormat="1" ht="12.75" customHeight="1">
      <c r="A41" s="144"/>
      <c r="B41" s="144"/>
      <c r="C41" s="144"/>
      <c r="D41" s="144"/>
      <c r="E41" s="144"/>
      <c r="F41" s="144"/>
      <c r="G41" s="144"/>
      <c r="I41" s="134"/>
      <c r="K41" s="135"/>
      <c r="M41" s="144"/>
      <c r="O41" s="117" t="s">
        <v>289</v>
      </c>
      <c r="Q41" s="144"/>
      <c r="R41" s="144"/>
      <c r="S41" s="554">
        <f>Financials!M123</f>
        <v>200</v>
      </c>
      <c r="T41" s="551"/>
      <c r="U41" s="594">
        <v>0</v>
      </c>
      <c r="V41" s="556">
        <v>0</v>
      </c>
      <c r="W41" s="553">
        <f ca="1">S11</f>
        <v>150.02082452097306</v>
      </c>
      <c r="X41" s="140">
        <f ca="1">SUM(U41:W41)</f>
        <v>150.02082452097306</v>
      </c>
      <c r="Y41" s="161">
        <f ca="1">IFERROR(X41/S41,0)</f>
        <v>0.75010412260486536</v>
      </c>
    </row>
    <row r="42" spans="1:25" s="117" customFormat="1" ht="12.75" customHeight="1">
      <c r="B42" s="164" t="s">
        <v>290</v>
      </c>
      <c r="C42" s="144"/>
      <c r="D42" s="144"/>
      <c r="E42" s="144"/>
      <c r="F42" s="144"/>
      <c r="G42" s="144"/>
      <c r="I42" s="134"/>
      <c r="K42" s="135"/>
      <c r="M42" s="144"/>
      <c r="O42" s="138" t="s">
        <v>291</v>
      </c>
      <c r="S42" s="667">
        <f>SUM(S40:S41)</f>
        <v>300</v>
      </c>
      <c r="T42" s="517"/>
      <c r="U42" s="667">
        <f>SUM(U40:U41)</f>
        <v>100</v>
      </c>
      <c r="V42" s="667">
        <f>SUM(V40:V41)</f>
        <v>0</v>
      </c>
      <c r="W42" s="671">
        <f ca="1">SUM(W40:W41)</f>
        <v>150.02082452097306</v>
      </c>
      <c r="X42" s="672">
        <f ca="1">SUM(X40:X41)</f>
        <v>250.02082452097306</v>
      </c>
      <c r="Y42" s="670">
        <f ca="1">IFERROR(X42/S42,0)</f>
        <v>0.83340274840324358</v>
      </c>
    </row>
    <row r="43" spans="1:25" s="117" customFormat="1" ht="12.75" customHeight="1">
      <c r="B43" s="117" t="s">
        <v>292</v>
      </c>
      <c r="G43" s="457">
        <f>Financials!I114</f>
        <v>100</v>
      </c>
      <c r="H43" s="165"/>
      <c r="I43" s="589">
        <f>-'Bankruptcy Filing JE'!G19</f>
        <v>-100</v>
      </c>
      <c r="J43" s="165"/>
      <c r="K43" s="166"/>
      <c r="L43" s="165"/>
      <c r="M43" s="167">
        <f>SUM(G43,I43,K43)</f>
        <v>0</v>
      </c>
      <c r="O43" s="138"/>
      <c r="S43" s="518"/>
      <c r="T43" s="517"/>
      <c r="U43" s="518"/>
      <c r="V43" s="518"/>
      <c r="W43" s="520"/>
      <c r="X43" s="515"/>
      <c r="Y43" s="516"/>
    </row>
    <row r="44" spans="1:25" s="144" customFormat="1" ht="12.75" customHeight="1">
      <c r="A44" s="117"/>
      <c r="B44" s="117" t="s">
        <v>289</v>
      </c>
      <c r="C44" s="117"/>
      <c r="D44" s="117"/>
      <c r="E44" s="117"/>
      <c r="F44" s="117"/>
      <c r="G44" s="457">
        <f>Financials!I123</f>
        <v>200</v>
      </c>
      <c r="H44" s="165"/>
      <c r="I44" s="589">
        <f>-'Bankruptcy Filing JE'!G20</f>
        <v>-200</v>
      </c>
      <c r="J44" s="165"/>
      <c r="K44" s="166"/>
      <c r="L44" s="165"/>
      <c r="M44" s="167">
        <f>SUM(G44,I44,K44)</f>
        <v>0</v>
      </c>
      <c r="O44" s="138" t="s">
        <v>293</v>
      </c>
      <c r="S44" s="551">
        <f>G37</f>
        <v>165</v>
      </c>
      <c r="T44" s="551"/>
      <c r="U44" s="556">
        <v>0</v>
      </c>
      <c r="V44" s="556">
        <v>0</v>
      </c>
      <c r="W44" s="583">
        <v>0</v>
      </c>
      <c r="X44" s="168">
        <f>SUM(U44:W44)</f>
        <v>0</v>
      </c>
      <c r="Y44" s="161">
        <f>IFERROR(X44/S44,0)</f>
        <v>0</v>
      </c>
    </row>
    <row r="45" spans="1:25" s="144" customFormat="1" ht="12.75" customHeight="1" thickBot="1">
      <c r="A45" s="117"/>
      <c r="B45" s="117" t="s">
        <v>294</v>
      </c>
      <c r="C45" s="117"/>
      <c r="D45" s="117"/>
      <c r="E45" s="117"/>
      <c r="F45" s="117"/>
      <c r="G45" s="457">
        <f>Financials!I312</f>
        <v>0</v>
      </c>
      <c r="H45" s="165"/>
      <c r="I45" s="134"/>
      <c r="J45" s="165"/>
      <c r="K45" s="166"/>
      <c r="L45" s="165"/>
      <c r="M45" s="167">
        <f>SUM(G45,I45,K45)</f>
        <v>0</v>
      </c>
      <c r="O45" s="521" t="s">
        <v>295</v>
      </c>
      <c r="P45" s="522"/>
      <c r="Q45" s="522"/>
      <c r="R45" s="522"/>
      <c r="S45" s="162">
        <f>S38+S42</f>
        <v>548.125</v>
      </c>
      <c r="T45" s="523"/>
      <c r="U45" s="162">
        <f>U38+U42</f>
        <v>348.125</v>
      </c>
      <c r="V45" s="162">
        <f>V38+V42</f>
        <v>0</v>
      </c>
      <c r="W45" s="524">
        <f ca="1">W38+W42</f>
        <v>150.02082452097306</v>
      </c>
      <c r="X45" s="525">
        <f ca="1">X38+X42</f>
        <v>498.14582452097306</v>
      </c>
      <c r="Y45" s="526">
        <f ca="1">IFERROR(X45/S45,0)</f>
        <v>0.90881792386950622</v>
      </c>
    </row>
    <row r="46" spans="1:25" s="117" customFormat="1" ht="12.75" customHeight="1" thickTop="1" thickBot="1">
      <c r="A46" s="144"/>
      <c r="B46" s="138" t="s">
        <v>196</v>
      </c>
      <c r="C46" s="144"/>
      <c r="D46" s="144"/>
      <c r="E46" s="144"/>
      <c r="F46" s="144"/>
      <c r="G46" s="162">
        <f>SUM(G43:G45)</f>
        <v>300</v>
      </c>
      <c r="H46" s="145"/>
      <c r="I46" s="169"/>
      <c r="J46" s="170"/>
      <c r="K46" s="171"/>
      <c r="L46" s="145"/>
      <c r="M46" s="172">
        <f>SUM(M43:M45)</f>
        <v>0</v>
      </c>
      <c r="O46" s="155"/>
      <c r="P46" s="155"/>
      <c r="Q46" s="155"/>
      <c r="R46" s="155"/>
      <c r="S46" s="155"/>
    </row>
    <row r="47" spans="1:25" s="144" customFormat="1" ht="15" thickTop="1">
      <c r="O47" s="138"/>
      <c r="S47" s="509"/>
      <c r="T47" s="117"/>
      <c r="U47" s="117"/>
      <c r="V47" s="117"/>
      <c r="W47" s="117"/>
      <c r="X47" s="117"/>
      <c r="Y47" s="117"/>
    </row>
    <row r="48" spans="1:25" s="117" customFormat="1" ht="6" customHeight="1">
      <c r="B48" s="173"/>
      <c r="C48" s="173"/>
      <c r="D48" s="173"/>
      <c r="E48" s="173"/>
      <c r="F48" s="173"/>
      <c r="G48" s="173"/>
      <c r="H48" s="173"/>
      <c r="I48" s="173"/>
      <c r="J48" s="173"/>
      <c r="K48" s="173"/>
      <c r="L48" s="173"/>
      <c r="M48" s="173"/>
      <c r="N48" s="173"/>
      <c r="O48" s="173"/>
      <c r="P48" s="173"/>
      <c r="Q48" s="173"/>
      <c r="R48" s="173"/>
      <c r="S48" s="173"/>
      <c r="T48" s="173"/>
      <c r="U48" s="173"/>
      <c r="V48" s="173"/>
      <c r="W48" s="173"/>
      <c r="X48" s="173"/>
      <c r="Y48" s="173"/>
    </row>
  </sheetData>
  <mergeCells count="1">
    <mergeCell ref="Q15:R15"/>
  </mergeCells>
  <conditionalFormatting sqref="G40">
    <cfRule type="expression" dxfId="0" priority="4">
      <formula>$G$40=0</formula>
    </cfRule>
  </conditionalFormatting>
  <pageMargins left="0.25" right="0.25" top="0.75" bottom="0.75" header="0" footer="0.3"/>
  <pageSetup paperSize="316" scale="81" fitToWidth="0" fitToHeight="0" orientation="landscape" r:id="rId1"/>
  <headerFooter>
    <oddFooter>&amp;L&amp;F - &amp;A&amp;Cpage &amp;P of &amp;N&amp;R&amp;D - &amp;T</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0"/>
  <sheetViews>
    <sheetView showGridLines="0" zoomScale="150" workbookViewId="0">
      <selection activeCell="B19" sqref="B19"/>
    </sheetView>
  </sheetViews>
  <sheetFormatPr defaultColWidth="9" defaultRowHeight="15"/>
  <cols>
    <col min="1" max="1" width="55.140625" customWidth="1"/>
    <col min="2" max="2" width="22.85546875" customWidth="1"/>
  </cols>
  <sheetData>
    <row r="1" spans="1:4" ht="15.95">
      <c r="A1" s="116" t="s">
        <v>296</v>
      </c>
    </row>
    <row r="2" spans="1:4">
      <c r="A2" s="558"/>
      <c r="B2" s="559"/>
    </row>
    <row r="3" spans="1:4">
      <c r="A3" t="s">
        <v>297</v>
      </c>
      <c r="B3" s="591">
        <f>Financials!M359</f>
        <v>65.586584085158705</v>
      </c>
    </row>
    <row r="4" spans="1:4">
      <c r="A4" s="560" t="s">
        <v>298</v>
      </c>
      <c r="B4" s="584">
        <f>Financials!N332</f>
        <v>0.33499999999999996</v>
      </c>
    </row>
    <row r="5" spans="1:4">
      <c r="A5" s="565" t="s">
        <v>299</v>
      </c>
      <c r="B5" s="563">
        <f>B3*B4</f>
        <v>21.971505668528163</v>
      </c>
      <c r="D5" s="592">
        <f>B5-Financials!M373</f>
        <v>0</v>
      </c>
    </row>
    <row r="8" spans="1:4">
      <c r="A8" s="558" t="s">
        <v>300</v>
      </c>
      <c r="B8" s="559"/>
    </row>
    <row r="9" spans="1:4">
      <c r="A9" t="s">
        <v>301</v>
      </c>
      <c r="B9" s="563">
        <f>B3</f>
        <v>65.586584085158705</v>
      </c>
    </row>
    <row r="10" spans="1:4">
      <c r="A10" s="560" t="s">
        <v>302</v>
      </c>
      <c r="B10" s="593">
        <f>-SUM('Recap-Fresh Start Schedule'!Y16:Y18)</f>
        <v>18.256590909090907</v>
      </c>
    </row>
    <row r="11" spans="1:4">
      <c r="A11" s="565" t="s">
        <v>303</v>
      </c>
      <c r="B11" s="563">
        <f>SUM(B9:B10)</f>
        <v>83.843174994249608</v>
      </c>
    </row>
    <row r="12" spans="1:4">
      <c r="A12" s="561"/>
      <c r="B12" s="562"/>
    </row>
    <row r="13" spans="1:4">
      <c r="A13" t="s">
        <v>304</v>
      </c>
      <c r="B13" s="591">
        <f ca="1">'Recap-Fresh Start JE'!J42</f>
        <v>49.979175479026935</v>
      </c>
    </row>
    <row r="14" spans="1:4">
      <c r="A14" t="s">
        <v>305</v>
      </c>
      <c r="B14" s="563">
        <f ca="1">MAX(-B11,-B13)</f>
        <v>-49.979175479026935</v>
      </c>
    </row>
    <row r="15" spans="1:4">
      <c r="A15" s="560" t="s">
        <v>306</v>
      </c>
      <c r="B15" s="564">
        <f ca="1">-SUM(B13:B14)</f>
        <v>0</v>
      </c>
    </row>
    <row r="16" spans="1:4">
      <c r="A16" s="565" t="s">
        <v>307</v>
      </c>
      <c r="B16" s="563">
        <f ca="1">SUM(B13:B15)</f>
        <v>0</v>
      </c>
    </row>
    <row r="17" spans="1:2">
      <c r="A17" s="561"/>
      <c r="B17" s="562"/>
    </row>
    <row r="18" spans="1:2">
      <c r="A18" t="s">
        <v>308</v>
      </c>
      <c r="B18" s="563">
        <f ca="1">B11+B14</f>
        <v>33.863999515222673</v>
      </c>
    </row>
    <row r="19" spans="1:2">
      <c r="A19" t="s">
        <v>309</v>
      </c>
      <c r="B19" s="563">
        <f ca="1">(B18-B3)*B4</f>
        <v>-10.62706583092857</v>
      </c>
    </row>
    <row r="20" spans="1:2">
      <c r="A20" t="s">
        <v>310</v>
      </c>
      <c r="B20" s="563">
        <f ca="1">-B15*B4</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University of Chicago</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Haresh Sapra</dc:creator>
  <cp:keywords/>
  <dc:description/>
  <cp:lastModifiedBy>Ruiyang Xu</cp:lastModifiedBy>
  <cp:revision/>
  <dcterms:created xsi:type="dcterms:W3CDTF">2009-02-12T23:20:56Z</dcterms:created>
  <dcterms:modified xsi:type="dcterms:W3CDTF">2024-10-08T05:43:25Z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oth-Year Format">
    <vt:i4>0</vt:i4>
  </property>
  <property fmtid="{D5CDD505-2E9C-101B-9397-08002B2CF9AE}" pid="3" name="Day">
    <vt:i4>20</vt:i4>
  </property>
  <property fmtid="{D5CDD505-2E9C-101B-9397-08002B2CF9AE}" pid="4" name="Month">
    <vt:i4>12</vt:i4>
  </property>
  <property fmtid="{D5CDD505-2E9C-101B-9397-08002B2CF9AE}" pid="5" name="Year">
    <vt:i4>2010</vt:i4>
  </property>
  <property fmtid="{D5CDD505-2E9C-101B-9397-08002B2CF9AE}" pid="6" name="Template Date">
    <vt:i4>8</vt:i4>
  </property>
</Properties>
</file>