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codeName="ThisWorkbook"/>
  <mc:AlternateContent xmlns:mc="http://schemas.openxmlformats.org/markup-compatibility/2006">
    <mc:Choice Requires="x15">
      <x15ac:absPath xmlns:x15ac="http://schemas.microsoft.com/office/spreadsheetml/2010/11/ac" url="C:\Users\rukesh\Desktop\Real Estate\"/>
    </mc:Choice>
  </mc:AlternateContent>
  <workbookProtection workbookPassword="BAA8" lockStructure="1"/>
  <bookViews>
    <workbookView xWindow="0" yWindow="0" windowWidth="20490" windowHeight="7530" tabRatio="800" activeTab="5" xr2:uid="{00000000-000D-0000-FFFF-FFFF00000000}"/>
  </bookViews>
  <sheets>
    <sheet name="Welcome" sheetId="15" r:id="rId1"/>
    <sheet name="Compound Interest" sheetId="1" r:id="rId2"/>
    <sheet name="Annual Property Operating Data" sheetId="2" r:id="rId3"/>
    <sheet name="Discounted Cash Flow" sheetId="3" r:id="rId4"/>
    <sheet name="Amortization Table" sheetId="4" r:id="rId5"/>
    <sheet name="Cash Flow" sheetId="5" r:id="rId6"/>
    <sheet name="Sale Proceeds" sheetId="6" r:id="rId7"/>
    <sheet name="Value of a Lease" sheetId="7" r:id="rId8"/>
    <sheet name="4 Annuity Functions" sheetId="8" r:id="rId9"/>
    <sheet name="Net Present Value" sheetId="9" r:id="rId10"/>
    <sheet name="Taxable Income" sheetId="10" r:id="rId11"/>
    <sheet name="Adjusted Basis" sheetId="11" r:id="rId12"/>
    <sheet name="Internal Rate of Return" sheetId="12" r:id="rId13"/>
    <sheet name="MIRR" sheetId="13" r:id="rId14"/>
    <sheet name="calcs" sheetId="16" state="veryHidden" r:id="rId15"/>
  </sheets>
  <definedNames>
    <definedName name="copyright">calcs!$C$2</definedName>
    <definedName name="_xlnm.Print_Area" localSheetId="2">'Annual Property Operating Data'!$B$2:$G$51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0" i="5" l="1"/>
  <c r="D22" i="5"/>
  <c r="D15" i="5"/>
  <c r="D13" i="2"/>
  <c r="C20" i="15"/>
  <c r="C8" i="11"/>
  <c r="B13" i="8"/>
  <c r="B43" i="5"/>
  <c r="B20" i="6"/>
  <c r="A22" i="9"/>
  <c r="B24" i="13"/>
  <c r="B21" i="12"/>
  <c r="B20" i="11"/>
  <c r="B40" i="10"/>
  <c r="B17" i="7"/>
  <c r="B3" i="4"/>
  <c r="B19" i="3"/>
  <c r="B51" i="2"/>
  <c r="B13" i="1"/>
  <c r="C21" i="13"/>
  <c r="C17" i="12"/>
  <c r="D16" i="11"/>
  <c r="C7" i="10"/>
  <c r="D13" i="10"/>
  <c r="D17" i="10"/>
  <c r="D26" i="10"/>
  <c r="D28" i="10"/>
  <c r="D36" i="10"/>
  <c r="C18" i="9"/>
  <c r="D10" i="8"/>
  <c r="C9" i="8"/>
  <c r="F8" i="8"/>
  <c r="E7" i="8"/>
  <c r="D8" i="7"/>
  <c r="D9" i="7"/>
  <c r="E9" i="7"/>
  <c r="F9" i="7"/>
  <c r="G9" i="7"/>
  <c r="H9" i="7"/>
  <c r="I9" i="7"/>
  <c r="J9" i="7"/>
  <c r="K9" i="7"/>
  <c r="L9" i="7"/>
  <c r="M9" i="7"/>
  <c r="N9" i="7"/>
  <c r="O9" i="7"/>
  <c r="D10" i="7"/>
  <c r="E10" i="7"/>
  <c r="F10" i="7"/>
  <c r="G10" i="7"/>
  <c r="H10" i="7"/>
  <c r="I10" i="7"/>
  <c r="J10" i="7"/>
  <c r="K10" i="7"/>
  <c r="L10" i="7"/>
  <c r="M10" i="7"/>
  <c r="N10" i="7"/>
  <c r="O10" i="7"/>
  <c r="D11" i="7"/>
  <c r="E11" i="7"/>
  <c r="F11" i="7"/>
  <c r="G11" i="7"/>
  <c r="H11" i="7"/>
  <c r="I11" i="7"/>
  <c r="J11" i="7"/>
  <c r="K11" i="7"/>
  <c r="L11" i="7"/>
  <c r="M11" i="7"/>
  <c r="N11" i="7"/>
  <c r="O11" i="7"/>
  <c r="D12" i="7"/>
  <c r="E12" i="7"/>
  <c r="F12" i="7"/>
  <c r="G12" i="7"/>
  <c r="H12" i="7"/>
  <c r="I12" i="7"/>
  <c r="J12" i="7"/>
  <c r="K12" i="7"/>
  <c r="L12" i="7"/>
  <c r="M12" i="7"/>
  <c r="N12" i="7"/>
  <c r="O12" i="7"/>
  <c r="C8" i="6"/>
  <c r="D15" i="6"/>
  <c r="D17" i="6"/>
  <c r="C7" i="5"/>
  <c r="D13" i="5"/>
  <c r="D17" i="5"/>
  <c r="D26" i="5"/>
  <c r="D28" i="5"/>
  <c r="D36" i="5"/>
  <c r="D40" i="5"/>
  <c r="C8" i="4"/>
  <c r="B11" i="4"/>
  <c r="B371" i="4"/>
  <c r="B71" i="4"/>
  <c r="B14" i="4"/>
  <c r="B446" i="4"/>
  <c r="B461" i="4"/>
  <c r="B476" i="4"/>
  <c r="D6" i="3"/>
  <c r="D7" i="3"/>
  <c r="D8" i="3"/>
  <c r="D9" i="3"/>
  <c r="D10" i="3"/>
  <c r="D11" i="3"/>
  <c r="D12" i="3"/>
  <c r="D13" i="3"/>
  <c r="D14" i="3"/>
  <c r="D15" i="3"/>
  <c r="C7" i="2"/>
  <c r="E12" i="2"/>
  <c r="D45" i="2"/>
  <c r="F7" i="1"/>
  <c r="C8" i="1"/>
  <c r="D9" i="1"/>
  <c r="E10" i="1"/>
  <c r="E8" i="7"/>
  <c r="F8" i="7"/>
  <c r="G8" i="7"/>
  <c r="H8" i="7"/>
  <c r="I8" i="7"/>
  <c r="J8" i="7"/>
  <c r="K8" i="7"/>
  <c r="L8" i="7"/>
  <c r="M8" i="7"/>
  <c r="N8" i="7"/>
  <c r="O8" i="7"/>
  <c r="F14" i="7"/>
  <c r="C14" i="4"/>
  <c r="D14" i="4"/>
  <c r="B131" i="4"/>
  <c r="B251" i="4"/>
  <c r="B266" i="4"/>
  <c r="B386" i="4"/>
  <c r="B26" i="4"/>
  <c r="B161" i="4"/>
  <c r="B281" i="4"/>
  <c r="B401" i="4"/>
  <c r="B296" i="4"/>
  <c r="B416" i="4"/>
  <c r="B86" i="4"/>
  <c r="B326" i="4"/>
  <c r="B101" i="4"/>
  <c r="B341" i="4"/>
  <c r="B356" i="4"/>
  <c r="B191" i="4"/>
  <c r="B431" i="4"/>
  <c r="B206" i="4"/>
  <c r="B221" i="4"/>
  <c r="B236" i="4"/>
  <c r="E15" i="2"/>
  <c r="D17" i="2"/>
  <c r="D47" i="2"/>
  <c r="E17" i="2"/>
  <c r="E11" i="2"/>
  <c r="E13" i="2"/>
  <c r="D16" i="3"/>
  <c r="E36" i="2"/>
  <c r="E25" i="2"/>
  <c r="E28" i="2"/>
  <c r="E30" i="2"/>
  <c r="E23" i="2"/>
  <c r="E31" i="2"/>
  <c r="E35" i="2"/>
  <c r="E42" i="2"/>
  <c r="E45" i="2"/>
  <c r="E20" i="2"/>
  <c r="E21" i="2"/>
  <c r="E27" i="2"/>
  <c r="E34" i="2"/>
  <c r="E26" i="2"/>
  <c r="E37" i="2"/>
  <c r="E24" i="2"/>
  <c r="E43" i="2"/>
  <c r="E29" i="2"/>
  <c r="E41" i="2"/>
  <c r="B116" i="4"/>
  <c r="B176" i="4"/>
  <c r="B146" i="4"/>
  <c r="B311" i="4"/>
  <c r="B41" i="4"/>
  <c r="B56" i="4"/>
  <c r="E33" i="2"/>
  <c r="E39" i="2"/>
  <c r="E44" i="2"/>
  <c r="E47" i="2"/>
  <c r="E22" i="2"/>
  <c r="E40" i="2"/>
  <c r="E14" i="4"/>
  <c r="B15" i="4"/>
  <c r="C15" i="4"/>
  <c r="D15" i="4"/>
  <c r="E15" i="4"/>
  <c r="C16" i="4"/>
  <c r="B16" i="4"/>
  <c r="D16" i="4"/>
  <c r="E16" i="4"/>
  <c r="C17" i="4"/>
  <c r="B17" i="4"/>
  <c r="D17" i="4"/>
  <c r="E17" i="4"/>
  <c r="B18" i="4"/>
  <c r="C18" i="4"/>
  <c r="D18" i="4"/>
  <c r="E18" i="4"/>
  <c r="B19" i="4"/>
  <c r="C19" i="4"/>
  <c r="D19" i="4"/>
  <c r="E19" i="4"/>
  <c r="C20" i="4"/>
  <c r="D20" i="4"/>
  <c r="E20" i="4"/>
  <c r="B20" i="4"/>
  <c r="B21" i="4"/>
  <c r="C21" i="4"/>
  <c r="D21" i="4"/>
  <c r="E21" i="4"/>
  <c r="C22" i="4"/>
  <c r="D22" i="4"/>
  <c r="E22" i="4"/>
  <c r="B22" i="4"/>
  <c r="B23" i="4"/>
  <c r="C23" i="4"/>
  <c r="D23" i="4"/>
  <c r="E23" i="4"/>
  <c r="B24" i="4"/>
  <c r="C24" i="4"/>
  <c r="D24" i="4"/>
  <c r="E24" i="4"/>
  <c r="C25" i="4"/>
  <c r="B25" i="4"/>
  <c r="D25" i="4"/>
  <c r="C26" i="4"/>
  <c r="E25" i="4"/>
  <c r="D26" i="4"/>
  <c r="B29" i="4"/>
  <c r="C29" i="4"/>
  <c r="D29" i="4"/>
  <c r="E29" i="4"/>
  <c r="C30" i="4"/>
  <c r="B30" i="4"/>
  <c r="D30" i="4"/>
  <c r="E30" i="4"/>
  <c r="B31" i="4"/>
  <c r="C31" i="4"/>
  <c r="D31" i="4"/>
  <c r="E31" i="4"/>
  <c r="C32" i="4"/>
  <c r="B32" i="4"/>
  <c r="D32" i="4"/>
  <c r="E32" i="4"/>
  <c r="B33" i="4"/>
  <c r="C33" i="4"/>
  <c r="D33" i="4"/>
  <c r="E33" i="4"/>
  <c r="C34" i="4"/>
  <c r="B34" i="4"/>
  <c r="D34" i="4"/>
  <c r="E34" i="4"/>
  <c r="B35" i="4"/>
  <c r="C35" i="4"/>
  <c r="D35" i="4"/>
  <c r="E35" i="4"/>
  <c r="B36" i="4"/>
  <c r="C36" i="4"/>
  <c r="D36" i="4"/>
  <c r="E36" i="4"/>
  <c r="B37" i="4"/>
  <c r="C37" i="4"/>
  <c r="D37" i="4"/>
  <c r="E37" i="4"/>
  <c r="C38" i="4"/>
  <c r="B38" i="4"/>
  <c r="D38" i="4"/>
  <c r="E38" i="4"/>
  <c r="B39" i="4"/>
  <c r="C39" i="4"/>
  <c r="D39" i="4"/>
  <c r="E39" i="4"/>
  <c r="C40" i="4"/>
  <c r="C41" i="4"/>
  <c r="B40" i="4"/>
  <c r="D40" i="4"/>
  <c r="D41" i="4"/>
  <c r="E40" i="4"/>
  <c r="B44" i="4"/>
  <c r="C44" i="4"/>
  <c r="D44" i="4"/>
  <c r="E44" i="4"/>
  <c r="B45" i="4"/>
  <c r="C45" i="4"/>
  <c r="D45" i="4"/>
  <c r="E45" i="4"/>
  <c r="B46" i="4"/>
  <c r="C46" i="4"/>
  <c r="D46" i="4"/>
  <c r="E46" i="4"/>
  <c r="B47" i="4"/>
  <c r="C47" i="4"/>
  <c r="D47" i="4"/>
  <c r="E47" i="4"/>
  <c r="B48" i="4"/>
  <c r="C48" i="4"/>
  <c r="D48" i="4"/>
  <c r="E48" i="4"/>
  <c r="B49" i="4"/>
  <c r="C49" i="4"/>
  <c r="D49" i="4"/>
  <c r="E49" i="4"/>
  <c r="B50" i="4"/>
  <c r="C50" i="4"/>
  <c r="D50" i="4"/>
  <c r="E50" i="4"/>
  <c r="B51" i="4"/>
  <c r="C51" i="4"/>
  <c r="D51" i="4"/>
  <c r="E51" i="4"/>
  <c r="B52" i="4"/>
  <c r="C52" i="4"/>
  <c r="D52" i="4"/>
  <c r="E52" i="4"/>
  <c r="B53" i="4"/>
  <c r="C53" i="4"/>
  <c r="D53" i="4"/>
  <c r="E53" i="4"/>
  <c r="B54" i="4"/>
  <c r="C54" i="4"/>
  <c r="D54" i="4"/>
  <c r="E54" i="4"/>
  <c r="C55" i="4"/>
  <c r="C56" i="4"/>
  <c r="B55" i="4"/>
  <c r="D55" i="4"/>
  <c r="D56" i="4"/>
  <c r="E55" i="4"/>
  <c r="C59" i="4"/>
  <c r="D59" i="4"/>
  <c r="B59" i="4"/>
  <c r="E59" i="4"/>
  <c r="B60" i="4"/>
  <c r="C60" i="4"/>
  <c r="D60" i="4"/>
  <c r="E60" i="4"/>
  <c r="B61" i="4"/>
  <c r="C61" i="4"/>
  <c r="D61" i="4"/>
  <c r="E61" i="4"/>
  <c r="B62" i="4"/>
  <c r="C62" i="4"/>
  <c r="D62" i="4"/>
  <c r="E62" i="4"/>
  <c r="B63" i="4"/>
  <c r="C63" i="4"/>
  <c r="D63" i="4"/>
  <c r="E63" i="4"/>
  <c r="B64" i="4"/>
  <c r="C64" i="4"/>
  <c r="D64" i="4"/>
  <c r="E64" i="4"/>
  <c r="B65" i="4"/>
  <c r="C65" i="4"/>
  <c r="D65" i="4"/>
  <c r="E65" i="4"/>
  <c r="C66" i="4"/>
  <c r="D66" i="4"/>
  <c r="E66" i="4"/>
  <c r="B66" i="4"/>
  <c r="C67" i="4"/>
  <c r="D67" i="4"/>
  <c r="E67" i="4"/>
  <c r="B67" i="4"/>
  <c r="B68" i="4"/>
  <c r="C68" i="4"/>
  <c r="D68" i="4"/>
  <c r="E68" i="4"/>
  <c r="B69" i="4"/>
  <c r="C69" i="4"/>
  <c r="D69" i="4"/>
  <c r="E69" i="4"/>
  <c r="B70" i="4"/>
  <c r="C70" i="4"/>
  <c r="C71" i="4"/>
  <c r="D70" i="4"/>
  <c r="D71" i="4"/>
  <c r="E70" i="4"/>
  <c r="B74" i="4"/>
  <c r="C74" i="4"/>
  <c r="D74" i="4"/>
  <c r="E74" i="4"/>
  <c r="C75" i="4"/>
  <c r="D75" i="4"/>
  <c r="B75" i="4"/>
  <c r="E75" i="4"/>
  <c r="B76" i="4"/>
  <c r="C76" i="4"/>
  <c r="D76" i="4"/>
  <c r="E76" i="4"/>
  <c r="B77" i="4"/>
  <c r="C77" i="4"/>
  <c r="D77" i="4"/>
  <c r="E77" i="4"/>
  <c r="B78" i="4"/>
  <c r="C78" i="4"/>
  <c r="D78" i="4"/>
  <c r="E78" i="4"/>
  <c r="B79" i="4"/>
  <c r="C79" i="4"/>
  <c r="D79" i="4"/>
  <c r="E79" i="4"/>
  <c r="B80" i="4"/>
  <c r="C80" i="4"/>
  <c r="D80" i="4"/>
  <c r="E80" i="4"/>
  <c r="B81" i="4"/>
  <c r="C81" i="4"/>
  <c r="D81" i="4"/>
  <c r="E81" i="4"/>
  <c r="B82" i="4"/>
  <c r="C82" i="4"/>
  <c r="D82" i="4"/>
  <c r="E82" i="4"/>
  <c r="B83" i="4"/>
  <c r="C83" i="4"/>
  <c r="D83" i="4"/>
  <c r="E83" i="4"/>
  <c r="C84" i="4"/>
  <c r="D84" i="4"/>
  <c r="E84" i="4"/>
  <c r="B84" i="4"/>
  <c r="C85" i="4"/>
  <c r="C86" i="4"/>
  <c r="B85" i="4"/>
  <c r="D85" i="4"/>
  <c r="D86" i="4"/>
  <c r="E85" i="4"/>
  <c r="C89" i="4"/>
  <c r="B89" i="4"/>
  <c r="D89" i="4"/>
  <c r="E89" i="4"/>
  <c r="B90" i="4"/>
  <c r="C90" i="4"/>
  <c r="D90" i="4"/>
  <c r="E90" i="4"/>
  <c r="B91" i="4"/>
  <c r="C91" i="4"/>
  <c r="D91" i="4"/>
  <c r="E91" i="4"/>
  <c r="B92" i="4"/>
  <c r="C92" i="4"/>
  <c r="D92" i="4"/>
  <c r="E92" i="4"/>
  <c r="B93" i="4"/>
  <c r="C93" i="4"/>
  <c r="D93" i="4"/>
  <c r="E93" i="4"/>
  <c r="B94" i="4"/>
  <c r="C94" i="4"/>
  <c r="D94" i="4"/>
  <c r="E94" i="4"/>
  <c r="C95" i="4"/>
  <c r="B95" i="4"/>
  <c r="D95" i="4"/>
  <c r="E95" i="4"/>
  <c r="B96" i="4"/>
  <c r="C96" i="4"/>
  <c r="D96" i="4"/>
  <c r="E96" i="4"/>
  <c r="C97" i="4"/>
  <c r="B97" i="4"/>
  <c r="D97" i="4"/>
  <c r="E97" i="4"/>
  <c r="B98" i="4"/>
  <c r="C98" i="4"/>
  <c r="D98" i="4"/>
  <c r="E98" i="4"/>
  <c r="C99" i="4"/>
  <c r="B99" i="4"/>
  <c r="D99" i="4"/>
  <c r="E99" i="4"/>
  <c r="B100" i="4"/>
  <c r="C100" i="4"/>
  <c r="C101" i="4"/>
  <c r="D100" i="4"/>
  <c r="D101" i="4"/>
  <c r="E100" i="4"/>
  <c r="C104" i="4"/>
  <c r="D104" i="4"/>
  <c r="B104" i="4"/>
  <c r="E104" i="4"/>
  <c r="C105" i="4"/>
  <c r="D105" i="4"/>
  <c r="B105" i="4"/>
  <c r="E105" i="4"/>
  <c r="C106" i="4"/>
  <c r="D106" i="4"/>
  <c r="E106" i="4"/>
  <c r="B106" i="4"/>
  <c r="C107" i="4"/>
  <c r="D107" i="4"/>
  <c r="E107" i="4"/>
  <c r="B107" i="4"/>
  <c r="C108" i="4"/>
  <c r="B108" i="4"/>
  <c r="D108" i="4"/>
  <c r="E108" i="4"/>
  <c r="C109" i="4"/>
  <c r="D109" i="4"/>
  <c r="E109" i="4"/>
  <c r="B109" i="4"/>
  <c r="C110" i="4"/>
  <c r="D110" i="4"/>
  <c r="E110" i="4"/>
  <c r="B110" i="4"/>
  <c r="C111" i="4"/>
  <c r="D111" i="4"/>
  <c r="E111" i="4"/>
  <c r="B111" i="4"/>
  <c r="B112" i="4"/>
  <c r="C112" i="4"/>
  <c r="D112" i="4"/>
  <c r="E112" i="4"/>
  <c r="C113" i="4"/>
  <c r="D113" i="4"/>
  <c r="E113" i="4"/>
  <c r="B113" i="4"/>
  <c r="C114" i="4"/>
  <c r="D114" i="4"/>
  <c r="E114" i="4"/>
  <c r="B114" i="4"/>
  <c r="C115" i="4"/>
  <c r="C116" i="4"/>
  <c r="B115" i="4"/>
  <c r="D115" i="4"/>
  <c r="D116" i="4"/>
  <c r="E115" i="4"/>
  <c r="B119" i="4"/>
  <c r="C119" i="4"/>
  <c r="D119" i="4"/>
  <c r="E119" i="4"/>
  <c r="B120" i="4"/>
  <c r="C120" i="4"/>
  <c r="D120" i="4"/>
  <c r="E120" i="4"/>
  <c r="B121" i="4"/>
  <c r="C121" i="4"/>
  <c r="D121" i="4"/>
  <c r="E121" i="4"/>
  <c r="B122" i="4"/>
  <c r="C122" i="4"/>
  <c r="D122" i="4"/>
  <c r="E122" i="4"/>
  <c r="B123" i="4"/>
  <c r="C123" i="4"/>
  <c r="D123" i="4"/>
  <c r="E123" i="4"/>
  <c r="B124" i="4"/>
  <c r="C124" i="4"/>
  <c r="D124" i="4"/>
  <c r="E124" i="4"/>
  <c r="B125" i="4"/>
  <c r="C125" i="4"/>
  <c r="D125" i="4"/>
  <c r="E125" i="4"/>
  <c r="B126" i="4"/>
  <c r="C126" i="4"/>
  <c r="D126" i="4"/>
  <c r="E126" i="4"/>
  <c r="B127" i="4"/>
  <c r="C127" i="4"/>
  <c r="D127" i="4"/>
  <c r="E127" i="4"/>
  <c r="B128" i="4"/>
  <c r="C128" i="4"/>
  <c r="D128" i="4"/>
  <c r="E128" i="4"/>
  <c r="B129" i="4"/>
  <c r="C129" i="4"/>
  <c r="D129" i="4"/>
  <c r="E129" i="4"/>
  <c r="B130" i="4"/>
  <c r="C130" i="4"/>
  <c r="C131" i="4"/>
  <c r="D130" i="4"/>
  <c r="D131" i="4"/>
  <c r="E130" i="4"/>
  <c r="B134" i="4"/>
  <c r="C134" i="4"/>
  <c r="D134" i="4"/>
  <c r="E134" i="4"/>
  <c r="C135" i="4"/>
  <c r="B135" i="4"/>
  <c r="D135" i="4"/>
  <c r="E135" i="4"/>
  <c r="C136" i="4"/>
  <c r="D136" i="4"/>
  <c r="B136" i="4"/>
  <c r="E136" i="4"/>
  <c r="C137" i="4"/>
  <c r="B137" i="4"/>
  <c r="D137" i="4"/>
  <c r="E137" i="4"/>
  <c r="C138" i="4"/>
  <c r="D138" i="4"/>
  <c r="E138" i="4"/>
  <c r="B138" i="4"/>
  <c r="C139" i="4"/>
  <c r="D139" i="4"/>
  <c r="E139" i="4"/>
  <c r="B139" i="4"/>
  <c r="C140" i="4"/>
  <c r="D140" i="4"/>
  <c r="E140" i="4"/>
  <c r="B140" i="4"/>
  <c r="C141" i="4"/>
  <c r="D141" i="4"/>
  <c r="E141" i="4"/>
  <c r="B141" i="4"/>
  <c r="C142" i="4"/>
  <c r="D142" i="4"/>
  <c r="E142" i="4"/>
  <c r="B142" i="4"/>
  <c r="B143" i="4"/>
  <c r="C143" i="4"/>
  <c r="D143" i="4"/>
  <c r="E143" i="4"/>
  <c r="C144" i="4"/>
  <c r="D144" i="4"/>
  <c r="E144" i="4"/>
  <c r="B144" i="4"/>
  <c r="C145" i="4"/>
  <c r="C146" i="4"/>
  <c r="B145" i="4"/>
  <c r="D145" i="4"/>
  <c r="D146" i="4"/>
  <c r="E145" i="4"/>
  <c r="C149" i="4"/>
  <c r="D149" i="4"/>
  <c r="B149" i="4"/>
  <c r="E149" i="4"/>
  <c r="B150" i="4"/>
  <c r="C150" i="4"/>
  <c r="D150" i="4"/>
  <c r="E150" i="4"/>
  <c r="B151" i="4"/>
  <c r="C151" i="4"/>
  <c r="D151" i="4"/>
  <c r="E151" i="4"/>
  <c r="B152" i="4"/>
  <c r="C152" i="4"/>
  <c r="D152" i="4"/>
  <c r="E152" i="4"/>
  <c r="C153" i="4"/>
  <c r="B153" i="4"/>
  <c r="D153" i="4"/>
  <c r="E153" i="4"/>
  <c r="B154" i="4"/>
  <c r="C154" i="4"/>
  <c r="D154" i="4"/>
  <c r="E154" i="4"/>
  <c r="B155" i="4"/>
  <c r="C155" i="4"/>
  <c r="D155" i="4"/>
  <c r="E155" i="4"/>
  <c r="B156" i="4"/>
  <c r="C156" i="4"/>
  <c r="D156" i="4"/>
  <c r="E156" i="4"/>
  <c r="B157" i="4"/>
  <c r="C157" i="4"/>
  <c r="D157" i="4"/>
  <c r="E157" i="4"/>
  <c r="B158" i="4"/>
  <c r="C158" i="4"/>
  <c r="D158" i="4"/>
  <c r="E158" i="4"/>
  <c r="B159" i="4"/>
  <c r="C159" i="4"/>
  <c r="D159" i="4"/>
  <c r="E159" i="4"/>
  <c r="B160" i="4"/>
  <c r="C160" i="4"/>
  <c r="C161" i="4"/>
  <c r="D160" i="4"/>
  <c r="D161" i="4"/>
  <c r="E160" i="4"/>
  <c r="C164" i="4"/>
  <c r="D164" i="4"/>
  <c r="E164" i="4"/>
  <c r="B164" i="4"/>
  <c r="C165" i="4"/>
  <c r="D165" i="4"/>
  <c r="B165" i="4"/>
  <c r="E165" i="4"/>
  <c r="C166" i="4"/>
  <c r="B166" i="4"/>
  <c r="D166" i="4"/>
  <c r="E166" i="4"/>
  <c r="C167" i="4"/>
  <c r="D167" i="4"/>
  <c r="E167" i="4"/>
  <c r="B167" i="4"/>
  <c r="C168" i="4"/>
  <c r="B168" i="4"/>
  <c r="D168" i="4"/>
  <c r="E168" i="4"/>
  <c r="C169" i="4"/>
  <c r="D169" i="4"/>
  <c r="E169" i="4"/>
  <c r="B169" i="4"/>
  <c r="B170" i="4"/>
  <c r="C170" i="4"/>
  <c r="D170" i="4"/>
  <c r="E170" i="4"/>
  <c r="C171" i="4"/>
  <c r="D171" i="4"/>
  <c r="E171" i="4"/>
  <c r="B171" i="4"/>
  <c r="C172" i="4"/>
  <c r="D172" i="4"/>
  <c r="E172" i="4"/>
  <c r="B172" i="4"/>
  <c r="C173" i="4"/>
  <c r="D173" i="4"/>
  <c r="E173" i="4"/>
  <c r="B173" i="4"/>
  <c r="C174" i="4"/>
  <c r="B174" i="4"/>
  <c r="D174" i="4"/>
  <c r="E174" i="4"/>
  <c r="B175" i="4"/>
  <c r="C175" i="4"/>
  <c r="C176" i="4"/>
  <c r="D175" i="4"/>
  <c r="D176" i="4"/>
  <c r="E175" i="4"/>
  <c r="B179" i="4"/>
  <c r="C179" i="4"/>
  <c r="D179" i="4"/>
  <c r="E179" i="4"/>
  <c r="B180" i="4"/>
  <c r="C180" i="4"/>
  <c r="D180" i="4"/>
  <c r="E180" i="4"/>
  <c r="B181" i="4"/>
  <c r="C181" i="4"/>
  <c r="D181" i="4"/>
  <c r="E181" i="4"/>
  <c r="B182" i="4"/>
  <c r="C182" i="4"/>
  <c r="D182" i="4"/>
  <c r="E182" i="4"/>
  <c r="B183" i="4"/>
  <c r="C183" i="4"/>
  <c r="D183" i="4"/>
  <c r="E183" i="4"/>
  <c r="C184" i="4"/>
  <c r="D184" i="4"/>
  <c r="E184" i="4"/>
  <c r="B184" i="4"/>
  <c r="B185" i="4"/>
  <c r="C185" i="4"/>
  <c r="D185" i="4"/>
  <c r="E185" i="4"/>
  <c r="C186" i="4"/>
  <c r="B186" i="4"/>
  <c r="D186" i="4"/>
  <c r="E186" i="4"/>
  <c r="C187" i="4"/>
  <c r="D187" i="4"/>
  <c r="E187" i="4"/>
  <c r="B187" i="4"/>
  <c r="B188" i="4"/>
  <c r="C188" i="4"/>
  <c r="D188" i="4"/>
  <c r="E188" i="4"/>
  <c r="B189" i="4"/>
  <c r="C189" i="4"/>
  <c r="D189" i="4"/>
  <c r="E189" i="4"/>
  <c r="B190" i="4"/>
  <c r="C190" i="4"/>
  <c r="C191" i="4"/>
  <c r="D190" i="4"/>
  <c r="D191" i="4"/>
  <c r="E190" i="4"/>
  <c r="B194" i="4"/>
  <c r="C194" i="4"/>
  <c r="D194" i="4"/>
  <c r="E194" i="4"/>
  <c r="C195" i="4"/>
  <c r="D195" i="4"/>
  <c r="B195" i="4"/>
  <c r="E195" i="4"/>
  <c r="B196" i="4"/>
  <c r="C196" i="4"/>
  <c r="D196" i="4"/>
  <c r="E196" i="4"/>
  <c r="C197" i="4"/>
  <c r="B197" i="4"/>
  <c r="D197" i="4"/>
  <c r="E197" i="4"/>
  <c r="B198" i="4"/>
  <c r="C198" i="4"/>
  <c r="D198" i="4"/>
  <c r="E198" i="4"/>
  <c r="C199" i="4"/>
  <c r="B199" i="4"/>
  <c r="D199" i="4"/>
  <c r="E199" i="4"/>
  <c r="B200" i="4"/>
  <c r="C200" i="4"/>
  <c r="D200" i="4"/>
  <c r="E200" i="4"/>
  <c r="C201" i="4"/>
  <c r="B201" i="4"/>
  <c r="D201" i="4"/>
  <c r="E201" i="4"/>
  <c r="C202" i="4"/>
  <c r="B202" i="4"/>
  <c r="D202" i="4"/>
  <c r="E202" i="4"/>
  <c r="C203" i="4"/>
  <c r="B203" i="4"/>
  <c r="D203" i="4"/>
  <c r="E203" i="4"/>
  <c r="C204" i="4"/>
  <c r="D204" i="4"/>
  <c r="E204" i="4"/>
  <c r="B204" i="4"/>
  <c r="B205" i="4"/>
  <c r="C205" i="4"/>
  <c r="C206" i="4"/>
  <c r="D205" i="4"/>
  <c r="D206" i="4"/>
  <c r="E205" i="4"/>
  <c r="B209" i="4"/>
  <c r="C209" i="4"/>
  <c r="D209" i="4"/>
  <c r="E209" i="4"/>
  <c r="C210" i="4"/>
  <c r="D210" i="4"/>
  <c r="B210" i="4"/>
  <c r="E210" i="4"/>
  <c r="C211" i="4"/>
  <c r="B211" i="4"/>
  <c r="D211" i="4"/>
  <c r="E211" i="4"/>
  <c r="B212" i="4"/>
  <c r="C212" i="4"/>
  <c r="D212" i="4"/>
  <c r="E212" i="4"/>
  <c r="C213" i="4"/>
  <c r="D213" i="4"/>
  <c r="E213" i="4"/>
  <c r="B213" i="4"/>
  <c r="B214" i="4"/>
  <c r="C214" i="4"/>
  <c r="D214" i="4"/>
  <c r="E214" i="4"/>
  <c r="C215" i="4"/>
  <c r="B215" i="4"/>
  <c r="D215" i="4"/>
  <c r="E215" i="4"/>
  <c r="C216" i="4"/>
  <c r="D216" i="4"/>
  <c r="E216" i="4"/>
  <c r="B216" i="4"/>
  <c r="B217" i="4"/>
  <c r="C217" i="4"/>
  <c r="D217" i="4"/>
  <c r="E217" i="4"/>
  <c r="B218" i="4"/>
  <c r="C218" i="4"/>
  <c r="D218" i="4"/>
  <c r="E218" i="4"/>
  <c r="C219" i="4"/>
  <c r="D219" i="4"/>
  <c r="E219" i="4"/>
  <c r="B219" i="4"/>
  <c r="B220" i="4"/>
  <c r="C220" i="4"/>
  <c r="C221" i="4"/>
  <c r="D220" i="4"/>
  <c r="D221" i="4"/>
  <c r="E220" i="4"/>
  <c r="C224" i="4"/>
  <c r="D224" i="4"/>
  <c r="E224" i="4"/>
  <c r="B224" i="4"/>
  <c r="C225" i="4"/>
  <c r="D225" i="4"/>
  <c r="B225" i="4"/>
  <c r="E225" i="4"/>
  <c r="C226" i="4"/>
  <c r="D226" i="4"/>
  <c r="E226" i="4"/>
  <c r="B226" i="4"/>
  <c r="B227" i="4"/>
  <c r="C227" i="4"/>
  <c r="D227" i="4"/>
  <c r="E227" i="4"/>
  <c r="C228" i="4"/>
  <c r="D228" i="4"/>
  <c r="E228" i="4"/>
  <c r="B228" i="4"/>
  <c r="B229" i="4"/>
  <c r="C229" i="4"/>
  <c r="D229" i="4"/>
  <c r="E229" i="4"/>
  <c r="B230" i="4"/>
  <c r="C230" i="4"/>
  <c r="D230" i="4"/>
  <c r="E230" i="4"/>
  <c r="B231" i="4"/>
  <c r="C231" i="4"/>
  <c r="D231" i="4"/>
  <c r="E231" i="4"/>
  <c r="B232" i="4"/>
  <c r="C232" i="4"/>
  <c r="D232" i="4"/>
  <c r="E232" i="4"/>
  <c r="B233" i="4"/>
  <c r="C233" i="4"/>
  <c r="D233" i="4"/>
  <c r="E233" i="4"/>
  <c r="C234" i="4"/>
  <c r="D234" i="4"/>
  <c r="E234" i="4"/>
  <c r="B234" i="4"/>
  <c r="B235" i="4"/>
  <c r="C235" i="4"/>
  <c r="C236" i="4"/>
  <c r="D235" i="4"/>
  <c r="D236" i="4"/>
  <c r="E235" i="4"/>
  <c r="B239" i="4"/>
  <c r="C239" i="4"/>
  <c r="D239" i="4"/>
  <c r="E239" i="4"/>
  <c r="C240" i="4"/>
  <c r="B240" i="4"/>
  <c r="D240" i="4"/>
  <c r="E240" i="4"/>
  <c r="B241" i="4"/>
  <c r="C241" i="4"/>
  <c r="D241" i="4"/>
  <c r="E241" i="4"/>
  <c r="C242" i="4"/>
  <c r="D242" i="4"/>
  <c r="E242" i="4"/>
  <c r="B242" i="4"/>
  <c r="B243" i="4"/>
  <c r="C243" i="4"/>
  <c r="D243" i="4"/>
  <c r="E243" i="4"/>
  <c r="B244" i="4"/>
  <c r="C244" i="4"/>
  <c r="D244" i="4"/>
  <c r="E244" i="4"/>
  <c r="B245" i="4"/>
  <c r="C245" i="4"/>
  <c r="D245" i="4"/>
  <c r="E245" i="4"/>
  <c r="B246" i="4"/>
  <c r="C246" i="4"/>
  <c r="D246" i="4"/>
  <c r="E246" i="4"/>
  <c r="B247" i="4"/>
  <c r="C247" i="4"/>
  <c r="D247" i="4"/>
  <c r="E247" i="4"/>
  <c r="B248" i="4"/>
  <c r="C248" i="4"/>
  <c r="D248" i="4"/>
  <c r="E248" i="4"/>
  <c r="B249" i="4"/>
  <c r="C249" i="4"/>
  <c r="D249" i="4"/>
  <c r="E249" i="4"/>
  <c r="B250" i="4"/>
  <c r="C250" i="4"/>
  <c r="C251" i="4"/>
  <c r="D250" i="4"/>
  <c r="D251" i="4"/>
  <c r="E250" i="4"/>
  <c r="B254" i="4"/>
  <c r="C254" i="4"/>
  <c r="D254" i="4"/>
  <c r="E254" i="4"/>
  <c r="B255" i="4"/>
  <c r="C255" i="4"/>
  <c r="D255" i="4"/>
  <c r="E255" i="4"/>
  <c r="B256" i="4"/>
  <c r="C256" i="4"/>
  <c r="D256" i="4"/>
  <c r="E256" i="4"/>
  <c r="B257" i="4"/>
  <c r="C257" i="4"/>
  <c r="D257" i="4"/>
  <c r="E257" i="4"/>
  <c r="B258" i="4"/>
  <c r="C258" i="4"/>
  <c r="D258" i="4"/>
  <c r="E258" i="4"/>
  <c r="B259" i="4"/>
  <c r="C259" i="4"/>
  <c r="D259" i="4"/>
  <c r="E259" i="4"/>
  <c r="B260" i="4"/>
  <c r="C260" i="4"/>
  <c r="D260" i="4"/>
  <c r="E260" i="4"/>
  <c r="B261" i="4"/>
  <c r="C261" i="4"/>
  <c r="D261" i="4"/>
  <c r="E261" i="4"/>
  <c r="C262" i="4"/>
  <c r="D262" i="4"/>
  <c r="E262" i="4"/>
  <c r="B262" i="4"/>
  <c r="B263" i="4"/>
  <c r="C263" i="4"/>
  <c r="D263" i="4"/>
  <c r="E263" i="4"/>
  <c r="B264" i="4"/>
  <c r="C264" i="4"/>
  <c r="D264" i="4"/>
  <c r="E264" i="4"/>
  <c r="B265" i="4"/>
  <c r="C265" i="4"/>
  <c r="C266" i="4"/>
  <c r="D265" i="4"/>
  <c r="D266" i="4"/>
  <c r="E265" i="4"/>
  <c r="C269" i="4"/>
  <c r="D269" i="4"/>
  <c r="B269" i="4"/>
  <c r="E269" i="4"/>
  <c r="B270" i="4"/>
  <c r="C270" i="4"/>
  <c r="D270" i="4"/>
  <c r="E270" i="4"/>
  <c r="B271" i="4"/>
  <c r="C271" i="4"/>
  <c r="D271" i="4"/>
  <c r="E271" i="4"/>
  <c r="B272" i="4"/>
  <c r="C272" i="4"/>
  <c r="D272" i="4"/>
  <c r="E272" i="4"/>
  <c r="B273" i="4"/>
  <c r="C273" i="4"/>
  <c r="D273" i="4"/>
  <c r="E273" i="4"/>
  <c r="B274" i="4"/>
  <c r="C274" i="4"/>
  <c r="D274" i="4"/>
  <c r="E274" i="4"/>
  <c r="B275" i="4"/>
  <c r="C275" i="4"/>
  <c r="D275" i="4"/>
  <c r="E275" i="4"/>
  <c r="B276" i="4"/>
  <c r="C276" i="4"/>
  <c r="D276" i="4"/>
  <c r="E276" i="4"/>
  <c r="B277" i="4"/>
  <c r="C277" i="4"/>
  <c r="D277" i="4"/>
  <c r="E277" i="4"/>
  <c r="B278" i="4"/>
  <c r="C278" i="4"/>
  <c r="D278" i="4"/>
  <c r="E278" i="4"/>
  <c r="B279" i="4"/>
  <c r="C279" i="4"/>
  <c r="D279" i="4"/>
  <c r="E279" i="4"/>
  <c r="B280" i="4"/>
  <c r="C280" i="4"/>
  <c r="C281" i="4"/>
  <c r="D280" i="4"/>
  <c r="D281" i="4"/>
  <c r="E280" i="4"/>
  <c r="B284" i="4"/>
  <c r="C284" i="4"/>
  <c r="D284" i="4"/>
  <c r="E284" i="4"/>
  <c r="B285" i="4"/>
  <c r="C285" i="4"/>
  <c r="D285" i="4"/>
  <c r="E285" i="4"/>
  <c r="C286" i="4"/>
  <c r="B286" i="4"/>
  <c r="D286" i="4"/>
  <c r="E286" i="4"/>
  <c r="B287" i="4"/>
  <c r="C287" i="4"/>
  <c r="D287" i="4"/>
  <c r="E287" i="4"/>
  <c r="C288" i="4"/>
  <c r="B288" i="4"/>
  <c r="D288" i="4"/>
  <c r="E288" i="4"/>
  <c r="B289" i="4"/>
  <c r="C289" i="4"/>
  <c r="D289" i="4"/>
  <c r="E289" i="4"/>
  <c r="C290" i="4"/>
  <c r="B290" i="4"/>
  <c r="D290" i="4"/>
  <c r="E290" i="4"/>
  <c r="B291" i="4"/>
  <c r="C291" i="4"/>
  <c r="D291" i="4"/>
  <c r="E291" i="4"/>
  <c r="C292" i="4"/>
  <c r="D292" i="4"/>
  <c r="E292" i="4"/>
  <c r="B292" i="4"/>
  <c r="B293" i="4"/>
  <c r="C293" i="4"/>
  <c r="D293" i="4"/>
  <c r="E293" i="4"/>
  <c r="C294" i="4"/>
  <c r="D294" i="4"/>
  <c r="E294" i="4"/>
  <c r="B294" i="4"/>
  <c r="B295" i="4"/>
  <c r="C295" i="4"/>
  <c r="C296" i="4"/>
  <c r="D295" i="4"/>
  <c r="D296" i="4"/>
  <c r="E295" i="4"/>
  <c r="B299" i="4"/>
  <c r="C299" i="4"/>
  <c r="D299" i="4"/>
  <c r="E299" i="4"/>
  <c r="B300" i="4"/>
  <c r="C300" i="4"/>
  <c r="D300" i="4"/>
  <c r="E300" i="4"/>
  <c r="B301" i="4"/>
  <c r="C301" i="4"/>
  <c r="D301" i="4"/>
  <c r="E301" i="4"/>
  <c r="B302" i="4"/>
  <c r="C302" i="4"/>
  <c r="D302" i="4"/>
  <c r="E302" i="4"/>
  <c r="B303" i="4"/>
  <c r="C303" i="4"/>
  <c r="D303" i="4"/>
  <c r="E303" i="4"/>
  <c r="B304" i="4"/>
  <c r="C304" i="4"/>
  <c r="D304" i="4"/>
  <c r="E304" i="4"/>
  <c r="B305" i="4"/>
  <c r="C305" i="4"/>
  <c r="D305" i="4"/>
  <c r="E305" i="4"/>
  <c r="B306" i="4"/>
  <c r="C306" i="4"/>
  <c r="D306" i="4"/>
  <c r="E306" i="4"/>
  <c r="B307" i="4"/>
  <c r="C307" i="4"/>
  <c r="D307" i="4"/>
  <c r="E307" i="4"/>
  <c r="B308" i="4"/>
  <c r="C308" i="4"/>
  <c r="D308" i="4"/>
  <c r="E308" i="4"/>
  <c r="C309" i="4"/>
  <c r="D309" i="4"/>
  <c r="E309" i="4"/>
  <c r="B309" i="4"/>
  <c r="C310" i="4"/>
  <c r="C311" i="4"/>
  <c r="B310" i="4"/>
  <c r="D310" i="4"/>
  <c r="D311" i="4"/>
  <c r="E310" i="4"/>
  <c r="C314" i="4"/>
  <c r="D314" i="4"/>
  <c r="B314" i="4"/>
  <c r="E314" i="4"/>
  <c r="C315" i="4"/>
  <c r="D315" i="4"/>
  <c r="E315" i="4"/>
  <c r="B315" i="4"/>
  <c r="B316" i="4"/>
  <c r="C316" i="4"/>
  <c r="D316" i="4"/>
  <c r="E316" i="4"/>
  <c r="C317" i="4"/>
  <c r="D317" i="4"/>
  <c r="E317" i="4"/>
  <c r="B317" i="4"/>
  <c r="B318" i="4"/>
  <c r="C318" i="4"/>
  <c r="D318" i="4"/>
  <c r="E318" i="4"/>
  <c r="C319" i="4"/>
  <c r="D319" i="4"/>
  <c r="E319" i="4"/>
  <c r="B319" i="4"/>
  <c r="B320" i="4"/>
  <c r="C320" i="4"/>
  <c r="D320" i="4"/>
  <c r="E320" i="4"/>
  <c r="C321" i="4"/>
  <c r="D321" i="4"/>
  <c r="E321" i="4"/>
  <c r="B321" i="4"/>
  <c r="B322" i="4"/>
  <c r="C322" i="4"/>
  <c r="D322" i="4"/>
  <c r="E322" i="4"/>
  <c r="C323" i="4"/>
  <c r="D323" i="4"/>
  <c r="E323" i="4"/>
  <c r="B323" i="4"/>
  <c r="C324" i="4"/>
  <c r="D324" i="4"/>
  <c r="E324" i="4"/>
  <c r="B324" i="4"/>
  <c r="B325" i="4"/>
  <c r="C325" i="4"/>
  <c r="C326" i="4"/>
  <c r="D325" i="4"/>
  <c r="D326" i="4"/>
  <c r="E325" i="4"/>
  <c r="C329" i="4"/>
  <c r="D329" i="4"/>
  <c r="E329" i="4"/>
  <c r="B329" i="4"/>
  <c r="B330" i="4"/>
  <c r="C330" i="4"/>
  <c r="D330" i="4"/>
  <c r="E330" i="4"/>
  <c r="B331" i="4"/>
  <c r="C331" i="4"/>
  <c r="D331" i="4"/>
  <c r="E331" i="4"/>
  <c r="B332" i="4"/>
  <c r="C332" i="4"/>
  <c r="D332" i="4"/>
  <c r="E332" i="4"/>
  <c r="B333" i="4"/>
  <c r="C333" i="4"/>
  <c r="D333" i="4"/>
  <c r="E333" i="4"/>
  <c r="B334" i="4"/>
  <c r="C334" i="4"/>
  <c r="D334" i="4"/>
  <c r="E334" i="4"/>
  <c r="C335" i="4"/>
  <c r="D335" i="4"/>
  <c r="E335" i="4"/>
  <c r="B335" i="4"/>
  <c r="B336" i="4"/>
  <c r="C336" i="4"/>
  <c r="D336" i="4"/>
  <c r="E336" i="4"/>
  <c r="C337" i="4"/>
  <c r="D337" i="4"/>
  <c r="E337" i="4"/>
  <c r="B337" i="4"/>
  <c r="B338" i="4"/>
  <c r="C338" i="4"/>
  <c r="D338" i="4"/>
  <c r="E338" i="4"/>
  <c r="B339" i="4"/>
  <c r="C339" i="4"/>
  <c r="D339" i="4"/>
  <c r="E339" i="4"/>
  <c r="B340" i="4"/>
  <c r="C340" i="4"/>
  <c r="C341" i="4"/>
  <c r="D340" i="4"/>
  <c r="D341" i="4"/>
  <c r="E340" i="4"/>
  <c r="C344" i="4"/>
  <c r="D344" i="4"/>
  <c r="E344" i="4"/>
  <c r="B344" i="4"/>
  <c r="C345" i="4"/>
  <c r="D345" i="4"/>
  <c r="E345" i="4"/>
  <c r="B345" i="4"/>
  <c r="B346" i="4"/>
  <c r="C346" i="4"/>
  <c r="D346" i="4"/>
  <c r="E346" i="4"/>
  <c r="C347" i="4"/>
  <c r="D347" i="4"/>
  <c r="E347" i="4"/>
  <c r="B347" i="4"/>
  <c r="C348" i="4"/>
  <c r="B348" i="4"/>
  <c r="D348" i="4"/>
  <c r="E348" i="4"/>
  <c r="C349" i="4"/>
  <c r="D349" i="4"/>
  <c r="E349" i="4"/>
  <c r="B349" i="4"/>
  <c r="C350" i="4"/>
  <c r="D350" i="4"/>
  <c r="E350" i="4"/>
  <c r="B350" i="4"/>
  <c r="C351" i="4"/>
  <c r="D351" i="4"/>
  <c r="E351" i="4"/>
  <c r="B351" i="4"/>
  <c r="C352" i="4"/>
  <c r="D352" i="4"/>
  <c r="E352" i="4"/>
  <c r="B352" i="4"/>
  <c r="C353" i="4"/>
  <c r="D353" i="4"/>
  <c r="E353" i="4"/>
  <c r="B353" i="4"/>
  <c r="C354" i="4"/>
  <c r="B354" i="4"/>
  <c r="D354" i="4"/>
  <c r="E354" i="4"/>
  <c r="C355" i="4"/>
  <c r="C356" i="4"/>
  <c r="B355" i="4"/>
  <c r="D355" i="4"/>
  <c r="D356" i="4"/>
  <c r="E355" i="4"/>
  <c r="B359" i="4"/>
  <c r="C359" i="4"/>
  <c r="D359" i="4"/>
  <c r="E359" i="4"/>
  <c r="C360" i="4"/>
  <c r="D360" i="4"/>
  <c r="B360" i="4"/>
  <c r="E360" i="4"/>
  <c r="C361" i="4"/>
  <c r="D361" i="4"/>
  <c r="E361" i="4"/>
  <c r="B361" i="4"/>
  <c r="B362" i="4"/>
  <c r="C362" i="4"/>
  <c r="D362" i="4"/>
  <c r="E362" i="4"/>
  <c r="B363" i="4"/>
  <c r="C363" i="4"/>
  <c r="D363" i="4"/>
  <c r="E363" i="4"/>
  <c r="B364" i="4"/>
  <c r="C364" i="4"/>
  <c r="D364" i="4"/>
  <c r="E364" i="4"/>
  <c r="B365" i="4"/>
  <c r="C365" i="4"/>
  <c r="D365" i="4"/>
  <c r="E365" i="4"/>
  <c r="C366" i="4"/>
  <c r="D366" i="4"/>
  <c r="E366" i="4"/>
  <c r="B366" i="4"/>
  <c r="B367" i="4"/>
  <c r="C367" i="4"/>
  <c r="D367" i="4"/>
  <c r="E367" i="4"/>
  <c r="B368" i="4"/>
  <c r="C368" i="4"/>
  <c r="D368" i="4"/>
  <c r="E368" i="4"/>
  <c r="B369" i="4"/>
  <c r="C369" i="4"/>
  <c r="D369" i="4"/>
  <c r="E369" i="4"/>
  <c r="C370" i="4"/>
  <c r="C371" i="4"/>
  <c r="B370" i="4"/>
  <c r="D370" i="4"/>
  <c r="D371" i="4"/>
  <c r="E370" i="4"/>
  <c r="B374" i="4"/>
  <c r="C374" i="4"/>
  <c r="D374" i="4"/>
  <c r="E374" i="4"/>
  <c r="C375" i="4"/>
  <c r="B375" i="4"/>
  <c r="D375" i="4"/>
  <c r="E375" i="4"/>
  <c r="B376" i="4"/>
  <c r="C376" i="4"/>
  <c r="D376" i="4"/>
  <c r="E376" i="4"/>
  <c r="C377" i="4"/>
  <c r="B377" i="4"/>
  <c r="D377" i="4"/>
  <c r="E377" i="4"/>
  <c r="C378" i="4"/>
  <c r="D378" i="4"/>
  <c r="E378" i="4"/>
  <c r="B378" i="4"/>
  <c r="C379" i="4"/>
  <c r="D379" i="4"/>
  <c r="E379" i="4"/>
  <c r="B379" i="4"/>
  <c r="C380" i="4"/>
  <c r="D380" i="4"/>
  <c r="E380" i="4"/>
  <c r="B380" i="4"/>
  <c r="C381" i="4"/>
  <c r="B381" i="4"/>
  <c r="D381" i="4"/>
  <c r="E381" i="4"/>
  <c r="B382" i="4"/>
  <c r="C382" i="4"/>
  <c r="D382" i="4"/>
  <c r="E382" i="4"/>
  <c r="B383" i="4"/>
  <c r="C383" i="4"/>
  <c r="D383" i="4"/>
  <c r="E383" i="4"/>
  <c r="B384" i="4"/>
  <c r="C384" i="4"/>
  <c r="D384" i="4"/>
  <c r="E384" i="4"/>
  <c r="C385" i="4"/>
  <c r="C386" i="4"/>
  <c r="B385" i="4"/>
  <c r="D385" i="4"/>
  <c r="D386" i="4"/>
  <c r="E385" i="4"/>
  <c r="B389" i="4"/>
  <c r="C389" i="4"/>
  <c r="D389" i="4"/>
  <c r="E389" i="4"/>
  <c r="C390" i="4"/>
  <c r="B390" i="4"/>
  <c r="D390" i="4"/>
  <c r="E390" i="4"/>
  <c r="B391" i="4"/>
  <c r="C391" i="4"/>
  <c r="D391" i="4"/>
  <c r="E391" i="4"/>
  <c r="B392" i="4"/>
  <c r="C392" i="4"/>
  <c r="D392" i="4"/>
  <c r="E392" i="4"/>
  <c r="B393" i="4"/>
  <c r="C393" i="4"/>
  <c r="D393" i="4"/>
  <c r="E393" i="4"/>
  <c r="C394" i="4"/>
  <c r="D394" i="4"/>
  <c r="E394" i="4"/>
  <c r="B394" i="4"/>
  <c r="B395" i="4"/>
  <c r="C395" i="4"/>
  <c r="D395" i="4"/>
  <c r="E395" i="4"/>
  <c r="B396" i="4"/>
  <c r="C396" i="4"/>
  <c r="D396" i="4"/>
  <c r="E396" i="4"/>
  <c r="B397" i="4"/>
  <c r="C397" i="4"/>
  <c r="D397" i="4"/>
  <c r="E397" i="4"/>
  <c r="B398" i="4"/>
  <c r="C398" i="4"/>
  <c r="D398" i="4"/>
  <c r="E398" i="4"/>
  <c r="B399" i="4"/>
  <c r="C399" i="4"/>
  <c r="D399" i="4"/>
  <c r="E399" i="4"/>
  <c r="B400" i="4"/>
  <c r="C400" i="4"/>
  <c r="C401" i="4"/>
  <c r="D400" i="4"/>
  <c r="D401" i="4"/>
  <c r="E400" i="4"/>
  <c r="B404" i="4"/>
  <c r="C404" i="4"/>
  <c r="D404" i="4"/>
  <c r="E404" i="4"/>
  <c r="C405" i="4"/>
  <c r="D405" i="4"/>
  <c r="E405" i="4"/>
  <c r="B405" i="4"/>
  <c r="B406" i="4"/>
  <c r="C406" i="4"/>
  <c r="D406" i="4"/>
  <c r="E406" i="4"/>
  <c r="C407" i="4"/>
  <c r="D407" i="4"/>
  <c r="E407" i="4"/>
  <c r="B407" i="4"/>
  <c r="C408" i="4"/>
  <c r="D408" i="4"/>
  <c r="E408" i="4"/>
  <c r="B408" i="4"/>
  <c r="C409" i="4"/>
  <c r="D409" i="4"/>
  <c r="E409" i="4"/>
  <c r="B409" i="4"/>
  <c r="B410" i="4"/>
  <c r="C410" i="4"/>
  <c r="D410" i="4"/>
  <c r="E410" i="4"/>
  <c r="B411" i="4"/>
  <c r="C411" i="4"/>
  <c r="D411" i="4"/>
  <c r="E411" i="4"/>
  <c r="B412" i="4"/>
  <c r="C412" i="4"/>
  <c r="D412" i="4"/>
  <c r="E412" i="4"/>
  <c r="B413" i="4"/>
  <c r="C413" i="4"/>
  <c r="D413" i="4"/>
  <c r="E413" i="4"/>
  <c r="C414" i="4"/>
  <c r="D414" i="4"/>
  <c r="E414" i="4"/>
  <c r="B414" i="4"/>
  <c r="C415" i="4"/>
  <c r="C416" i="4"/>
  <c r="D415" i="4"/>
  <c r="D416" i="4"/>
  <c r="B415" i="4"/>
  <c r="E415" i="4"/>
  <c r="B419" i="4"/>
  <c r="C419" i="4"/>
  <c r="D419" i="4"/>
  <c r="E419" i="4"/>
  <c r="C420" i="4"/>
  <c r="D420" i="4"/>
  <c r="E420" i="4"/>
  <c r="B420" i="4"/>
  <c r="C421" i="4"/>
  <c r="D421" i="4"/>
  <c r="B421" i="4"/>
  <c r="E421" i="4"/>
  <c r="C422" i="4"/>
  <c r="D422" i="4"/>
  <c r="E422" i="4"/>
  <c r="B422" i="4"/>
  <c r="B423" i="4"/>
  <c r="C423" i="4"/>
  <c r="D423" i="4"/>
  <c r="E423" i="4"/>
  <c r="C424" i="4"/>
  <c r="D424" i="4"/>
  <c r="E424" i="4"/>
  <c r="B424" i="4"/>
  <c r="B425" i="4"/>
  <c r="C425" i="4"/>
  <c r="D425" i="4"/>
  <c r="E425" i="4"/>
  <c r="C426" i="4"/>
  <c r="D426" i="4"/>
  <c r="E426" i="4"/>
  <c r="B426" i="4"/>
  <c r="C427" i="4"/>
  <c r="D427" i="4"/>
  <c r="E427" i="4"/>
  <c r="B427" i="4"/>
  <c r="C428" i="4"/>
  <c r="D428" i="4"/>
  <c r="E428" i="4"/>
  <c r="B428" i="4"/>
  <c r="B429" i="4"/>
  <c r="C429" i="4"/>
  <c r="D429" i="4"/>
  <c r="E429" i="4"/>
  <c r="B430" i="4"/>
  <c r="C430" i="4"/>
  <c r="C431" i="4"/>
  <c r="D430" i="4"/>
  <c r="D431" i="4"/>
  <c r="E430" i="4"/>
  <c r="C434" i="4"/>
  <c r="B434" i="4"/>
  <c r="D434" i="4"/>
  <c r="E434" i="4"/>
  <c r="C435" i="4"/>
  <c r="B435" i="4"/>
  <c r="D435" i="4"/>
  <c r="E435" i="4"/>
  <c r="B436" i="4"/>
  <c r="C436" i="4"/>
  <c r="D436" i="4"/>
  <c r="E436" i="4"/>
  <c r="C437" i="4"/>
  <c r="B437" i="4"/>
  <c r="D437" i="4"/>
  <c r="E437" i="4"/>
  <c r="B438" i="4"/>
  <c r="C438" i="4"/>
  <c r="D438" i="4"/>
  <c r="E438" i="4"/>
  <c r="B439" i="4"/>
  <c r="C439" i="4"/>
  <c r="D439" i="4"/>
  <c r="E439" i="4"/>
  <c r="C440" i="4"/>
  <c r="D440" i="4"/>
  <c r="E440" i="4"/>
  <c r="B440" i="4"/>
  <c r="B441" i="4"/>
  <c r="C441" i="4"/>
  <c r="D441" i="4"/>
  <c r="E441" i="4"/>
  <c r="C442" i="4"/>
  <c r="D442" i="4"/>
  <c r="E442" i="4"/>
  <c r="B442" i="4"/>
  <c r="B443" i="4"/>
  <c r="C443" i="4"/>
  <c r="D443" i="4"/>
  <c r="E443" i="4"/>
  <c r="C444" i="4"/>
  <c r="D444" i="4"/>
  <c r="E444" i="4"/>
  <c r="B444" i="4"/>
  <c r="B445" i="4"/>
  <c r="C445" i="4"/>
  <c r="C446" i="4"/>
  <c r="D445" i="4"/>
  <c r="D446" i="4"/>
  <c r="E445" i="4"/>
  <c r="B449" i="4"/>
  <c r="C449" i="4"/>
  <c r="D449" i="4"/>
  <c r="E449" i="4"/>
  <c r="C450" i="4"/>
  <c r="B450" i="4"/>
  <c r="D450" i="4"/>
  <c r="E450" i="4"/>
  <c r="C451" i="4"/>
  <c r="D451" i="4"/>
  <c r="B451" i="4"/>
  <c r="E451" i="4"/>
  <c r="B452" i="4"/>
  <c r="C452" i="4"/>
  <c r="D452" i="4"/>
  <c r="E452" i="4"/>
  <c r="B453" i="4"/>
  <c r="C453" i="4"/>
  <c r="D453" i="4"/>
  <c r="E453" i="4"/>
  <c r="C454" i="4"/>
  <c r="D454" i="4"/>
  <c r="E454" i="4"/>
  <c r="B454" i="4"/>
  <c r="B455" i="4"/>
  <c r="C455" i="4"/>
  <c r="D455" i="4"/>
  <c r="E455" i="4"/>
  <c r="B456" i="4"/>
  <c r="C456" i="4"/>
  <c r="D456" i="4"/>
  <c r="E456" i="4"/>
  <c r="B457" i="4"/>
  <c r="C457" i="4"/>
  <c r="D457" i="4"/>
  <c r="E457" i="4"/>
  <c r="C458" i="4"/>
  <c r="B458" i="4"/>
  <c r="D458" i="4"/>
  <c r="E458" i="4"/>
  <c r="B459" i="4"/>
  <c r="C459" i="4"/>
  <c r="D459" i="4"/>
  <c r="E459" i="4"/>
  <c r="B460" i="4"/>
  <c r="C460" i="4"/>
  <c r="C461" i="4"/>
  <c r="D460" i="4"/>
  <c r="D461" i="4"/>
  <c r="E460" i="4"/>
  <c r="C464" i="4"/>
  <c r="D464" i="4"/>
  <c r="E464" i="4"/>
  <c r="C465" i="4"/>
  <c r="D465" i="4"/>
  <c r="E465" i="4"/>
  <c r="C466" i="4"/>
  <c r="D466" i="4"/>
  <c r="E466" i="4"/>
  <c r="C467" i="4"/>
  <c r="D467" i="4"/>
  <c r="E467" i="4"/>
  <c r="C468" i="4"/>
  <c r="D468" i="4"/>
  <c r="E468" i="4"/>
  <c r="C469" i="4"/>
  <c r="D469" i="4"/>
  <c r="E469" i="4"/>
  <c r="C470" i="4"/>
  <c r="D470" i="4"/>
  <c r="E470" i="4"/>
  <c r="C471" i="4"/>
  <c r="D471" i="4"/>
  <c r="E471" i="4"/>
  <c r="C472" i="4"/>
  <c r="D472" i="4"/>
  <c r="E472" i="4"/>
  <c r="C473" i="4"/>
  <c r="D473" i="4"/>
  <c r="E473" i="4"/>
  <c r="C474" i="4"/>
  <c r="D474" i="4"/>
  <c r="E474" i="4"/>
  <c r="C475" i="4"/>
  <c r="C476" i="4"/>
  <c r="D475" i="4"/>
  <c r="D476" i="4"/>
  <c r="E47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5" authorId="0" shapeId="0" xr:uid="{00000000-0006-0000-0D00-000001000000}">
      <text>
        <r>
          <rPr>
            <sz val="8"/>
            <color indexed="81"/>
            <rFont val="Tahoma"/>
            <family val="2"/>
          </rPr>
          <t>The MIRR calculation takes any negative cash flows (after utilization of reserves), zeroes them out and discounts them at the safe rate back to day one of the investment period. You can consider the safe rate to be the interest rate at which you can put money aside, in a secure and reasonably liquid form, so that it will grow to meet the amount needed to cover the negative cash flows.</t>
        </r>
      </text>
    </comment>
    <comment ref="B6" authorId="0" shapeId="0" xr:uid="{00000000-0006-0000-0D00-000002000000}">
      <text>
        <r>
          <rPr>
            <sz val="8"/>
            <color indexed="81"/>
            <rFont val="Tahoma"/>
            <family val="2"/>
          </rPr>
          <t>MIRR takes positive cash flows and compounds them forward to the sale year, using the reinvestment rate (also known as the risk rate). The reinvestment rate is the rate at which you believe you could reinvest your positive cash flows.</t>
        </r>
      </text>
    </comment>
  </commentList>
</comments>
</file>

<file path=xl/sharedStrings.xml><?xml version="1.0" encoding="utf-8"?>
<sst xmlns="http://schemas.openxmlformats.org/spreadsheetml/2006/main" count="322" uniqueCount="150">
  <si>
    <t>PV</t>
  </si>
  <si>
    <t>%I</t>
  </si>
  <si>
    <t>N</t>
  </si>
  <si>
    <t>FV</t>
  </si>
  <si>
    <t>(per period)</t>
  </si>
  <si>
    <t>Annual Property Operating Data</t>
  </si>
  <si>
    <t>Date:</t>
  </si>
  <si>
    <t>Prepared by:</t>
  </si>
  <si>
    <t>INCOME</t>
  </si>
  <si>
    <t>Comments</t>
  </si>
  <si>
    <t xml:space="preserve">  Gross Scheduled Rent Income                 </t>
  </si>
  <si>
    <t xml:space="preserve">  Other Income                 </t>
  </si>
  <si>
    <t xml:space="preserve">TOTAL GROSS INCOME      </t>
  </si>
  <si>
    <t>VACANCY &amp; CREDIT ALLOWANCE</t>
  </si>
  <si>
    <t xml:space="preserve">GROSS OPERATING INCOME         </t>
  </si>
  <si>
    <t>EXPENSES</t>
  </si>
  <si>
    <t xml:space="preserve">  Accounting  </t>
  </si>
  <si>
    <t xml:space="preserve">  Advertising             </t>
  </si>
  <si>
    <t xml:space="preserve">  Insurance (fire and liability)   </t>
  </si>
  <si>
    <t xml:space="preserve">  Janitorial Service</t>
  </si>
  <si>
    <t xml:space="preserve">  Lawn/Snow</t>
  </si>
  <si>
    <t xml:space="preserve">  Legal</t>
  </si>
  <si>
    <t xml:space="preserve">  Licenses</t>
  </si>
  <si>
    <t xml:space="preserve">  Miscellaneous</t>
  </si>
  <si>
    <t xml:space="preserve">  Property Management</t>
  </si>
  <si>
    <t xml:space="preserve">  Repairs and Maintenance    </t>
  </si>
  <si>
    <t xml:space="preserve">  Resident Superintendent      </t>
  </si>
  <si>
    <t xml:space="preserve">  Supplies                     </t>
  </si>
  <si>
    <t xml:space="preserve">  Taxes</t>
  </si>
  <si>
    <t xml:space="preserve">     Real Estate               </t>
  </si>
  <si>
    <t xml:space="preserve">     Personal Property         </t>
  </si>
  <si>
    <t xml:space="preserve">     Payroll                   </t>
  </si>
  <si>
    <t xml:space="preserve">     Other                     </t>
  </si>
  <si>
    <t xml:space="preserve">  Trash Removal                </t>
  </si>
  <si>
    <t xml:space="preserve">  Utilities</t>
  </si>
  <si>
    <t xml:space="preserve">     Electricity               </t>
  </si>
  <si>
    <t xml:space="preserve">     Fuel Oil                  </t>
  </si>
  <si>
    <t xml:space="preserve">     Gas                       </t>
  </si>
  <si>
    <t xml:space="preserve">     Sewer and Water           </t>
  </si>
  <si>
    <t xml:space="preserve">     Telephone                 </t>
  </si>
  <si>
    <t>TOTAL EXPENSES</t>
  </si>
  <si>
    <t>NET OPERATING INCOME</t>
  </si>
  <si>
    <t>PV@</t>
  </si>
  <si>
    <t>Cash Flow, End of Year 1</t>
  </si>
  <si>
    <t>Cash Flow, End of Year 2</t>
  </si>
  <si>
    <t>Cash Flow, End of Year 3</t>
  </si>
  <si>
    <t>Cash Flow, End of Year 4</t>
  </si>
  <si>
    <t>Cash Flow, End of Year 5</t>
  </si>
  <si>
    <t>Cash Flow, End of Year 6</t>
  </si>
  <si>
    <t>Cash Flow, End of Year 7</t>
  </si>
  <si>
    <t>Cash Flow, End of Year 8</t>
  </si>
  <si>
    <t>Cash Flow, End of Year 9</t>
  </si>
  <si>
    <t>Cash Flow, End of Year 10</t>
  </si>
  <si>
    <t>TOTAL PV</t>
  </si>
  <si>
    <t>Data Input:</t>
  </si>
  <si>
    <t>Begining Balance:</t>
  </si>
  <si>
    <t>Ann. Int. Rate:</t>
  </si>
  <si>
    <t>%</t>
  </si>
  <si>
    <t>Term, Months:</t>
  </si>
  <si>
    <t>First Pmt Month:</t>
  </si>
  <si>
    <t xml:space="preserve">   Calculated Pmt:</t>
  </si>
  <si>
    <t>First Pmt Year:</t>
  </si>
  <si>
    <t>INTEREST</t>
  </si>
  <si>
    <t>PRINCIPAL</t>
  </si>
  <si>
    <t>BALANCE</t>
  </si>
  <si>
    <t>Cash Flow</t>
  </si>
  <si>
    <t xml:space="preserve">  Property Taxes              </t>
  </si>
  <si>
    <t xml:space="preserve">  Supplies &amp; Miscellaneous  </t>
  </si>
  <si>
    <t xml:space="preserve">  Other</t>
  </si>
  <si>
    <t>Less Annual Debt Service, First Mortgage</t>
  </si>
  <si>
    <t>Less Annual Debt Service, Second Mortgage</t>
  </si>
  <si>
    <t>Less Capital Additions</t>
  </si>
  <si>
    <t>Plus Loan Proceeds</t>
  </si>
  <si>
    <t>Plus Interest Earned</t>
  </si>
  <si>
    <t>CASH FLOW BEFORE TAXES</t>
  </si>
  <si>
    <t>Less Income Tax Liability</t>
  </si>
  <si>
    <t>CASH FLOW AFTER TAXES</t>
  </si>
  <si>
    <t>Sale Proceeds</t>
  </si>
  <si>
    <t>SELLING PRICE</t>
  </si>
  <si>
    <t xml:space="preserve">  Less Costs of Sale</t>
  </si>
  <si>
    <t xml:space="preserve">  Less First Mortgage Payoff</t>
  </si>
  <si>
    <t xml:space="preserve">  Less Second Mortgage Payoff</t>
  </si>
  <si>
    <t>BEFORE-TAX SALE PROCEEDS</t>
  </si>
  <si>
    <t xml:space="preserve">  Less Total Federal Tax on Sale</t>
  </si>
  <si>
    <t>AFTER-TAX SALE PROCEEDS</t>
  </si>
  <si>
    <t>Discount Rate:</t>
  </si>
  <si>
    <t>Monthly</t>
  </si>
  <si>
    <t xml:space="preserve">          month</t>
  </si>
  <si>
    <t>Rent</t>
  </si>
  <si>
    <t>Year 1</t>
  </si>
  <si>
    <t>Year 2</t>
  </si>
  <si>
    <t>Year 3</t>
  </si>
  <si>
    <t>Year 4</t>
  </si>
  <si>
    <t>Year 5</t>
  </si>
  <si>
    <t>Present Value of Lease Payments:</t>
  </si>
  <si>
    <t>Four Annuity Functions (Mortgage Calculations)</t>
  </si>
  <si>
    <t>%i</t>
  </si>
  <si>
    <t>Pmt</t>
  </si>
  <si>
    <t>Net Present Value</t>
  </si>
  <si>
    <t>Initial Investment</t>
  </si>
  <si>
    <t>Cash Flow #1</t>
  </si>
  <si>
    <t>Cash Flow #2</t>
  </si>
  <si>
    <t>Cash Flow #3</t>
  </si>
  <si>
    <t>Cash Flow #4</t>
  </si>
  <si>
    <t>Cash Flow #5</t>
  </si>
  <si>
    <t>Cash Flow #6</t>
  </si>
  <si>
    <t>Cash Flow #7</t>
  </si>
  <si>
    <t>Cash Flow #8</t>
  </si>
  <si>
    <t>Cash Flow #9</t>
  </si>
  <si>
    <t>Cash Flow #10</t>
  </si>
  <si>
    <t>Taxable Income</t>
  </si>
  <si>
    <t>Less Interest, First Mortgage</t>
  </si>
  <si>
    <t>Less Interest, Second Mortgage</t>
  </si>
  <si>
    <t>Less Depreciation, Real Property</t>
  </si>
  <si>
    <t>Less Depreciation, Capital Additions</t>
  </si>
  <si>
    <t>TAXABLE INCOME</t>
  </si>
  <si>
    <t>Adjusted Basis</t>
  </si>
  <si>
    <t>ORIGINAL BASIS, Purchase Price of Real Estate</t>
  </si>
  <si>
    <t xml:space="preserve">  Plus Cumulative Capital Additions</t>
  </si>
  <si>
    <t xml:space="preserve">  Plus Costs of Sale</t>
  </si>
  <si>
    <t xml:space="preserve">  Less Cumulative Depreciation, Real Estate</t>
  </si>
  <si>
    <t xml:space="preserve">  Less Cumulative Depreciation, Capital Improvements</t>
  </si>
  <si>
    <t>ADJUSTED BASIS AT SALE</t>
  </si>
  <si>
    <t>Internal Rate of Return</t>
  </si>
  <si>
    <t>Modified Internal Rate of Return</t>
  </si>
  <si>
    <t>Initial Investment (as negative amount)</t>
  </si>
  <si>
    <t>What Every Real Estate Investor Needs To Know About Cash Flow</t>
  </si>
  <si>
    <t>Compound Interest</t>
  </si>
  <si>
    <t>Discounted Cash Flow</t>
  </si>
  <si>
    <t>Amortization Table</t>
  </si>
  <si>
    <t>Value of a Lease</t>
  </si>
  <si>
    <t>4 Annuity Functions</t>
  </si>
  <si>
    <t>copyright:</t>
  </si>
  <si>
    <t>© Copyright 1982-2016</t>
  </si>
  <si>
    <t>Calculate future value</t>
  </si>
  <si>
    <t>Calculate present value</t>
  </si>
  <si>
    <t>Calculate periodic rate</t>
  </si>
  <si>
    <t>Calculate number of periods</t>
  </si>
  <si>
    <t>Project Name</t>
  </si>
  <si>
    <t>Project Address</t>
  </si>
  <si>
    <t>PROJECT NAME</t>
  </si>
  <si>
    <t>PROJECT ADDRESS</t>
  </si>
  <si>
    <t>Calculate payment</t>
  </si>
  <si>
    <t>% Safe Rate for MIRR:</t>
  </si>
  <si>
    <t>% Reinvest Rate for MIRR:</t>
  </si>
  <si>
    <t>Modified Internal Rate of Return (MIRR)</t>
  </si>
  <si>
    <t>Loan Amortization Schedule</t>
  </si>
  <si>
    <t>Internal Rate of Return (IRR)</t>
  </si>
  <si>
    <t xml:space="preserve">                           for use with</t>
  </si>
  <si>
    <t>EXCEL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</si>
</sst>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3" formatCode="_(* #,##0.00_);_(* \(#,##0.00\);_(* &quot;-&quot;??_);_(@_)"/>
    <numFmt numFmtId="164" formatCode="#,##0;\-#,##0"/>
    <numFmt numFmtId="165" formatCode="#,##0.000"/>
    <numFmt numFmtId="166" formatCode="&quot;$&quot;#,##0.00"/>
    <numFmt numFmtId="167" formatCode="&quot;$ &quot;#,##0_);&quot;$ &quot;\(#,##0\)"/>
  </numFmts>
  <fonts count="43">
    <font>
      <sz val="10"/>
      <name val="Arial"/>
    </font>
    <font>
      <sz val="10"/>
      <name val="Arial"/>
    </font>
    <font>
      <u/>
      <sz val="10"/>
      <color indexed="12"/>
      <name val="Arial"/>
      <family val="2"/>
    </font>
    <font>
      <b/>
      <sz val="10"/>
      <name val="Arial"/>
      <family val="2"/>
    </font>
    <font>
      <b/>
      <sz val="8"/>
      <name val="Arial"/>
      <family val="2"/>
    </font>
    <font>
      <sz val="10"/>
      <color indexed="12"/>
      <name val="Arial"/>
      <family val="2"/>
    </font>
    <font>
      <sz val="10"/>
      <color indexed="8"/>
      <name val="Arial"/>
      <family val="2"/>
    </font>
    <font>
      <sz val="8"/>
      <color indexed="8"/>
      <name val="Arial"/>
      <family val="2"/>
    </font>
    <font>
      <sz val="10"/>
      <color indexed="9"/>
      <name val="Arial"/>
      <family val="2"/>
    </font>
    <font>
      <b/>
      <sz val="9"/>
      <name val="Arial"/>
      <family val="2"/>
    </font>
    <font>
      <sz val="9"/>
      <name val="Arial"/>
      <family val="2"/>
    </font>
    <font>
      <sz val="10"/>
      <name val="Arial"/>
      <family val="2"/>
    </font>
    <font>
      <sz val="9"/>
      <color indexed="8"/>
      <name val="Arial"/>
      <family val="2"/>
    </font>
    <font>
      <sz val="10"/>
      <color indexed="8"/>
      <name val="Geneva"/>
    </font>
    <font>
      <b/>
      <sz val="10"/>
      <color indexed="8"/>
      <name val="Arial"/>
      <family val="2"/>
    </font>
    <font>
      <sz val="10"/>
      <color indexed="12"/>
      <name val="Geneva"/>
    </font>
    <font>
      <sz val="10"/>
      <color indexed="9"/>
      <name val="Geneva"/>
    </font>
    <font>
      <sz val="8"/>
      <color indexed="81"/>
      <name val="Tahoma"/>
      <family val="2"/>
    </font>
    <font>
      <sz val="8"/>
      <name val="Arial"/>
      <family val="2"/>
    </font>
    <font>
      <b/>
      <i/>
      <sz val="11"/>
      <color indexed="56"/>
      <name val="Arial"/>
      <family val="2"/>
    </font>
    <font>
      <sz val="10"/>
      <color indexed="36"/>
      <name val="Arial"/>
      <family val="2"/>
    </font>
    <font>
      <sz val="9"/>
      <color indexed="28"/>
      <name val="Arial"/>
      <family val="2"/>
    </font>
    <font>
      <sz val="9"/>
      <color indexed="12"/>
      <name val="Arial"/>
      <family val="2"/>
    </font>
    <font>
      <sz val="10"/>
      <color indexed="12"/>
      <name val="Arial"/>
      <family val="2"/>
    </font>
    <font>
      <sz val="11"/>
      <color indexed="9"/>
      <name val="Calibri"/>
      <family val="2"/>
    </font>
    <font>
      <sz val="11"/>
      <color indexed="8"/>
      <name val="Calibri"/>
      <family val="2"/>
    </font>
    <font>
      <sz val="8"/>
      <name val="Arial"/>
      <family val="2"/>
    </font>
    <font>
      <b/>
      <sz val="12"/>
      <color indexed="23"/>
      <name val="Calibri"/>
      <family val="2"/>
    </font>
    <font>
      <sz val="12"/>
      <color indexed="63"/>
      <name val="Calibri"/>
      <family val="2"/>
    </font>
    <font>
      <sz val="12"/>
      <name val="Arial MT"/>
    </font>
    <font>
      <b/>
      <i/>
      <sz val="16"/>
      <color indexed="56"/>
      <name val="Arial"/>
      <family val="2"/>
    </font>
    <font>
      <b/>
      <sz val="10"/>
      <color rgb="FF003366"/>
      <name val="Arial"/>
      <family val="2"/>
    </font>
    <font>
      <sz val="10"/>
      <color rgb="FF003366"/>
      <name val="Arial"/>
      <family val="2"/>
    </font>
    <font>
      <b/>
      <sz val="8"/>
      <color rgb="FF003366"/>
      <name val="Arial"/>
      <family val="2"/>
    </font>
    <font>
      <b/>
      <sz val="9"/>
      <color rgb="FF003366"/>
      <name val="Arial"/>
      <family val="2"/>
    </font>
    <font>
      <sz val="9"/>
      <color rgb="FF003366"/>
      <name val="Arial"/>
      <family val="2"/>
    </font>
    <font>
      <sz val="10"/>
      <color rgb="FF0000FF"/>
      <name val="Arial"/>
      <family val="2"/>
    </font>
    <font>
      <b/>
      <sz val="16"/>
      <color rgb="FF003366"/>
      <name val="Arial"/>
      <family val="2"/>
    </font>
    <font>
      <sz val="16"/>
      <color rgb="FF003366"/>
      <name val="Arial"/>
      <family val="2"/>
    </font>
    <font>
      <sz val="9"/>
      <color rgb="FF0000FF"/>
      <name val="Arial"/>
      <family val="2"/>
    </font>
    <font>
      <i/>
      <sz val="16"/>
      <color theme="0"/>
      <name val="Calibri"/>
      <family val="2"/>
    </font>
    <font>
      <sz val="22"/>
      <color theme="0"/>
      <name val="Calibri"/>
      <family val="2"/>
    </font>
    <font>
      <i/>
      <sz val="9"/>
      <color theme="0"/>
      <name val="Calibri"/>
      <family val="2"/>
    </font>
  </fonts>
  <fills count="5">
    <fill>
      <patternFill patternType="none"/>
    </fill>
    <fill>
      <patternFill patternType="gray125"/>
    </fill>
    <fill>
      <patternFill patternType="solid">
        <fgColor indexed="9"/>
        <bgColor indexed="64"/>
      </patternFill>
    </fill>
    <fill>
      <patternFill patternType="solid">
        <fgColor rgb="FF158DC7"/>
        <bgColor indexed="64"/>
      </patternFill>
    </fill>
    <fill>
      <patternFill patternType="solid">
        <fgColor rgb="FFF3FBFF"/>
        <bgColor indexed="64"/>
      </patternFill>
    </fill>
  </fills>
  <borders count="23">
    <border>
      <left/>
      <right/>
      <top/>
      <bottom/>
      <diagonal/>
    </border>
    <border>
      <left style="thin">
        <color theme="0"/>
      </left>
      <right/>
      <top/>
      <bottom/>
      <diagonal/>
    </border>
    <border>
      <left style="thin">
        <color rgb="FFB3E2F5"/>
      </left>
      <right/>
      <top style="thin">
        <color rgb="FFB3E2F5"/>
      </top>
      <bottom/>
      <diagonal/>
    </border>
    <border>
      <left/>
      <right/>
      <top style="thin">
        <color rgb="FFB3E2F5"/>
      </top>
      <bottom/>
      <diagonal/>
    </border>
    <border>
      <left/>
      <right style="thin">
        <color rgb="FFB3E2F5"/>
      </right>
      <top style="thin">
        <color rgb="FFB3E2F5"/>
      </top>
      <bottom/>
      <diagonal/>
    </border>
    <border>
      <left/>
      <right style="thin">
        <color rgb="FFB3E2F5"/>
      </right>
      <top/>
      <bottom/>
      <diagonal/>
    </border>
    <border>
      <left style="thin">
        <color rgb="FFB3E2F5"/>
      </left>
      <right/>
      <top/>
      <bottom style="thin">
        <color rgb="FFB3E2F5"/>
      </bottom>
      <diagonal/>
    </border>
    <border>
      <left/>
      <right/>
      <top/>
      <bottom style="thin">
        <color rgb="FFB3E2F5"/>
      </bottom>
      <diagonal/>
    </border>
    <border>
      <left/>
      <right style="thin">
        <color rgb="FFB3E2F5"/>
      </right>
      <top/>
      <bottom style="thin">
        <color rgb="FFB3E2F5"/>
      </bottom>
      <diagonal/>
    </border>
    <border>
      <left style="thin">
        <color rgb="FFB3E2F5"/>
      </left>
      <right/>
      <top/>
      <bottom/>
      <diagonal/>
    </border>
    <border>
      <left style="thin">
        <color rgb="FFB3E2F5"/>
      </left>
      <right style="thin">
        <color rgb="FFB3E2F5"/>
      </right>
      <top style="thin">
        <color rgb="FFB3E2F5"/>
      </top>
      <bottom/>
      <diagonal/>
    </border>
    <border>
      <left style="thin">
        <color rgb="FFB3E2F5"/>
      </left>
      <right style="thin">
        <color rgb="FFB3E2F5"/>
      </right>
      <top/>
      <bottom/>
      <diagonal/>
    </border>
    <border>
      <left style="thin">
        <color rgb="FFB3E2F5"/>
      </left>
      <right style="thin">
        <color rgb="FFB3E2F5"/>
      </right>
      <top/>
      <bottom style="thin">
        <color rgb="FFB3E2F5"/>
      </bottom>
      <diagonal/>
    </border>
    <border>
      <left/>
      <right/>
      <top style="thin">
        <color rgb="FF003366"/>
      </top>
      <bottom/>
      <diagonal/>
    </border>
    <border>
      <left style="thin">
        <color rgb="FFB3E2F5"/>
      </left>
      <right style="thin">
        <color rgb="FFB3E2F5"/>
      </right>
      <top style="thin">
        <color rgb="FFB3E2F5"/>
      </top>
      <bottom style="thin">
        <color rgb="FFB3E2F5"/>
      </bottom>
      <diagonal/>
    </border>
    <border>
      <left style="thin">
        <color rgb="FFB3E2F5"/>
      </left>
      <right/>
      <top style="thin">
        <color rgb="FFB3E2F5"/>
      </top>
      <bottom style="thin">
        <color rgb="FFB3E2F5"/>
      </bottom>
      <diagonal/>
    </border>
    <border>
      <left/>
      <right/>
      <top style="thin">
        <color rgb="FFB3E2F5"/>
      </top>
      <bottom style="thin">
        <color rgb="FFB3E2F5"/>
      </bottom>
      <diagonal/>
    </border>
    <border>
      <left/>
      <right style="thin">
        <color rgb="FFB3E2F5"/>
      </right>
      <top style="thin">
        <color rgb="FFB3E2F5"/>
      </top>
      <bottom style="thin">
        <color rgb="FFB3E2F5"/>
      </bottom>
      <diagonal/>
    </border>
    <border>
      <left style="thin">
        <color rgb="FF003366"/>
      </left>
      <right/>
      <top style="thin">
        <color rgb="FF003366"/>
      </top>
      <bottom style="thin">
        <color rgb="FF003366"/>
      </bottom>
      <diagonal/>
    </border>
    <border>
      <left/>
      <right/>
      <top style="thin">
        <color rgb="FF003366"/>
      </top>
      <bottom style="thin">
        <color rgb="FF003366"/>
      </bottom>
      <diagonal/>
    </border>
    <border>
      <left/>
      <right style="thin">
        <color rgb="FF003366"/>
      </right>
      <top style="thin">
        <color rgb="FF003366"/>
      </top>
      <bottom style="thin">
        <color rgb="FF003366"/>
      </bottom>
      <diagonal/>
    </border>
    <border>
      <left style="thin">
        <color rgb="FFB3E2F5"/>
      </left>
      <right/>
      <top style="thin">
        <color auto="1"/>
      </top>
      <bottom style="thin">
        <color rgb="FFB3E2F5"/>
      </bottom>
      <diagonal/>
    </border>
    <border>
      <left/>
      <right/>
      <top style="thin">
        <color auto="1"/>
      </top>
      <bottom style="thin">
        <color rgb="FFB3E2F5"/>
      </bottom>
      <diagonal/>
    </border>
  </borders>
  <cellStyleXfs count="12">
    <xf numFmtId="0" fontId="0" fillId="0" borderId="0"/>
    <xf numFmtId="43" fontId="1" fillId="0" borderId="0" applyFont="0" applyFill="0" applyBorder="0" applyAlignment="0" applyProtection="0"/>
    <xf numFmtId="167" fontId="6" fillId="0" borderId="0" applyFont="0" applyFill="0" applyBorder="0" applyAlignment="0" applyProtection="0"/>
    <xf numFmtId="0" fontId="2" fillId="0" borderId="0" applyNumberFormat="0" applyFill="0" applyBorder="0" applyAlignment="0" applyProtection="0">
      <alignment vertical="top"/>
      <protection locked="0"/>
    </xf>
    <xf numFmtId="0" fontId="11" fillId="0" borderId="0"/>
    <xf numFmtId="0" fontId="13" fillId="0" borderId="0"/>
    <xf numFmtId="0" fontId="25" fillId="0" borderId="0"/>
    <xf numFmtId="9" fontId="1" fillId="0" borderId="0" applyFont="0" applyFill="0" applyBorder="0" applyAlignment="0" applyProtection="0"/>
    <xf numFmtId="0" fontId="29" fillId="0" borderId="0"/>
    <xf numFmtId="0" fontId="29" fillId="0" borderId="0"/>
    <xf numFmtId="0" fontId="29" fillId="0" borderId="0"/>
    <xf numFmtId="0" fontId="29" fillId="0" borderId="0"/>
  </cellStyleXfs>
  <cellXfs count="345">
    <xf numFmtId="0" fontId="0" fillId="0" borderId="0" xfId="0"/>
    <xf numFmtId="0" fontId="0" fillId="0" borderId="0" xfId="0" applyProtection="1"/>
    <xf numFmtId="0" fontId="7" fillId="0" borderId="0" xfId="3" applyFont="1" applyAlignment="1" applyProtection="1">
      <alignment horizontal="centerContinuous"/>
    </xf>
    <xf numFmtId="0" fontId="2" fillId="0" borderId="0" xfId="3" applyAlignment="1" applyProtection="1"/>
    <xf numFmtId="0" fontId="6" fillId="0" borderId="0" xfId="3" applyFont="1" applyAlignment="1" applyProtection="1">
      <alignment horizontal="centerContinuous"/>
    </xf>
    <xf numFmtId="0" fontId="12" fillId="0" borderId="0" xfId="3" applyFont="1" applyAlignment="1" applyProtection="1">
      <alignment horizontal="centerContinuous"/>
    </xf>
    <xf numFmtId="0" fontId="6" fillId="0" borderId="0" xfId="5" applyNumberFormat="1" applyFont="1" applyFill="1" applyBorder="1" applyAlignment="1" applyProtection="1"/>
    <xf numFmtId="0" fontId="13" fillId="0" borderId="0" xfId="5" applyNumberFormat="1" applyFont="1" applyFill="1" applyBorder="1" applyAlignment="1" applyProtection="1"/>
    <xf numFmtId="0" fontId="13" fillId="0" borderId="0" xfId="5" applyProtection="1"/>
    <xf numFmtId="0" fontId="14" fillId="0" borderId="0" xfId="5" applyNumberFormat="1" applyFont="1" applyFill="1" applyBorder="1" applyAlignment="1" applyProtection="1"/>
    <xf numFmtId="0" fontId="6" fillId="0" borderId="0" xfId="5" applyFont="1" applyProtection="1"/>
    <xf numFmtId="0" fontId="14" fillId="0" borderId="0" xfId="5" applyNumberFormat="1" applyFont="1" applyFill="1" applyBorder="1" applyAlignment="1" applyProtection="1">
      <alignment vertical="center"/>
    </xf>
    <xf numFmtId="0" fontId="6" fillId="0" borderId="0" xfId="5" applyNumberFormat="1" applyFont="1" applyFill="1" applyBorder="1" applyAlignment="1" applyProtection="1">
      <alignment horizontal="right"/>
    </xf>
    <xf numFmtId="0" fontId="15" fillId="0" borderId="0" xfId="5" applyFont="1" applyBorder="1" applyProtection="1"/>
    <xf numFmtId="166" fontId="6" fillId="0" borderId="0" xfId="5" applyNumberFormat="1" applyFont="1" applyFill="1" applyBorder="1" applyAlignment="1" applyProtection="1"/>
    <xf numFmtId="4" fontId="13" fillId="0" borderId="0" xfId="5" applyNumberFormat="1" applyFont="1" applyFill="1" applyBorder="1" applyAlignment="1" applyProtection="1"/>
    <xf numFmtId="0" fontId="13" fillId="0" borderId="0" xfId="5" applyNumberFormat="1" applyFont="1" applyFill="1" applyBorder="1" applyAlignment="1" applyProtection="1">
      <alignment horizontal="right"/>
    </xf>
    <xf numFmtId="4" fontId="6" fillId="0" borderId="0" xfId="5" applyNumberFormat="1" applyFont="1" applyFill="1" applyBorder="1" applyAlignment="1" applyProtection="1">
      <alignment horizontal="right"/>
    </xf>
    <xf numFmtId="4" fontId="14" fillId="0" borderId="0" xfId="5" applyNumberFormat="1" applyFont="1" applyFill="1" applyBorder="1" applyAlignment="1" applyProtection="1">
      <alignment horizontal="right"/>
    </xf>
    <xf numFmtId="0" fontId="6" fillId="0" borderId="0" xfId="0" applyFont="1"/>
    <xf numFmtId="0" fontId="0" fillId="0" borderId="0" xfId="0" applyBorder="1"/>
    <xf numFmtId="0" fontId="0" fillId="0" borderId="0" xfId="0" applyAlignment="1">
      <alignment horizontal="centerContinuous"/>
    </xf>
    <xf numFmtId="0" fontId="11" fillId="0" borderId="0" xfId="0" applyFont="1" applyProtection="1"/>
    <xf numFmtId="3" fontId="0" fillId="0" borderId="0" xfId="0" applyNumberFormat="1" applyProtection="1"/>
    <xf numFmtId="0" fontId="7" fillId="0" borderId="0" xfId="3" applyFont="1" applyAlignment="1" applyProtection="1">
      <alignment horizontal="left"/>
    </xf>
    <xf numFmtId="9" fontId="0" fillId="0" borderId="0" xfId="0" applyNumberFormat="1"/>
    <xf numFmtId="0" fontId="3" fillId="0" borderId="0" xfId="0" applyFont="1" applyAlignment="1" applyProtection="1">
      <alignment horizontal="centerContinuous"/>
    </xf>
    <xf numFmtId="0" fontId="0" fillId="0" borderId="0" xfId="0" applyAlignment="1" applyProtection="1">
      <alignment horizontal="centerContinuous"/>
    </xf>
    <xf numFmtId="10" fontId="0" fillId="0" borderId="0" xfId="0" applyNumberFormat="1" applyProtection="1"/>
    <xf numFmtId="9" fontId="0" fillId="0" borderId="0" xfId="0" applyNumberFormat="1" applyProtection="1"/>
    <xf numFmtId="0" fontId="7" fillId="0" borderId="0" xfId="3" applyFont="1" applyAlignment="1" applyProtection="1"/>
    <xf numFmtId="0" fontId="8" fillId="0" borderId="0" xfId="0" applyFont="1" applyProtection="1"/>
    <xf numFmtId="0" fontId="8" fillId="0" borderId="0" xfId="0" applyFont="1"/>
    <xf numFmtId="0" fontId="2" fillId="0" borderId="0" xfId="3" applyAlignment="1" applyProtection="1">
      <alignment horizontal="left"/>
    </xf>
    <xf numFmtId="0" fontId="25" fillId="2" borderId="0" xfId="6" applyFill="1"/>
    <xf numFmtId="0" fontId="25" fillId="3" borderId="0" xfId="6" applyFill="1"/>
    <xf numFmtId="0" fontId="24" fillId="3" borderId="0" xfId="6" applyFont="1" applyFill="1"/>
    <xf numFmtId="0" fontId="25" fillId="3" borderId="0" xfId="6" applyFill="1" applyAlignment="1">
      <alignment horizontal="centerContinuous"/>
    </xf>
    <xf numFmtId="0" fontId="11" fillId="0" borderId="0" xfId="4" applyFill="1" applyBorder="1"/>
    <xf numFmtId="0" fontId="2" fillId="0" borderId="0" xfId="3" applyFill="1" applyAlignment="1" applyProtection="1">
      <alignment horizontal="left"/>
    </xf>
    <xf numFmtId="0" fontId="2" fillId="0" borderId="0" xfId="3" applyFill="1" applyAlignment="1" applyProtection="1"/>
    <xf numFmtId="0" fontId="19" fillId="0" borderId="0" xfId="4" applyFont="1" applyFill="1" applyBorder="1"/>
    <xf numFmtId="0" fontId="19" fillId="0" borderId="0" xfId="4" quotePrefix="1" applyFont="1" applyFill="1" applyBorder="1"/>
    <xf numFmtId="0" fontId="27" fillId="2" borderId="0" xfId="6" applyFont="1" applyFill="1" applyAlignment="1">
      <alignment horizontal="centerContinuous"/>
    </xf>
    <xf numFmtId="0" fontId="25" fillId="2" borderId="0" xfId="6" applyFill="1" applyAlignment="1">
      <alignment horizontal="centerContinuous"/>
    </xf>
    <xf numFmtId="0" fontId="25" fillId="2" borderId="0" xfId="6" applyFill="1" applyAlignment="1">
      <alignment horizontal="center"/>
    </xf>
    <xf numFmtId="0" fontId="28" fillId="2" borderId="0" xfId="6" applyFont="1" applyFill="1" applyAlignment="1">
      <alignment horizontal="center"/>
    </xf>
    <xf numFmtId="0" fontId="18" fillId="0" borderId="0" xfId="4" applyFont="1" applyAlignment="1">
      <alignment horizontal="left"/>
    </xf>
    <xf numFmtId="0" fontId="25" fillId="2" borderId="0" xfId="6" applyFill="1" applyBorder="1"/>
    <xf numFmtId="0" fontId="18" fillId="0" borderId="0" xfId="4" applyFont="1" applyAlignment="1">
      <alignment horizontal="centerContinuous"/>
    </xf>
    <xf numFmtId="0" fontId="18" fillId="0" borderId="0" xfId="4" applyFont="1" applyBorder="1" applyAlignment="1">
      <alignment horizontal="centerContinuous"/>
    </xf>
    <xf numFmtId="0" fontId="18" fillId="0" borderId="1" xfId="4" applyFont="1" applyBorder="1" applyAlignment="1">
      <alignment horizontal="centerContinuous"/>
    </xf>
    <xf numFmtId="0" fontId="11" fillId="0" borderId="0" xfId="4"/>
    <xf numFmtId="0" fontId="11" fillId="0" borderId="0" xfId="0" applyFont="1"/>
    <xf numFmtId="0" fontId="18" fillId="0" borderId="0" xfId="0" applyFont="1"/>
    <xf numFmtId="0" fontId="7" fillId="0" borderId="0" xfId="5" applyNumberFormat="1" applyFont="1" applyFill="1" applyBorder="1" applyAlignment="1" applyProtection="1">
      <alignment horizontal="centerContinuous"/>
    </xf>
    <xf numFmtId="0" fontId="13" fillId="0" borderId="0" xfId="5" applyAlignment="1" applyProtection="1">
      <alignment horizontal="centerContinuous"/>
    </xf>
    <xf numFmtId="0" fontId="6" fillId="0" borderId="0" xfId="5" applyNumberFormat="1" applyFont="1" applyFill="1" applyBorder="1" applyAlignment="1" applyProtection="1">
      <alignment horizontal="centerContinuous"/>
    </xf>
    <xf numFmtId="0" fontId="30" fillId="0" borderId="0" xfId="0" applyFont="1" applyFill="1" applyBorder="1" applyAlignment="1">
      <alignment horizontal="centerContinuous" vertical="center"/>
    </xf>
    <xf numFmtId="0" fontId="0" fillId="0" borderId="0" xfId="0" applyFill="1" applyBorder="1" applyAlignment="1">
      <alignment horizontal="centerContinuous" vertical="center"/>
    </xf>
    <xf numFmtId="0" fontId="0" fillId="4" borderId="0" xfId="0" applyFill="1" applyProtection="1"/>
    <xf numFmtId="0" fontId="0" fillId="4" borderId="2" xfId="0" applyFill="1" applyBorder="1"/>
    <xf numFmtId="0" fontId="0" fillId="4" borderId="3" xfId="0" applyFill="1" applyBorder="1" applyProtection="1"/>
    <xf numFmtId="0" fontId="4" fillId="4" borderId="3" xfId="0" applyFont="1" applyFill="1" applyBorder="1" applyAlignment="1" applyProtection="1">
      <alignment horizontal="right"/>
    </xf>
    <xf numFmtId="0" fontId="0" fillId="4" borderId="4" xfId="0" applyFill="1" applyBorder="1" applyProtection="1"/>
    <xf numFmtId="0" fontId="0" fillId="4" borderId="5" xfId="0" applyFill="1" applyBorder="1"/>
    <xf numFmtId="0" fontId="0" fillId="4" borderId="6" xfId="0" applyFill="1" applyBorder="1"/>
    <xf numFmtId="43" fontId="1" fillId="4" borderId="7" xfId="1" applyFill="1" applyBorder="1" applyProtection="1"/>
    <xf numFmtId="10" fontId="1" fillId="4" borderId="7" xfId="7" applyNumberFormat="1" applyFill="1" applyBorder="1" applyProtection="1"/>
    <xf numFmtId="0" fontId="0" fillId="4" borderId="7" xfId="0" applyFill="1" applyBorder="1" applyProtection="1"/>
    <xf numFmtId="8" fontId="1" fillId="4" borderId="7" xfId="1" applyNumberFormat="1" applyFill="1" applyBorder="1" applyProtection="1"/>
    <xf numFmtId="0" fontId="0" fillId="4" borderId="8" xfId="0" applyFill="1" applyBorder="1" applyProtection="1"/>
    <xf numFmtId="0" fontId="11" fillId="4" borderId="9" xfId="0" applyFont="1" applyFill="1" applyBorder="1" applyAlignment="1" applyProtection="1">
      <alignment horizontal="right"/>
    </xf>
    <xf numFmtId="10" fontId="5" fillId="0" borderId="7" xfId="7" applyNumberFormat="1" applyFont="1" applyFill="1" applyBorder="1" applyProtection="1">
      <protection locked="0"/>
    </xf>
    <xf numFmtId="8" fontId="5" fillId="0" borderId="2" xfId="1" applyNumberFormat="1" applyFont="1" applyFill="1" applyBorder="1" applyProtection="1">
      <protection locked="0"/>
    </xf>
    <xf numFmtId="0" fontId="0" fillId="0" borderId="2" xfId="0" applyBorder="1"/>
    <xf numFmtId="0" fontId="0" fillId="0" borderId="4" xfId="0" applyBorder="1" applyProtection="1"/>
    <xf numFmtId="0" fontId="0" fillId="0" borderId="6" xfId="0" applyBorder="1"/>
    <xf numFmtId="0" fontId="0" fillId="0" borderId="8" xfId="0" applyBorder="1" applyProtection="1"/>
    <xf numFmtId="0" fontId="31" fillId="0" borderId="3" xfId="0" applyFont="1" applyBorder="1" applyAlignment="1" applyProtection="1">
      <alignment horizontal="center"/>
    </xf>
    <xf numFmtId="0" fontId="32" fillId="0" borderId="7" xfId="0" applyFont="1" applyBorder="1" applyAlignment="1" applyProtection="1">
      <alignment horizontal="center"/>
    </xf>
    <xf numFmtId="0" fontId="33" fillId="0" borderId="7" xfId="0" applyFont="1" applyBorder="1" applyAlignment="1" applyProtection="1">
      <alignment horizontal="center"/>
    </xf>
    <xf numFmtId="37" fontId="22" fillId="0" borderId="10" xfId="0" applyNumberFormat="1" applyFont="1" applyBorder="1" applyProtection="1">
      <protection locked="0"/>
    </xf>
    <xf numFmtId="37" fontId="22" fillId="0" borderId="11" xfId="0" applyNumberFormat="1" applyFont="1" applyBorder="1" applyProtection="1">
      <protection locked="0"/>
    </xf>
    <xf numFmtId="37" fontId="10" fillId="0" borderId="11" xfId="0" applyNumberFormat="1" applyFont="1" applyBorder="1" applyProtection="1"/>
    <xf numFmtId="37" fontId="10" fillId="0" borderId="12" xfId="0" applyNumberFormat="1" applyFont="1" applyBorder="1" applyProtection="1"/>
    <xf numFmtId="0" fontId="10" fillId="4" borderId="0" xfId="0" applyFont="1" applyFill="1" applyBorder="1" applyAlignment="1" applyProtection="1">
      <alignment horizontal="left"/>
    </xf>
    <xf numFmtId="0" fontId="10" fillId="4" borderId="0" xfId="0" applyFont="1" applyFill="1" applyBorder="1" applyProtection="1"/>
    <xf numFmtId="0" fontId="9" fillId="4" borderId="0" xfId="0" applyFont="1" applyFill="1" applyBorder="1" applyProtection="1"/>
    <xf numFmtId="14" fontId="21" fillId="0" borderId="2" xfId="0" applyNumberFormat="1" applyFont="1" applyBorder="1" applyAlignment="1" applyProtection="1">
      <alignment horizontal="left"/>
      <protection locked="0"/>
    </xf>
    <xf numFmtId="14" fontId="0" fillId="0" borderId="8" xfId="0" applyNumberFormat="1" applyBorder="1" applyProtection="1">
      <protection locked="0"/>
    </xf>
    <xf numFmtId="0" fontId="9" fillId="4" borderId="0" xfId="0" applyFont="1" applyFill="1" applyBorder="1" applyAlignment="1" applyProtection="1">
      <alignment horizontal="left"/>
    </xf>
    <xf numFmtId="0" fontId="10" fillId="4" borderId="2" xfId="0" applyFont="1" applyFill="1" applyBorder="1" applyProtection="1"/>
    <xf numFmtId="0" fontId="10" fillId="4" borderId="3" xfId="0" applyFont="1" applyFill="1" applyBorder="1" applyProtection="1"/>
    <xf numFmtId="0" fontId="34" fillId="4" borderId="6" xfId="0" applyFont="1" applyFill="1" applyBorder="1" applyAlignment="1" applyProtection="1">
      <alignment horizontal="left"/>
    </xf>
    <xf numFmtId="0" fontId="9" fillId="4" borderId="7" xfId="0" applyFont="1" applyFill="1" applyBorder="1" applyAlignment="1" applyProtection="1">
      <alignment horizontal="left"/>
    </xf>
    <xf numFmtId="0" fontId="0" fillId="0" borderId="4" xfId="0" applyBorder="1" applyProtection="1">
      <protection locked="0"/>
    </xf>
    <xf numFmtId="0" fontId="0" fillId="0" borderId="8" xfId="0" applyBorder="1" applyProtection="1">
      <protection locked="0"/>
    </xf>
    <xf numFmtId="0" fontId="0" fillId="0" borderId="10" xfId="0" applyBorder="1" applyProtection="1"/>
    <xf numFmtId="0" fontId="0" fillId="0" borderId="11" xfId="0" applyBorder="1" applyProtection="1"/>
    <xf numFmtId="0" fontId="23" fillId="0" borderId="11" xfId="0" applyFont="1" applyBorder="1" applyProtection="1">
      <protection locked="0"/>
    </xf>
    <xf numFmtId="0" fontId="0" fillId="0" borderId="12" xfId="0" applyBorder="1" applyProtection="1">
      <protection locked="0"/>
    </xf>
    <xf numFmtId="10" fontId="10" fillId="4" borderId="12" xfId="7" applyNumberFormat="1" applyFont="1" applyFill="1" applyBorder="1" applyProtection="1"/>
    <xf numFmtId="37" fontId="10" fillId="4" borderId="0" xfId="0" applyNumberFormat="1" applyFont="1" applyFill="1" applyBorder="1" applyProtection="1"/>
    <xf numFmtId="10" fontId="10" fillId="4" borderId="0" xfId="7" applyNumberFormat="1" applyFont="1" applyFill="1" applyBorder="1" applyProtection="1"/>
    <xf numFmtId="0" fontId="23" fillId="0" borderId="12" xfId="0" applyFont="1" applyBorder="1" applyProtection="1">
      <protection locked="0"/>
    </xf>
    <xf numFmtId="0" fontId="0" fillId="4" borderId="0" xfId="0" applyFill="1" applyBorder="1" applyProtection="1"/>
    <xf numFmtId="0" fontId="0" fillId="0" borderId="3" xfId="0" applyBorder="1" applyProtection="1"/>
    <xf numFmtId="14" fontId="0" fillId="0" borderId="7" xfId="0" applyNumberFormat="1" applyBorder="1" applyProtection="1">
      <protection locked="0"/>
    </xf>
    <xf numFmtId="0" fontId="0" fillId="0" borderId="13" xfId="0" applyBorder="1" applyProtection="1"/>
    <xf numFmtId="0" fontId="0" fillId="0" borderId="3" xfId="0" applyBorder="1" applyProtection="1">
      <protection locked="0"/>
    </xf>
    <xf numFmtId="0" fontId="0" fillId="0" borderId="7" xfId="0" applyBorder="1" applyProtection="1">
      <protection locked="0"/>
    </xf>
    <xf numFmtId="14" fontId="0" fillId="0" borderId="8" xfId="0" applyNumberFormat="1" applyBorder="1" applyProtection="1"/>
    <xf numFmtId="0" fontId="0" fillId="4" borderId="5" xfId="0" applyFill="1" applyBorder="1" applyProtection="1"/>
    <xf numFmtId="0" fontId="3" fillId="4" borderId="8" xfId="0" applyFont="1" applyFill="1" applyBorder="1" applyAlignment="1" applyProtection="1">
      <alignment horizontal="center"/>
    </xf>
    <xf numFmtId="0" fontId="0" fillId="4" borderId="0" xfId="0" applyFill="1" applyBorder="1" applyProtection="1">
      <protection locked="0"/>
    </xf>
    <xf numFmtId="0" fontId="34" fillId="4" borderId="2" xfId="0" applyFont="1" applyFill="1" applyBorder="1" applyAlignment="1" applyProtection="1">
      <alignment horizontal="left"/>
    </xf>
    <xf numFmtId="0" fontId="9" fillId="4" borderId="3" xfId="0" applyFont="1" applyFill="1" applyBorder="1" applyAlignment="1" applyProtection="1">
      <alignment horizontal="left"/>
    </xf>
    <xf numFmtId="0" fontId="10" fillId="4" borderId="9" xfId="0" applyFont="1" applyFill="1" applyBorder="1" applyAlignment="1" applyProtection="1">
      <alignment horizontal="left"/>
    </xf>
    <xf numFmtId="0" fontId="10" fillId="4" borderId="9" xfId="0" applyFont="1" applyFill="1" applyBorder="1" applyProtection="1"/>
    <xf numFmtId="0" fontId="35" fillId="4" borderId="2" xfId="0" applyFont="1" applyFill="1" applyBorder="1" applyProtection="1"/>
    <xf numFmtId="0" fontId="35" fillId="4" borderId="3" xfId="0" applyFont="1" applyFill="1" applyBorder="1" applyProtection="1"/>
    <xf numFmtId="0" fontId="34" fillId="4" borderId="7" xfId="0" applyFont="1" applyFill="1" applyBorder="1" applyAlignment="1" applyProtection="1">
      <alignment horizontal="left"/>
    </xf>
    <xf numFmtId="37" fontId="10" fillId="4" borderId="3" xfId="0" applyNumberFormat="1" applyFont="1" applyFill="1" applyBorder="1" applyProtection="1"/>
    <xf numFmtId="37" fontId="10" fillId="4" borderId="7" xfId="0" applyNumberFormat="1" applyFont="1" applyFill="1" applyBorder="1" applyProtection="1"/>
    <xf numFmtId="0" fontId="10" fillId="4" borderId="4" xfId="0" applyFont="1" applyFill="1" applyBorder="1" applyProtection="1"/>
    <xf numFmtId="37" fontId="22" fillId="0" borderId="14" xfId="0" applyNumberFormat="1" applyFont="1" applyBorder="1" applyProtection="1">
      <protection locked="0"/>
    </xf>
    <xf numFmtId="0" fontId="34" fillId="4" borderId="9" xfId="0" applyFont="1" applyFill="1" applyBorder="1" applyProtection="1"/>
    <xf numFmtId="0" fontId="9" fillId="4" borderId="9" xfId="0" applyFont="1" applyFill="1" applyBorder="1" applyProtection="1"/>
    <xf numFmtId="0" fontId="34" fillId="4" borderId="9" xfId="0" applyFont="1" applyFill="1" applyBorder="1" applyAlignment="1" applyProtection="1">
      <alignment horizontal="left"/>
    </xf>
    <xf numFmtId="0" fontId="34" fillId="4" borderId="9" xfId="0" applyFont="1" applyFill="1" applyBorder="1" applyAlignment="1" applyProtection="1">
      <alignment horizontal="left"/>
      <protection locked="0"/>
    </xf>
    <xf numFmtId="0" fontId="9" fillId="4" borderId="9" xfId="0" applyFont="1" applyFill="1" applyBorder="1" applyAlignment="1" applyProtection="1">
      <alignment horizontal="left"/>
    </xf>
    <xf numFmtId="0" fontId="31" fillId="4" borderId="9" xfId="0" applyFont="1" applyFill="1" applyBorder="1" applyProtection="1"/>
    <xf numFmtId="0" fontId="0" fillId="4" borderId="6" xfId="0" applyFill="1" applyBorder="1" applyProtection="1"/>
    <xf numFmtId="0" fontId="9" fillId="0" borderId="13" xfId="0" applyFont="1" applyBorder="1" applyAlignment="1" applyProtection="1">
      <alignment horizontal="left"/>
    </xf>
    <xf numFmtId="0" fontId="34" fillId="4" borderId="2" xfId="0" applyFont="1" applyFill="1" applyBorder="1" applyAlignment="1" applyProtection="1">
      <alignment horizontal="left"/>
      <protection locked="0"/>
    </xf>
    <xf numFmtId="3" fontId="36" fillId="0" borderId="10" xfId="1" applyNumberFormat="1" applyFont="1" applyFill="1" applyBorder="1" applyProtection="1">
      <protection locked="0"/>
    </xf>
    <xf numFmtId="3" fontId="36" fillId="0" borderId="11" xfId="1" applyNumberFormat="1" applyFont="1" applyFill="1" applyBorder="1" applyProtection="1">
      <protection locked="0"/>
    </xf>
    <xf numFmtId="3" fontId="36" fillId="0" borderId="12" xfId="1" applyNumberFormat="1" applyFont="1" applyFill="1" applyBorder="1" applyProtection="1">
      <protection locked="0"/>
    </xf>
    <xf numFmtId="9" fontId="36" fillId="0" borderId="14" xfId="7" applyFont="1" applyFill="1" applyBorder="1" applyAlignment="1" applyProtection="1">
      <alignment horizontal="center"/>
      <protection locked="0"/>
    </xf>
    <xf numFmtId="0" fontId="0" fillId="4" borderId="3" xfId="0" applyFill="1" applyBorder="1"/>
    <xf numFmtId="0" fontId="3" fillId="4" borderId="3" xfId="0" applyFont="1" applyFill="1" applyBorder="1" applyAlignment="1">
      <alignment horizontal="center"/>
    </xf>
    <xf numFmtId="0" fontId="0" fillId="4" borderId="9" xfId="0" applyFill="1" applyBorder="1"/>
    <xf numFmtId="164" fontId="0" fillId="4" borderId="0" xfId="0" applyNumberFormat="1" applyFill="1" applyBorder="1"/>
    <xf numFmtId="3" fontId="11" fillId="4" borderId="0" xfId="1" applyNumberFormat="1" applyFont="1" applyFill="1" applyBorder="1"/>
    <xf numFmtId="0" fontId="3" fillId="4" borderId="9" xfId="0" applyFont="1" applyFill="1" applyBorder="1"/>
    <xf numFmtId="0" fontId="0" fillId="4" borderId="0" xfId="0" applyFill="1" applyBorder="1"/>
    <xf numFmtId="0" fontId="3" fillId="4" borderId="6" xfId="0" applyFont="1" applyFill="1" applyBorder="1"/>
    <xf numFmtId="10" fontId="3" fillId="4" borderId="7" xfId="0" applyNumberFormat="1" applyFont="1" applyFill="1" applyBorder="1" applyAlignment="1">
      <alignment horizontal="right"/>
    </xf>
    <xf numFmtId="0" fontId="0" fillId="4" borderId="7" xfId="0" applyFill="1" applyBorder="1"/>
    <xf numFmtId="0" fontId="0" fillId="4" borderId="8" xfId="0" applyFill="1" applyBorder="1"/>
    <xf numFmtId="0" fontId="0" fillId="4" borderId="4" xfId="0" applyFill="1" applyBorder="1"/>
    <xf numFmtId="0" fontId="37" fillId="4" borderId="15" xfId="0" applyFont="1" applyFill="1" applyBorder="1" applyAlignment="1">
      <alignment horizontal="centerContinuous"/>
    </xf>
    <xf numFmtId="0" fontId="38" fillId="4" borderId="16" xfId="0" applyFont="1" applyFill="1" applyBorder="1" applyAlignment="1">
      <alignment horizontal="centerContinuous"/>
    </xf>
    <xf numFmtId="0" fontId="38" fillId="4" borderId="17" xfId="0" applyFont="1" applyFill="1" applyBorder="1"/>
    <xf numFmtId="0" fontId="37" fillId="4" borderId="15" xfId="5" applyNumberFormat="1" applyFont="1" applyFill="1" applyBorder="1" applyAlignment="1" applyProtection="1">
      <alignment horizontal="centerContinuous"/>
    </xf>
    <xf numFmtId="0" fontId="13" fillId="4" borderId="16" xfId="5" applyFill="1" applyBorder="1" applyAlignment="1" applyProtection="1">
      <alignment horizontal="centerContinuous"/>
    </xf>
    <xf numFmtId="0" fontId="38" fillId="4" borderId="16" xfId="5" applyNumberFormat="1" applyFont="1" applyFill="1" applyBorder="1" applyAlignment="1" applyProtection="1">
      <alignment horizontal="centerContinuous"/>
    </xf>
    <xf numFmtId="0" fontId="38" fillId="4" borderId="17" xfId="5" applyFont="1" applyFill="1" applyBorder="1" applyAlignment="1">
      <alignment horizontal="centerContinuous"/>
    </xf>
    <xf numFmtId="0" fontId="14" fillId="4" borderId="0" xfId="5" applyNumberFormat="1" applyFont="1" applyFill="1" applyBorder="1" applyAlignment="1" applyProtection="1">
      <alignment horizontal="right"/>
    </xf>
    <xf numFmtId="4" fontId="6" fillId="4" borderId="0" xfId="5" applyNumberFormat="1" applyFont="1" applyFill="1" applyBorder="1" applyAlignment="1" applyProtection="1">
      <alignment horizontal="right"/>
    </xf>
    <xf numFmtId="14" fontId="16" fillId="0" borderId="0" xfId="5" applyNumberFormat="1" applyFont="1" applyBorder="1"/>
    <xf numFmtId="14" fontId="6" fillId="0" borderId="0" xfId="5" applyNumberFormat="1" applyFont="1" applyFill="1" applyBorder="1" applyAlignment="1" applyProtection="1">
      <alignment horizontal="right"/>
      <protection locked="0"/>
    </xf>
    <xf numFmtId="0" fontId="6" fillId="4" borderId="2" xfId="5" applyFont="1" applyFill="1" applyBorder="1" applyProtection="1"/>
    <xf numFmtId="0" fontId="6" fillId="4" borderId="3" xfId="5" applyFont="1" applyFill="1" applyBorder="1" applyProtection="1"/>
    <xf numFmtId="0" fontId="6" fillId="4" borderId="4" xfId="5" applyFont="1" applyFill="1" applyBorder="1" applyProtection="1"/>
    <xf numFmtId="0" fontId="6" fillId="4" borderId="9" xfId="5" applyFont="1" applyFill="1" applyBorder="1" applyProtection="1"/>
    <xf numFmtId="0" fontId="6" fillId="4" borderId="5" xfId="5" applyNumberFormat="1" applyFont="1" applyFill="1" applyBorder="1" applyAlignment="1" applyProtection="1"/>
    <xf numFmtId="0" fontId="6" fillId="4" borderId="9" xfId="5" applyNumberFormat="1" applyFont="1" applyFill="1" applyBorder="1" applyAlignment="1" applyProtection="1"/>
    <xf numFmtId="0" fontId="6" fillId="4" borderId="5" xfId="5" applyFont="1" applyFill="1" applyBorder="1" applyProtection="1"/>
    <xf numFmtId="0" fontId="6" fillId="4" borderId="8" xfId="5" applyFont="1" applyFill="1" applyBorder="1" applyProtection="1"/>
    <xf numFmtId="0" fontId="14" fillId="4" borderId="3" xfId="5" applyNumberFormat="1" applyFont="1" applyFill="1" applyBorder="1" applyAlignment="1" applyProtection="1">
      <alignment horizontal="right"/>
    </xf>
    <xf numFmtId="0" fontId="37" fillId="4" borderId="15" xfId="0" applyFont="1" applyFill="1" applyBorder="1" applyAlignment="1" applyProtection="1">
      <alignment horizontal="centerContinuous" vertical="center"/>
    </xf>
    <xf numFmtId="0" fontId="37" fillId="4" borderId="16" xfId="0" applyFont="1" applyFill="1" applyBorder="1" applyAlignment="1" applyProtection="1">
      <alignment horizontal="centerContinuous" vertical="center"/>
    </xf>
    <xf numFmtId="0" fontId="38" fillId="4" borderId="17" xfId="0" applyFont="1" applyFill="1" applyBorder="1" applyAlignment="1" applyProtection="1">
      <alignment horizontal="centerContinuous"/>
    </xf>
    <xf numFmtId="0" fontId="9" fillId="0" borderId="3" xfId="0" applyFont="1" applyBorder="1" applyAlignment="1" applyProtection="1">
      <alignment horizontal="left"/>
    </xf>
    <xf numFmtId="0" fontId="9" fillId="0" borderId="16" xfId="0" applyFont="1" applyBorder="1" applyAlignment="1" applyProtection="1">
      <alignment horizontal="left"/>
    </xf>
    <xf numFmtId="0" fontId="9" fillId="4" borderId="2" xfId="0" applyFont="1" applyFill="1" applyBorder="1" applyAlignment="1" applyProtection="1">
      <alignment horizontal="left"/>
    </xf>
    <xf numFmtId="0" fontId="9" fillId="4" borderId="6" xfId="0" applyFont="1" applyFill="1" applyBorder="1" applyAlignment="1" applyProtection="1">
      <alignment horizontal="left"/>
    </xf>
    <xf numFmtId="0" fontId="9" fillId="4" borderId="6" xfId="0" applyFont="1" applyFill="1" applyBorder="1" applyProtection="1"/>
    <xf numFmtId="0" fontId="9" fillId="4" borderId="7" xfId="0" applyFont="1" applyFill="1" applyBorder="1" applyProtection="1"/>
    <xf numFmtId="0" fontId="0" fillId="4" borderId="2" xfId="0" applyFill="1" applyBorder="1" applyProtection="1"/>
    <xf numFmtId="0" fontId="0" fillId="4" borderId="9" xfId="0" applyFill="1" applyBorder="1" applyProtection="1"/>
    <xf numFmtId="0" fontId="3" fillId="4" borderId="6" xfId="0" applyFont="1" applyFill="1" applyBorder="1" applyProtection="1"/>
    <xf numFmtId="0" fontId="3" fillId="4" borderId="9" xfId="0" applyFont="1" applyFill="1" applyBorder="1" applyProtection="1"/>
    <xf numFmtId="37" fontId="39" fillId="0" borderId="11" xfId="0" applyNumberFormat="1" applyFont="1" applyBorder="1" applyProtection="1">
      <protection locked="0"/>
    </xf>
    <xf numFmtId="37" fontId="39" fillId="0" borderId="12" xfId="0" applyNumberFormat="1" applyFont="1" applyBorder="1" applyProtection="1">
      <protection locked="0"/>
    </xf>
    <xf numFmtId="0" fontId="10" fillId="4" borderId="5" xfId="0" applyFont="1" applyFill="1" applyBorder="1" applyProtection="1"/>
    <xf numFmtId="37" fontId="10" fillId="4" borderId="5" xfId="0" applyNumberFormat="1" applyFont="1" applyFill="1" applyBorder="1" applyProtection="1"/>
    <xf numFmtId="37" fontId="39" fillId="0" borderId="14" xfId="0" applyNumberFormat="1" applyFont="1" applyBorder="1" applyProtection="1">
      <protection locked="0"/>
    </xf>
    <xf numFmtId="37" fontId="39" fillId="0" borderId="10" xfId="0" applyNumberFormat="1" applyFont="1" applyBorder="1" applyProtection="1">
      <protection locked="0"/>
    </xf>
    <xf numFmtId="0" fontId="37" fillId="0" borderId="16" xfId="0" applyFont="1" applyFill="1" applyBorder="1" applyAlignment="1" applyProtection="1">
      <alignment horizontal="centerContinuous" vertical="center"/>
    </xf>
    <xf numFmtId="0" fontId="38" fillId="0" borderId="16" xfId="0" applyFont="1" applyFill="1" applyBorder="1" applyAlignment="1" applyProtection="1">
      <alignment horizontal="centerContinuous"/>
    </xf>
    <xf numFmtId="0" fontId="38" fillId="4" borderId="16" xfId="0" applyFont="1" applyFill="1" applyBorder="1" applyAlignment="1" applyProtection="1">
      <alignment horizontal="centerContinuous"/>
    </xf>
    <xf numFmtId="0" fontId="0" fillId="4" borderId="17" xfId="0" applyFill="1" applyBorder="1"/>
    <xf numFmtId="0" fontId="0" fillId="4" borderId="10" xfId="0" applyFill="1" applyBorder="1"/>
    <xf numFmtId="0" fontId="0" fillId="4" borderId="11" xfId="0" applyFill="1" applyBorder="1"/>
    <xf numFmtId="0" fontId="0" fillId="4" borderId="12" xfId="0" applyFill="1" applyBorder="1"/>
    <xf numFmtId="37" fontId="10" fillId="4" borderId="16" xfId="0" applyNumberFormat="1" applyFont="1" applyFill="1" applyBorder="1" applyProtection="1"/>
    <xf numFmtId="0" fontId="0" fillId="4" borderId="16" xfId="0" applyFill="1" applyBorder="1" applyProtection="1"/>
    <xf numFmtId="0" fontId="9" fillId="4" borderId="5" xfId="0" applyFont="1" applyFill="1" applyBorder="1" applyProtection="1"/>
    <xf numFmtId="0" fontId="38" fillId="4" borderId="17" xfId="0" applyFont="1" applyFill="1" applyBorder="1" applyAlignment="1">
      <alignment horizontal="centerContinuous"/>
    </xf>
    <xf numFmtId="3" fontId="5" fillId="0" borderId="3" xfId="1" applyNumberFormat="1" applyFont="1" applyBorder="1" applyProtection="1">
      <protection locked="0"/>
    </xf>
    <xf numFmtId="3" fontId="20" fillId="0" borderId="3" xfId="1" applyNumberFormat="1" applyFont="1" applyBorder="1" applyProtection="1">
      <protection locked="0"/>
    </xf>
    <xf numFmtId="0" fontId="0" fillId="0" borderId="9" xfId="0" applyBorder="1"/>
    <xf numFmtId="3" fontId="5" fillId="0" borderId="0" xfId="1" applyNumberFormat="1" applyFont="1" applyBorder="1" applyProtection="1">
      <protection locked="0"/>
    </xf>
    <xf numFmtId="3" fontId="20" fillId="0" borderId="0" xfId="1" applyNumberFormat="1" applyFont="1" applyBorder="1" applyProtection="1">
      <protection locked="0"/>
    </xf>
    <xf numFmtId="3" fontId="5" fillId="0" borderId="7" xfId="1" applyNumberFormat="1" applyFont="1" applyBorder="1" applyProtection="1">
      <protection locked="0"/>
    </xf>
    <xf numFmtId="3" fontId="20" fillId="0" borderId="7" xfId="1" applyNumberFormat="1" applyFont="1" applyBorder="1" applyProtection="1">
      <protection locked="0"/>
    </xf>
    <xf numFmtId="0" fontId="0" fillId="4" borderId="3"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4" borderId="15" xfId="0" applyFill="1" applyBorder="1"/>
    <xf numFmtId="0" fontId="0" fillId="4" borderId="16" xfId="0" applyFill="1" applyBorder="1"/>
    <xf numFmtId="6" fontId="0" fillId="4" borderId="17" xfId="0" applyNumberFormat="1" applyFill="1" applyBorder="1"/>
    <xf numFmtId="10" fontId="5" fillId="0" borderId="17" xfId="7" applyNumberFormat="1" applyFont="1" applyBorder="1" applyProtection="1">
      <protection locked="0"/>
    </xf>
    <xf numFmtId="0" fontId="0" fillId="4" borderId="15" xfId="0" applyFill="1" applyBorder="1" applyAlignment="1">
      <alignment horizontal="left"/>
    </xf>
    <xf numFmtId="0" fontId="37" fillId="4" borderId="16" xfId="0" applyFont="1" applyFill="1" applyBorder="1" applyAlignment="1">
      <alignment horizontal="centerContinuous"/>
    </xf>
    <xf numFmtId="0" fontId="37" fillId="4" borderId="17" xfId="0" applyFont="1" applyFill="1" applyBorder="1" applyAlignment="1">
      <alignment horizontal="centerContinuous"/>
    </xf>
    <xf numFmtId="0" fontId="3" fillId="4" borderId="16" xfId="0" applyFont="1" applyFill="1" applyBorder="1" applyAlignment="1" applyProtection="1">
      <alignment horizontal="right"/>
    </xf>
    <xf numFmtId="0" fontId="3" fillId="4" borderId="16" xfId="0" quotePrefix="1" applyFont="1" applyFill="1" applyBorder="1" applyAlignment="1" applyProtection="1">
      <alignment horizontal="right"/>
    </xf>
    <xf numFmtId="0" fontId="3" fillId="4" borderId="17" xfId="0" applyFont="1" applyFill="1" applyBorder="1" applyAlignment="1" applyProtection="1">
      <alignment horizontal="right"/>
    </xf>
    <xf numFmtId="0" fontId="11" fillId="4" borderId="10" xfId="0" applyFont="1" applyFill="1" applyBorder="1" applyProtection="1"/>
    <xf numFmtId="0" fontId="11" fillId="4" borderId="11" xfId="0" applyFont="1" applyFill="1" applyBorder="1" applyProtection="1"/>
    <xf numFmtId="0" fontId="11" fillId="4" borderId="12" xfId="0" applyFont="1" applyFill="1" applyBorder="1" applyProtection="1"/>
    <xf numFmtId="0" fontId="5" fillId="0" borderId="2" xfId="0" applyFont="1" applyBorder="1" applyProtection="1">
      <protection locked="0"/>
    </xf>
    <xf numFmtId="10" fontId="5" fillId="0" borderId="3" xfId="7" applyNumberFormat="1" applyFont="1" applyBorder="1" applyProtection="1">
      <protection locked="0"/>
    </xf>
    <xf numFmtId="39" fontId="1" fillId="0" borderId="3" xfId="1" applyNumberFormat="1" applyBorder="1" applyAlignment="1" applyProtection="1">
      <alignment horizontal="right"/>
    </xf>
    <xf numFmtId="39" fontId="5" fillId="0" borderId="4" xfId="1" applyNumberFormat="1" applyFont="1" applyBorder="1" applyProtection="1">
      <protection locked="0"/>
    </xf>
    <xf numFmtId="0" fontId="5" fillId="0" borderId="9" xfId="0" applyFont="1" applyBorder="1" applyProtection="1">
      <protection locked="0"/>
    </xf>
    <xf numFmtId="10" fontId="5" fillId="0" borderId="0" xfId="7" applyNumberFormat="1" applyFont="1" applyBorder="1" applyProtection="1">
      <protection locked="0"/>
    </xf>
    <xf numFmtId="39" fontId="5" fillId="0" borderId="0" xfId="1" applyNumberFormat="1" applyFont="1" applyBorder="1" applyProtection="1">
      <protection locked="0"/>
    </xf>
    <xf numFmtId="39" fontId="1" fillId="0" borderId="5" xfId="1" applyNumberFormat="1" applyBorder="1" applyAlignment="1" applyProtection="1">
      <alignment horizontal="right"/>
    </xf>
    <xf numFmtId="1" fontId="0" fillId="0" borderId="9" xfId="0" applyNumberFormat="1" applyBorder="1" applyAlignment="1" applyProtection="1">
      <alignment horizontal="right"/>
    </xf>
    <xf numFmtId="39" fontId="5" fillId="0" borderId="5" xfId="1" applyNumberFormat="1" applyFont="1" applyBorder="1" applyProtection="1">
      <protection locked="0"/>
    </xf>
    <xf numFmtId="1" fontId="5" fillId="0" borderId="6" xfId="0" applyNumberFormat="1" applyFont="1" applyBorder="1" applyProtection="1">
      <protection locked="0"/>
    </xf>
    <xf numFmtId="10" fontId="1" fillId="0" borderId="7" xfId="7" applyNumberFormat="1" applyBorder="1" applyAlignment="1" applyProtection="1">
      <alignment horizontal="right"/>
    </xf>
    <xf numFmtId="39" fontId="5" fillId="0" borderId="7" xfId="1" applyNumberFormat="1" applyFont="1" applyBorder="1" applyProtection="1">
      <protection locked="0"/>
    </xf>
    <xf numFmtId="39" fontId="5" fillId="0" borderId="8" xfId="1" applyNumberFormat="1" applyFont="1" applyBorder="1" applyProtection="1">
      <protection locked="0"/>
    </xf>
    <xf numFmtId="0" fontId="0" fillId="4" borderId="10" xfId="0" applyFill="1" applyBorder="1" applyProtection="1"/>
    <xf numFmtId="0" fontId="0" fillId="4" borderId="11" xfId="0" applyFill="1" applyBorder="1" applyProtection="1"/>
    <xf numFmtId="0" fontId="0" fillId="4" borderId="12" xfId="0" applyFill="1" applyBorder="1" applyProtection="1"/>
    <xf numFmtId="37" fontId="36" fillId="0" borderId="10" xfId="0" applyNumberFormat="1" applyFont="1" applyBorder="1" applyProtection="1">
      <protection locked="0"/>
    </xf>
    <xf numFmtId="37" fontId="36" fillId="0" borderId="11" xfId="0" applyNumberFormat="1" applyFont="1" applyBorder="1" applyProtection="1">
      <protection locked="0"/>
    </xf>
    <xf numFmtId="37" fontId="36" fillId="0" borderId="12" xfId="0" applyNumberFormat="1" applyFont="1" applyBorder="1" applyProtection="1">
      <protection locked="0"/>
    </xf>
    <xf numFmtId="0" fontId="3" fillId="4" borderId="15" xfId="0" applyFont="1" applyFill="1" applyBorder="1" applyProtection="1"/>
    <xf numFmtId="37" fontId="3" fillId="4" borderId="17" xfId="0" applyNumberFormat="1" applyFont="1" applyFill="1" applyBorder="1" applyProtection="1"/>
    <xf numFmtId="0" fontId="0" fillId="4" borderId="15" xfId="0" applyFill="1" applyBorder="1" applyProtection="1"/>
    <xf numFmtId="10" fontId="36" fillId="0" borderId="14" xfId="7" applyNumberFormat="1" applyFont="1" applyBorder="1" applyProtection="1">
      <protection locked="0"/>
    </xf>
    <xf numFmtId="0" fontId="0" fillId="0" borderId="16" xfId="0" applyFill="1" applyBorder="1" applyProtection="1"/>
    <xf numFmtId="0" fontId="9" fillId="0" borderId="0" xfId="0" applyFont="1" applyFill="1" applyBorder="1" applyAlignment="1" applyProtection="1">
      <alignment horizontal="left"/>
    </xf>
    <xf numFmtId="0" fontId="0" fillId="0" borderId="0" xfId="0" applyFill="1" applyBorder="1" applyProtection="1"/>
    <xf numFmtId="0" fontId="0" fillId="0" borderId="0" xfId="0" applyFill="1" applyBorder="1"/>
    <xf numFmtId="37" fontId="36" fillId="0" borderId="11" xfId="1" applyNumberFormat="1" applyFont="1" applyBorder="1" applyProtection="1">
      <protection locked="0"/>
    </xf>
    <xf numFmtId="37" fontId="36" fillId="0" borderId="12" xfId="1" applyNumberFormat="1" applyFont="1" applyBorder="1" applyProtection="1">
      <protection locked="0"/>
    </xf>
    <xf numFmtId="0" fontId="3" fillId="4" borderId="15" xfId="0" applyFont="1" applyFill="1" applyBorder="1"/>
    <xf numFmtId="10" fontId="3" fillId="4" borderId="17" xfId="0" applyNumberFormat="1" applyFont="1" applyFill="1" applyBorder="1" applyAlignment="1">
      <alignment horizontal="right"/>
    </xf>
    <xf numFmtId="0" fontId="3" fillId="4" borderId="0" xfId="0" applyFont="1" applyFill="1" applyAlignment="1" applyProtection="1">
      <alignment horizontal="centerContinuous"/>
    </xf>
    <xf numFmtId="0" fontId="11" fillId="4" borderId="10" xfId="0" quotePrefix="1" applyFont="1" applyFill="1" applyBorder="1" applyAlignment="1" applyProtection="1">
      <alignment horizontal="right"/>
    </xf>
    <xf numFmtId="10" fontId="36" fillId="0" borderId="10" xfId="0" applyNumberFormat="1" applyFont="1" applyBorder="1" applyAlignment="1" applyProtection="1">
      <alignment horizontal="right"/>
      <protection locked="0"/>
    </xf>
    <xf numFmtId="0" fontId="11" fillId="4" borderId="12" xfId="0" quotePrefix="1" applyFont="1" applyFill="1" applyBorder="1" applyAlignment="1" applyProtection="1">
      <alignment horizontal="right"/>
    </xf>
    <xf numFmtId="10" fontId="36" fillId="0" borderId="12" xfId="0" applyNumberFormat="1" applyFont="1" applyBorder="1" applyAlignment="1" applyProtection="1">
      <alignment horizontal="right"/>
      <protection locked="0"/>
    </xf>
    <xf numFmtId="10" fontId="3" fillId="0" borderId="14" xfId="0" applyNumberFormat="1" applyFont="1" applyBorder="1" applyAlignment="1" applyProtection="1">
      <alignment horizontal="right"/>
    </xf>
    <xf numFmtId="0" fontId="37" fillId="4" borderId="15" xfId="0" applyFont="1" applyFill="1" applyBorder="1" applyAlignment="1" applyProtection="1">
      <alignment horizontal="centerContinuous"/>
    </xf>
    <xf numFmtId="0" fontId="32" fillId="4" borderId="17" xfId="0" applyFont="1" applyFill="1" applyBorder="1" applyAlignment="1" applyProtection="1">
      <alignment horizontal="centerContinuous"/>
    </xf>
    <xf numFmtId="10" fontId="5" fillId="0" borderId="3" xfId="7" applyNumberFormat="1" applyFont="1" applyFill="1" applyBorder="1" applyProtection="1">
      <protection locked="0"/>
    </xf>
    <xf numFmtId="0" fontId="5" fillId="0" borderId="3" xfId="0" applyFont="1" applyFill="1" applyBorder="1" applyProtection="1">
      <protection locked="0"/>
    </xf>
    <xf numFmtId="10" fontId="5" fillId="0" borderId="0" xfId="7" applyNumberFormat="1" applyFont="1" applyFill="1" applyBorder="1" applyProtection="1">
      <protection locked="0"/>
    </xf>
    <xf numFmtId="0" fontId="5" fillId="0" borderId="0" xfId="0" applyFont="1" applyFill="1" applyBorder="1" applyProtection="1">
      <protection locked="0"/>
    </xf>
    <xf numFmtId="8" fontId="5" fillId="0" borderId="5" xfId="1" applyNumberFormat="1" applyFont="1" applyFill="1" applyBorder="1" applyProtection="1">
      <protection locked="0"/>
    </xf>
    <xf numFmtId="8" fontId="5" fillId="0" borderId="9" xfId="1" applyNumberFormat="1" applyFont="1" applyFill="1" applyBorder="1" applyProtection="1">
      <protection locked="0"/>
    </xf>
    <xf numFmtId="8" fontId="5" fillId="0" borderId="6" xfId="1" applyNumberFormat="1" applyFont="1" applyFill="1" applyBorder="1" applyProtection="1">
      <protection locked="0"/>
    </xf>
    <xf numFmtId="8" fontId="5" fillId="0" borderId="8" xfId="1" applyNumberFormat="1" applyFont="1" applyFill="1" applyBorder="1" applyProtection="1">
      <protection locked="0"/>
    </xf>
    <xf numFmtId="8" fontId="1" fillId="0" borderId="4" xfId="1" applyNumberFormat="1" applyFill="1" applyBorder="1" applyProtection="1"/>
    <xf numFmtId="8" fontId="6" fillId="0" borderId="9" xfId="1" applyNumberFormat="1" applyFont="1" applyFill="1" applyBorder="1" applyProtection="1"/>
    <xf numFmtId="10" fontId="1" fillId="0" borderId="0" xfId="7" applyNumberFormat="1" applyFont="1" applyFill="1" applyBorder="1" applyProtection="1"/>
    <xf numFmtId="0" fontId="0" fillId="0" borderId="7" xfId="0" applyFill="1" applyBorder="1" applyProtection="1"/>
    <xf numFmtId="0" fontId="6" fillId="4" borderId="3" xfId="5" applyNumberFormat="1" applyFont="1" applyFill="1" applyBorder="1" applyAlignment="1" applyProtection="1">
      <alignment horizontal="right"/>
    </xf>
    <xf numFmtId="0" fontId="6" fillId="4" borderId="0" xfId="5" applyNumberFormat="1" applyFont="1" applyFill="1" applyBorder="1" applyAlignment="1" applyProtection="1">
      <alignment horizontal="right"/>
    </xf>
    <xf numFmtId="0" fontId="6" fillId="4" borderId="7" xfId="5" applyNumberFormat="1" applyFont="1" applyFill="1" applyBorder="1" applyAlignment="1" applyProtection="1">
      <alignment horizontal="right"/>
    </xf>
    <xf numFmtId="0" fontId="6" fillId="4" borderId="2" xfId="5" applyNumberFormat="1" applyFont="1" applyFill="1" applyBorder="1" applyAlignment="1" applyProtection="1">
      <alignment horizontal="right"/>
    </xf>
    <xf numFmtId="0" fontId="6" fillId="4" borderId="9" xfId="5" applyNumberFormat="1" applyFont="1" applyFill="1" applyBorder="1" applyAlignment="1" applyProtection="1">
      <alignment horizontal="right"/>
    </xf>
    <xf numFmtId="0" fontId="6" fillId="4" borderId="6" xfId="5" applyNumberFormat="1" applyFont="1" applyFill="1" applyBorder="1" applyAlignment="1" applyProtection="1">
      <alignment horizontal="right"/>
    </xf>
    <xf numFmtId="4" fontId="5" fillId="0" borderId="10" xfId="5" applyNumberFormat="1" applyFont="1" applyFill="1" applyBorder="1" applyAlignment="1" applyProtection="1">
      <protection locked="0"/>
    </xf>
    <xf numFmtId="0" fontId="5" fillId="0" borderId="12" xfId="5" applyNumberFormat="1" applyFont="1" applyFill="1" applyBorder="1" applyAlignment="1" applyProtection="1">
      <protection locked="0"/>
    </xf>
    <xf numFmtId="166" fontId="6" fillId="4" borderId="7" xfId="5" applyNumberFormat="1" applyFont="1" applyFill="1" applyBorder="1" applyAlignment="1" applyProtection="1"/>
    <xf numFmtId="0" fontId="6" fillId="4" borderId="10" xfId="5" applyFont="1" applyFill="1" applyBorder="1" applyAlignment="1" applyProtection="1">
      <alignment horizontal="left"/>
    </xf>
    <xf numFmtId="0" fontId="6" fillId="4" borderId="11" xfId="5" applyFont="1" applyFill="1" applyBorder="1" applyProtection="1"/>
    <xf numFmtId="0" fontId="6" fillId="4" borderId="12" xfId="5" applyNumberFormat="1" applyFont="1" applyFill="1" applyBorder="1" applyAlignment="1" applyProtection="1"/>
    <xf numFmtId="37" fontId="10" fillId="4" borderId="4" xfId="0" applyNumberFormat="1" applyFont="1" applyFill="1" applyBorder="1" applyProtection="1"/>
    <xf numFmtId="0" fontId="10" fillId="4" borderId="16" xfId="0" applyFont="1" applyFill="1" applyBorder="1" applyProtection="1"/>
    <xf numFmtId="0" fontId="38" fillId="4" borderId="16" xfId="0" applyFont="1" applyFill="1" applyBorder="1" applyAlignment="1">
      <alignment horizontal="centerContinuous" vertical="center"/>
    </xf>
    <xf numFmtId="0" fontId="38" fillId="4" borderId="17" xfId="0" applyFont="1" applyFill="1" applyBorder="1" applyAlignment="1">
      <alignment horizontal="centerContinuous" vertical="center"/>
    </xf>
    <xf numFmtId="0" fontId="37" fillId="4" borderId="15" xfId="0" applyFont="1" applyFill="1" applyBorder="1" applyAlignment="1">
      <alignment horizontal="centerContinuous" vertical="center"/>
    </xf>
    <xf numFmtId="0" fontId="0" fillId="0" borderId="0" xfId="0" applyAlignment="1">
      <alignment horizontal="left"/>
    </xf>
    <xf numFmtId="0" fontId="0" fillId="0" borderId="0" xfId="0" applyAlignment="1" applyProtection="1">
      <alignment horizontal="left"/>
    </xf>
    <xf numFmtId="0" fontId="7" fillId="0" borderId="0" xfId="0" applyFont="1" applyAlignment="1" applyProtection="1">
      <alignment horizontal="left"/>
    </xf>
    <xf numFmtId="0" fontId="18" fillId="0" borderId="0" xfId="0" applyFont="1" applyAlignment="1">
      <alignment horizontal="centerContinuous"/>
    </xf>
    <xf numFmtId="37" fontId="22" fillId="0" borderId="2" xfId="0" applyNumberFormat="1" applyFont="1" applyBorder="1" applyProtection="1">
      <protection locked="0"/>
    </xf>
    <xf numFmtId="37" fontId="22" fillId="0" borderId="6" xfId="0" applyNumberFormat="1" applyFont="1" applyBorder="1" applyProtection="1">
      <protection locked="0"/>
    </xf>
    <xf numFmtId="0" fontId="37" fillId="4" borderId="18" xfId="0" applyFont="1" applyFill="1" applyBorder="1" applyAlignment="1" applyProtection="1">
      <alignment horizontal="centerContinuous" vertical="center"/>
    </xf>
    <xf numFmtId="0" fontId="38" fillId="4" borderId="19" xfId="0" applyFont="1" applyFill="1" applyBorder="1" applyAlignment="1" applyProtection="1">
      <alignment horizontal="centerContinuous" vertical="center"/>
    </xf>
    <xf numFmtId="0" fontId="38" fillId="4" borderId="20" xfId="0" applyFont="1" applyFill="1" applyBorder="1" applyAlignment="1" applyProtection="1">
      <alignment horizontal="centerContinuous" vertical="center"/>
    </xf>
    <xf numFmtId="0" fontId="6" fillId="0" borderId="0" xfId="5" applyFont="1" applyFill="1" applyProtection="1"/>
    <xf numFmtId="0" fontId="14" fillId="4" borderId="21" xfId="5" applyNumberFormat="1" applyFont="1" applyFill="1" applyBorder="1" applyAlignment="1" applyProtection="1"/>
    <xf numFmtId="4" fontId="14" fillId="4" borderId="22" xfId="5" applyNumberFormat="1" applyFont="1" applyFill="1" applyBorder="1" applyAlignment="1" applyProtection="1">
      <alignment horizontal="right"/>
    </xf>
    <xf numFmtId="4" fontId="6" fillId="4" borderId="22" xfId="5" applyNumberFormat="1" applyFont="1" applyFill="1" applyBorder="1" applyAlignment="1" applyProtection="1">
      <alignment horizontal="right"/>
    </xf>
    <xf numFmtId="0" fontId="13" fillId="0" borderId="0" xfId="5" applyFill="1" applyProtection="1"/>
    <xf numFmtId="165" fontId="5" fillId="0" borderId="10" xfId="5" applyNumberFormat="1" applyFont="1" applyFill="1" applyBorder="1" applyAlignment="1" applyProtection="1">
      <protection locked="0"/>
    </xf>
    <xf numFmtId="0" fontId="15" fillId="0" borderId="11" xfId="5" applyFont="1" applyBorder="1" applyProtection="1">
      <protection locked="0"/>
    </xf>
    <xf numFmtId="0" fontId="15" fillId="0" borderId="12" xfId="5" applyFont="1" applyBorder="1" applyProtection="1">
      <protection locked="0"/>
    </xf>
    <xf numFmtId="37" fontId="10" fillId="4" borderId="8" xfId="0" applyNumberFormat="1" applyFont="1" applyFill="1" applyBorder="1" applyProtection="1"/>
    <xf numFmtId="37" fontId="39" fillId="0" borderId="2" xfId="0" applyNumberFormat="1" applyFont="1" applyBorder="1" applyProtection="1">
      <protection locked="0"/>
    </xf>
    <xf numFmtId="37" fontId="39" fillId="0" borderId="6" xfId="0" applyNumberFormat="1" applyFont="1" applyBorder="1" applyProtection="1">
      <protection locked="0"/>
    </xf>
    <xf numFmtId="14" fontId="36" fillId="0" borderId="2" xfId="0" applyNumberFormat="1" applyFont="1" applyBorder="1" applyAlignment="1" applyProtection="1">
      <alignment horizontal="left"/>
      <protection locked="0"/>
    </xf>
    <xf numFmtId="0" fontId="36" fillId="0" borderId="4" xfId="0" applyFont="1" applyFill="1" applyBorder="1" applyProtection="1">
      <protection locked="0"/>
    </xf>
    <xf numFmtId="0" fontId="36" fillId="0" borderId="8" xfId="0" applyFont="1" applyFill="1" applyBorder="1" applyProtection="1">
      <protection locked="0"/>
    </xf>
    <xf numFmtId="14" fontId="36" fillId="0" borderId="2" xfId="0" applyNumberFormat="1" applyFont="1" applyFill="1" applyBorder="1" applyAlignment="1" applyProtection="1">
      <alignment horizontal="left"/>
      <protection locked="0"/>
    </xf>
    <xf numFmtId="0" fontId="36" fillId="0" borderId="4" xfId="0" applyFont="1" applyFill="1" applyBorder="1" applyProtection="1"/>
    <xf numFmtId="14" fontId="36" fillId="0" borderId="8" xfId="0" applyNumberFormat="1" applyFont="1" applyFill="1" applyBorder="1" applyProtection="1">
      <protection locked="0"/>
    </xf>
    <xf numFmtId="0" fontId="36" fillId="0" borderId="4" xfId="0" applyFont="1" applyBorder="1" applyProtection="1">
      <protection locked="0"/>
    </xf>
    <xf numFmtId="0" fontId="36" fillId="0" borderId="8" xfId="0" applyFont="1" applyBorder="1" applyProtection="1">
      <protection locked="0"/>
    </xf>
    <xf numFmtId="14" fontId="36" fillId="0" borderId="8" xfId="0" applyNumberFormat="1" applyFont="1" applyBorder="1" applyProtection="1">
      <protection locked="0"/>
    </xf>
    <xf numFmtId="0" fontId="9" fillId="4" borderId="2" xfId="0" applyFont="1" applyFill="1" applyBorder="1" applyAlignment="1" applyProtection="1">
      <alignment horizontal="left"/>
      <protection locked="0"/>
    </xf>
    <xf numFmtId="0" fontId="9" fillId="4" borderId="9" xfId="0" applyFont="1" applyFill="1" applyBorder="1" applyAlignment="1" applyProtection="1">
      <alignment horizontal="left"/>
      <protection locked="0"/>
    </xf>
    <xf numFmtId="0" fontId="25" fillId="0" borderId="0" xfId="6" applyFill="1"/>
    <xf numFmtId="0" fontId="40" fillId="3" borderId="0" xfId="6" quotePrefix="1" applyFont="1" applyFill="1"/>
    <xf numFmtId="0" fontId="41" fillId="3" borderId="0" xfId="6" quotePrefix="1" applyFont="1" applyFill="1" applyAlignment="1">
      <alignment vertical="center"/>
    </xf>
    <xf numFmtId="0" fontId="42" fillId="3" borderId="0" xfId="6" quotePrefix="1" applyFont="1" applyFill="1" applyAlignment="1">
      <alignment vertical="top"/>
    </xf>
    <xf numFmtId="0" fontId="5" fillId="0" borderId="6" xfId="0" applyFont="1" applyBorder="1" applyProtection="1">
      <protection locked="0"/>
    </xf>
    <xf numFmtId="10" fontId="10" fillId="4" borderId="8" xfId="7" applyNumberFormat="1" applyFont="1" applyFill="1" applyBorder="1" applyProtection="1"/>
    <xf numFmtId="37" fontId="35" fillId="4" borderId="3" xfId="0" applyNumberFormat="1" applyFont="1" applyFill="1" applyBorder="1" applyProtection="1"/>
    <xf numFmtId="0" fontId="23" fillId="0" borderId="11" xfId="0" applyFont="1" applyBorder="1" applyProtection="1"/>
    <xf numFmtId="0" fontId="36" fillId="0" borderId="6" xfId="0" applyFont="1" applyBorder="1" applyProtection="1">
      <protection locked="0"/>
    </xf>
    <xf numFmtId="0" fontId="39" fillId="0" borderId="2" xfId="0" applyFont="1" applyFill="1" applyBorder="1" applyAlignment="1" applyProtection="1">
      <alignment horizontal="left"/>
      <protection locked="0"/>
    </xf>
    <xf numFmtId="0" fontId="39" fillId="0" borderId="6" xfId="0" applyFont="1" applyFill="1" applyBorder="1" applyAlignment="1" applyProtection="1">
      <alignment horizontal="left"/>
      <protection locked="0"/>
    </xf>
    <xf numFmtId="0" fontId="36" fillId="0" borderId="6" xfId="0" applyFont="1" applyFill="1" applyBorder="1" applyProtection="1">
      <protection locked="0"/>
    </xf>
    <xf numFmtId="0" fontId="39" fillId="0" borderId="2" xfId="0" applyFont="1" applyBorder="1" applyAlignment="1" applyProtection="1">
      <alignment horizontal="left"/>
      <protection locked="0"/>
    </xf>
    <xf numFmtId="0" fontId="39" fillId="0" borderId="6" xfId="0" applyFont="1" applyBorder="1" applyAlignment="1" applyProtection="1">
      <alignment horizontal="left"/>
      <protection locked="0"/>
    </xf>
    <xf numFmtId="0" fontId="2" fillId="0" borderId="0" xfId="3" applyFill="1" applyAlignment="1" applyProtection="1">
      <alignment horizontal="left"/>
    </xf>
    <xf numFmtId="0" fontId="2" fillId="0" borderId="0" xfId="3" applyFill="1" applyBorder="1" applyAlignment="1" applyProtection="1">
      <alignment horizontal="fill"/>
    </xf>
    <xf numFmtId="0" fontId="0" fillId="0" borderId="0" xfId="0" applyAlignment="1"/>
    <xf numFmtId="0" fontId="2" fillId="0" borderId="0" xfId="3" applyFill="1" applyAlignment="1" applyProtection="1"/>
    <xf numFmtId="0" fontId="26" fillId="0" borderId="0" xfId="0" applyFont="1" applyAlignment="1">
      <alignment horizontal="center"/>
    </xf>
    <xf numFmtId="0" fontId="0" fillId="0" borderId="0" xfId="0" applyAlignment="1">
      <alignment horizontal="center"/>
    </xf>
  </cellXfs>
  <cellStyles count="12">
    <cellStyle name="Comma" xfId="1" builtinId="3"/>
    <cellStyle name="CurrencySymbol" xfId="2" xr:uid="{00000000-0005-0000-0000-000001000000}"/>
    <cellStyle name="Hyperlink" xfId="3" builtinId="8"/>
    <cellStyle name="Normal" xfId="0" builtinId="0"/>
    <cellStyle name="Normal 2" xfId="4" xr:uid="{00000000-0005-0000-0000-000004000000}"/>
    <cellStyle name="Normal_amort" xfId="5" xr:uid="{00000000-0005-0000-0000-000005000000}"/>
    <cellStyle name="Normal_chris-reia-v18-features-2" xfId="6" xr:uid="{00000000-0005-0000-0000-000006000000}"/>
    <cellStyle name="Percent" xfId="7" builtinId="5"/>
    <cellStyle name="STYLE1 - Style1" xfId="8" xr:uid="{00000000-0005-0000-0000-000008000000}"/>
    <cellStyle name="STYLE2 - Style2" xfId="9" xr:uid="{00000000-0005-0000-0000-000009000000}"/>
    <cellStyle name="STYLE3 - Style3" xfId="10" xr:uid="{00000000-0005-0000-0000-00000A000000}"/>
    <cellStyle name="STYLE4 - Style4" xfId="11" xr:uid="{00000000-0005-0000-0000-00000B00000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B3E2F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F3FBFF"/>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realdata.com/gallinelli.shtml" TargetMode="External"/><Relationship Id="rId2" Type="http://schemas.openxmlformats.org/officeDocument/2006/relationships/hyperlink" Target="http://learn.realdata.com/"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12700</xdr:rowOff>
    </xdr:from>
    <xdr:to>
      <xdr:col>1</xdr:col>
      <xdr:colOff>38100</xdr:colOff>
      <xdr:row>1</xdr:row>
      <xdr:rowOff>63500</xdr:rowOff>
    </xdr:to>
    <xdr:sp macro="" textlink="">
      <xdr:nvSpPr>
        <xdr:cNvPr id="5724" name="Rectangle 8">
          <a:extLst>
            <a:ext uri="{FF2B5EF4-FFF2-40B4-BE49-F238E27FC236}">
              <a16:creationId xmlns:a16="http://schemas.microsoft.com/office/drawing/2014/main" id="{00000000-0008-0000-0000-00005C160000}"/>
            </a:ext>
          </a:extLst>
        </xdr:cNvPr>
        <xdr:cNvSpPr>
          <a:spLocks noChangeArrowheads="1"/>
        </xdr:cNvSpPr>
      </xdr:nvSpPr>
      <xdr:spPr bwMode="auto">
        <a:xfrm>
          <a:off x="0" y="12700"/>
          <a:ext cx="2514600" cy="2413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tlCol="0"/>
        <a:lstStyle/>
        <a:p>
          <a:pPr algn="ctr"/>
          <a:endParaRPr lang="en-US"/>
        </a:p>
      </xdr:txBody>
    </xdr:sp>
    <xdr:clientData/>
  </xdr:twoCellAnchor>
  <xdr:twoCellAnchor editAs="oneCell">
    <xdr:from>
      <xdr:col>3</xdr:col>
      <xdr:colOff>114300</xdr:colOff>
      <xdr:row>0</xdr:row>
      <xdr:rowOff>165100</xdr:rowOff>
    </xdr:from>
    <xdr:to>
      <xdr:col>6</xdr:col>
      <xdr:colOff>635000</xdr:colOff>
      <xdr:row>1</xdr:row>
      <xdr:rowOff>457200</xdr:rowOff>
    </xdr:to>
    <xdr:pic>
      <xdr:nvPicPr>
        <xdr:cNvPr id="5725" name="Picture 18" descr="RealData, Inc.">
          <a:extLst>
            <a:ext uri="{FF2B5EF4-FFF2-40B4-BE49-F238E27FC236}">
              <a16:creationId xmlns:a16="http://schemas.microsoft.com/office/drawing/2014/main" id="{00000000-0008-0000-0000-00005D1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00" y="165100"/>
          <a:ext cx="22606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736600</xdr:colOff>
      <xdr:row>9</xdr:row>
      <xdr:rowOff>38100</xdr:rowOff>
    </xdr:from>
    <xdr:to>
      <xdr:col>8</xdr:col>
      <xdr:colOff>469900</xdr:colOff>
      <xdr:row>17</xdr:row>
      <xdr:rowOff>165100</xdr:rowOff>
    </xdr:to>
    <xdr:grpSp>
      <xdr:nvGrpSpPr>
        <xdr:cNvPr id="5726" name="Group 6">
          <a:extLst>
            <a:ext uri="{FF2B5EF4-FFF2-40B4-BE49-F238E27FC236}">
              <a16:creationId xmlns:a16="http://schemas.microsoft.com/office/drawing/2014/main" id="{00000000-0008-0000-0000-00005E160000}"/>
            </a:ext>
          </a:extLst>
        </xdr:cNvPr>
        <xdr:cNvGrpSpPr>
          <a:grpSpLocks/>
        </xdr:cNvGrpSpPr>
      </xdr:nvGrpSpPr>
      <xdr:grpSpPr bwMode="auto">
        <a:xfrm>
          <a:off x="2898775" y="2343150"/>
          <a:ext cx="4086225" cy="1651000"/>
          <a:chOff x="5772150" y="2447925"/>
          <a:chExt cx="3493770" cy="1895475"/>
        </a:xfrm>
      </xdr:grpSpPr>
      <xdr:cxnSp macro="">
        <xdr:nvCxnSpPr>
          <xdr:cNvPr id="5732" name="Straight Connector 2">
            <a:extLst>
              <a:ext uri="{FF2B5EF4-FFF2-40B4-BE49-F238E27FC236}">
                <a16:creationId xmlns:a16="http://schemas.microsoft.com/office/drawing/2014/main" id="{00000000-0008-0000-0000-000064160000}"/>
              </a:ext>
            </a:extLst>
          </xdr:cNvPr>
          <xdr:cNvCxnSpPr>
            <a:cxnSpLocks noChangeShapeType="1"/>
          </xdr:cNvCxnSpPr>
        </xdr:nvCxnSpPr>
        <xdr:spPr bwMode="auto">
          <a:xfrm>
            <a:off x="5791200" y="4343400"/>
            <a:ext cx="3474720" cy="0"/>
          </a:xfrm>
          <a:prstGeom prst="line">
            <a:avLst/>
          </a:prstGeom>
          <a:noFill/>
          <a:ln w="9525">
            <a:solidFill>
              <a:srgbClr val="158DC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cxnSp>
      <xdr:cxnSp macro="">
        <xdr:nvCxnSpPr>
          <xdr:cNvPr id="5733" name="Straight Connector 11">
            <a:extLst>
              <a:ext uri="{FF2B5EF4-FFF2-40B4-BE49-F238E27FC236}">
                <a16:creationId xmlns:a16="http://schemas.microsoft.com/office/drawing/2014/main" id="{00000000-0008-0000-0000-000065160000}"/>
              </a:ext>
            </a:extLst>
          </xdr:cNvPr>
          <xdr:cNvCxnSpPr>
            <a:cxnSpLocks noChangeShapeType="1"/>
          </xdr:cNvCxnSpPr>
        </xdr:nvCxnSpPr>
        <xdr:spPr bwMode="auto">
          <a:xfrm>
            <a:off x="5772150" y="2447925"/>
            <a:ext cx="3474720" cy="0"/>
          </a:xfrm>
          <a:prstGeom prst="line">
            <a:avLst/>
          </a:prstGeom>
          <a:noFill/>
          <a:ln w="9525">
            <a:solidFill>
              <a:srgbClr val="158DC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cxnSp>
      <xdr:cxnSp macro="">
        <xdr:nvCxnSpPr>
          <xdr:cNvPr id="5734" name="Straight Connector 14">
            <a:extLst>
              <a:ext uri="{FF2B5EF4-FFF2-40B4-BE49-F238E27FC236}">
                <a16:creationId xmlns:a16="http://schemas.microsoft.com/office/drawing/2014/main" id="{00000000-0008-0000-0000-000066160000}"/>
              </a:ext>
            </a:extLst>
          </xdr:cNvPr>
          <xdr:cNvCxnSpPr>
            <a:cxnSpLocks noChangeShapeType="1"/>
          </xdr:cNvCxnSpPr>
        </xdr:nvCxnSpPr>
        <xdr:spPr bwMode="auto">
          <a:xfrm>
            <a:off x="9248775" y="2447925"/>
            <a:ext cx="9525" cy="1885950"/>
          </a:xfrm>
          <a:prstGeom prst="line">
            <a:avLst/>
          </a:prstGeom>
          <a:noFill/>
          <a:ln w="12700">
            <a:solidFill>
              <a:srgbClr val="158DC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cxnSp>
      <xdr:cxnSp macro="">
        <xdr:nvCxnSpPr>
          <xdr:cNvPr id="5735" name="Straight Connector 17">
            <a:extLst>
              <a:ext uri="{FF2B5EF4-FFF2-40B4-BE49-F238E27FC236}">
                <a16:creationId xmlns:a16="http://schemas.microsoft.com/office/drawing/2014/main" id="{00000000-0008-0000-0000-000067160000}"/>
              </a:ext>
            </a:extLst>
          </xdr:cNvPr>
          <xdr:cNvCxnSpPr>
            <a:cxnSpLocks noChangeShapeType="1"/>
          </xdr:cNvCxnSpPr>
        </xdr:nvCxnSpPr>
        <xdr:spPr bwMode="auto">
          <a:xfrm>
            <a:off x="5781675" y="2457450"/>
            <a:ext cx="9525" cy="1885950"/>
          </a:xfrm>
          <a:prstGeom prst="line">
            <a:avLst/>
          </a:prstGeom>
          <a:noFill/>
          <a:ln w="12700">
            <a:solidFill>
              <a:srgbClr val="158DC7"/>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cxnSp>
    </xdr:grpSp>
    <xdr:clientData/>
  </xdr:twoCellAnchor>
  <xdr:twoCellAnchor>
    <xdr:from>
      <xdr:col>1</xdr:col>
      <xdr:colOff>844550</xdr:colOff>
      <xdr:row>22</xdr:row>
      <xdr:rowOff>19050</xdr:rowOff>
    </xdr:from>
    <xdr:to>
      <xdr:col>8</xdr:col>
      <xdr:colOff>353645</xdr:colOff>
      <xdr:row>25</xdr:row>
      <xdr:rowOff>193836</xdr:rowOff>
    </xdr:to>
    <xdr:sp macro="" textlink="">
      <xdr:nvSpPr>
        <xdr:cNvPr id="13" name="Text Box 4">
          <a:hlinkClick xmlns:r="http://schemas.openxmlformats.org/officeDocument/2006/relationships" r:id="rId2"/>
          <a:extLst>
            <a:ext uri="{FF2B5EF4-FFF2-40B4-BE49-F238E27FC236}">
              <a16:creationId xmlns:a16="http://schemas.microsoft.com/office/drawing/2014/main" id="{00000000-0008-0000-0000-00000D000000}"/>
            </a:ext>
          </a:extLst>
        </xdr:cNvPr>
        <xdr:cNvSpPr txBox="1">
          <a:spLocks noChangeArrowheads="1"/>
        </xdr:cNvSpPr>
      </xdr:nvSpPr>
      <xdr:spPr bwMode="auto">
        <a:xfrm>
          <a:off x="2914650" y="4819650"/>
          <a:ext cx="3912870" cy="752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200" b="1" i="1" u="none" strike="noStrike">
              <a:solidFill>
                <a:srgbClr val="158DC7"/>
              </a:solidFill>
              <a:effectLst/>
              <a:latin typeface="Arial" panose="020B0604020202020204" pitchFamily="34" charset="0"/>
              <a:ea typeface="+mn-ea"/>
              <a:cs typeface="Arial" panose="020B0604020202020204" pitchFamily="34" charset="0"/>
            </a:rPr>
            <a:t>Other Educational Materials</a:t>
          </a:r>
          <a:r>
            <a:rPr lang="en-US" sz="1200" b="1" i="1" u="none" strike="noStrike" baseline="0">
              <a:solidFill>
                <a:srgbClr val="158DC7"/>
              </a:solidFill>
              <a:effectLst/>
              <a:latin typeface="Arial" panose="020B0604020202020204" pitchFamily="34" charset="0"/>
              <a:ea typeface="+mn-ea"/>
              <a:cs typeface="Arial" panose="020B0604020202020204" pitchFamily="34" charset="0"/>
            </a:rPr>
            <a:t> by </a:t>
          </a:r>
          <a:br>
            <a:rPr lang="en-US" sz="1200" b="1" i="1" u="none" strike="noStrike" baseline="0">
              <a:solidFill>
                <a:srgbClr val="158DC7"/>
              </a:solidFill>
              <a:effectLst/>
              <a:latin typeface="Arial" panose="020B0604020202020204" pitchFamily="34" charset="0"/>
              <a:ea typeface="+mn-ea"/>
              <a:cs typeface="Arial" panose="020B0604020202020204" pitchFamily="34" charset="0"/>
            </a:rPr>
          </a:br>
          <a:r>
            <a:rPr lang="en-US" sz="1200" b="1" i="1" u="none" strike="noStrike" baseline="0">
              <a:solidFill>
                <a:srgbClr val="158DC7"/>
              </a:solidFill>
              <a:effectLst/>
              <a:latin typeface="Arial" panose="020B0604020202020204" pitchFamily="34" charset="0"/>
              <a:ea typeface="+mn-ea"/>
              <a:cs typeface="Arial" panose="020B0604020202020204" pitchFamily="34" charset="0"/>
            </a:rPr>
            <a:t>Frank Gallinelli:</a:t>
          </a:r>
          <a:br>
            <a:rPr lang="en-US" sz="1200" b="1" i="1" u="none" strike="noStrike" baseline="0">
              <a:solidFill>
                <a:schemeClr val="tx2"/>
              </a:solidFill>
              <a:effectLst/>
              <a:latin typeface="Arial" panose="020B0604020202020204" pitchFamily="34" charset="0"/>
              <a:ea typeface="+mn-ea"/>
              <a:cs typeface="Arial" panose="020B0604020202020204" pitchFamily="34" charset="0"/>
            </a:rPr>
          </a:br>
          <a:endParaRPr lang="en-US" sz="1200" b="1" i="1" u="none" strike="noStrike" baseline="0">
            <a:solidFill>
              <a:schemeClr val="tx2"/>
            </a:solidFill>
            <a:effectLst/>
            <a:latin typeface="Arial" panose="020B0604020202020204" pitchFamily="34" charset="0"/>
            <a:ea typeface="+mn-ea"/>
            <a:cs typeface="Arial" panose="020B0604020202020204" pitchFamily="34" charset="0"/>
          </a:endParaRPr>
        </a:p>
        <a:p>
          <a:pPr algn="ctr" rtl="0">
            <a:defRPr sz="1000"/>
          </a:pPr>
          <a:r>
            <a:rPr lang="en-US" sz="1200" b="0" i="0" u="sng" strike="noStrike" baseline="0">
              <a:solidFill>
                <a:srgbClr val="0000FF"/>
              </a:solidFill>
              <a:effectLst/>
              <a:latin typeface="Arial" panose="020B0604020202020204" pitchFamily="34" charset="0"/>
              <a:ea typeface="+mn-ea"/>
              <a:cs typeface="Arial" panose="020B0604020202020204" pitchFamily="34" charset="0"/>
            </a:rPr>
            <a:t>Real Estate Investment Analysis - Video Course</a:t>
          </a:r>
          <a:br>
            <a:rPr lang="en-US" sz="1200" b="0" i="0" u="sng" strike="noStrike" baseline="0">
              <a:solidFill>
                <a:srgbClr val="0000FF"/>
              </a:solidFill>
              <a:effectLst/>
              <a:latin typeface="Arial" panose="020B0604020202020204" pitchFamily="34" charset="0"/>
              <a:ea typeface="+mn-ea"/>
              <a:cs typeface="Arial" panose="020B0604020202020204" pitchFamily="34" charset="0"/>
            </a:rPr>
          </a:br>
          <a:br>
            <a:rPr lang="en-US" sz="1200" b="0" i="0" u="sng" strike="noStrike" baseline="0">
              <a:solidFill>
                <a:srgbClr val="0000FF"/>
              </a:solidFill>
              <a:effectLst/>
              <a:latin typeface="Arial" panose="020B0604020202020204" pitchFamily="34" charset="0"/>
              <a:ea typeface="+mn-ea"/>
              <a:cs typeface="Arial" panose="020B0604020202020204" pitchFamily="34" charset="0"/>
            </a:rPr>
          </a:br>
          <a:br>
            <a:rPr lang="en-US" sz="1200" b="0" i="0" u="none" strike="noStrike" baseline="0">
              <a:solidFill>
                <a:srgbClr val="0000FF"/>
              </a:solidFill>
              <a:effectLst/>
              <a:latin typeface="Arial" panose="020B0604020202020204" pitchFamily="34" charset="0"/>
              <a:ea typeface="+mn-ea"/>
              <a:cs typeface="Arial" panose="020B0604020202020204" pitchFamily="34" charset="0"/>
            </a:rPr>
          </a:br>
          <a:br>
            <a:rPr lang="en-US" sz="1200" b="0" i="0" u="none" strike="noStrike" baseline="0">
              <a:solidFill>
                <a:srgbClr val="0000FF"/>
              </a:solidFill>
              <a:effectLst/>
              <a:latin typeface="Arial" panose="020B0604020202020204" pitchFamily="34" charset="0"/>
              <a:ea typeface="+mn-ea"/>
              <a:cs typeface="Arial" panose="020B0604020202020204" pitchFamily="34" charset="0"/>
            </a:rPr>
          </a:br>
          <a:br>
            <a:rPr lang="en-US" sz="1200" b="1" i="1" u="none" strike="noStrike" baseline="0">
              <a:solidFill>
                <a:srgbClr val="0000FF"/>
              </a:solidFill>
              <a:effectLst/>
              <a:latin typeface="Arial" panose="020B0604020202020204" pitchFamily="34" charset="0"/>
              <a:ea typeface="+mn-ea"/>
              <a:cs typeface="Arial" panose="020B0604020202020204" pitchFamily="34" charset="0"/>
            </a:rPr>
          </a:br>
          <a:endParaRPr lang="en-US" sz="1200" b="1" i="1" u="none" strike="noStrike" baseline="0">
            <a:solidFill>
              <a:srgbClr val="0000FF"/>
            </a:solidFill>
            <a:effectLst/>
            <a:latin typeface="Arial" panose="020B0604020202020204" pitchFamily="34" charset="0"/>
            <a:ea typeface="+mn-ea"/>
            <a:cs typeface="Arial" panose="020B0604020202020204" pitchFamily="34" charset="0"/>
          </a:endParaRPr>
        </a:p>
        <a:p>
          <a:pPr algn="ctr" rtl="0">
            <a:defRPr sz="1000"/>
          </a:pPr>
          <a:endParaRPr lang="en-US" sz="1200" b="0" i="0" u="none" strike="noStrike" baseline="0">
            <a:solidFill>
              <a:schemeClr val="tx2"/>
            </a:solidFill>
            <a:latin typeface="Arial" panose="020B0604020202020204" pitchFamily="34" charset="0"/>
            <a:cs typeface="Arial" panose="020B0604020202020204" pitchFamily="34" charset="0"/>
          </a:endParaRPr>
        </a:p>
      </xdr:txBody>
    </xdr:sp>
    <xdr:clientData/>
  </xdr:twoCellAnchor>
  <xdr:twoCellAnchor>
    <xdr:from>
      <xdr:col>1</xdr:col>
      <xdr:colOff>755650</xdr:colOff>
      <xdr:row>7</xdr:row>
      <xdr:rowOff>104775</xdr:rowOff>
    </xdr:from>
    <xdr:to>
      <xdr:col>8</xdr:col>
      <xdr:colOff>434923</xdr:colOff>
      <xdr:row>8</xdr:row>
      <xdr:rowOff>114300</xdr:rowOff>
    </xdr:to>
    <xdr:sp macro="" textlink="">
      <xdr:nvSpPr>
        <xdr:cNvPr id="15" name="Text Box 3">
          <a:extLst>
            <a:ext uri="{FF2B5EF4-FFF2-40B4-BE49-F238E27FC236}">
              <a16:creationId xmlns:a16="http://schemas.microsoft.com/office/drawing/2014/main" id="{00000000-0008-0000-0000-00000F000000}"/>
            </a:ext>
          </a:extLst>
        </xdr:cNvPr>
        <xdr:cNvSpPr txBox="1">
          <a:spLocks noChangeArrowheads="1"/>
        </xdr:cNvSpPr>
      </xdr:nvSpPr>
      <xdr:spPr bwMode="auto">
        <a:xfrm>
          <a:off x="2838450" y="2219325"/>
          <a:ext cx="40576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Each of the 13 links below will take you to a template.</a:t>
          </a:r>
        </a:p>
      </xdr:txBody>
    </xdr:sp>
    <xdr:clientData/>
  </xdr:twoCellAnchor>
  <xdr:twoCellAnchor>
    <xdr:from>
      <xdr:col>1</xdr:col>
      <xdr:colOff>434975</xdr:colOff>
      <xdr:row>26</xdr:row>
      <xdr:rowOff>114300</xdr:rowOff>
    </xdr:from>
    <xdr:to>
      <xdr:col>9</xdr:col>
      <xdr:colOff>79375</xdr:colOff>
      <xdr:row>28</xdr:row>
      <xdr:rowOff>38100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2543175" y="5705475"/>
          <a:ext cx="46577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sng" baseline="0">
              <a:solidFill>
                <a:srgbClr val="0000FF"/>
              </a:solidFill>
              <a:effectLst/>
              <a:latin typeface="Arial" panose="020B0604020202020204" pitchFamily="34" charset="0"/>
              <a:ea typeface="+mn-ea"/>
              <a:cs typeface="Arial" panose="020B0604020202020204" pitchFamily="34" charset="0"/>
            </a:rPr>
            <a:t>Income Property Video Tutorial</a:t>
          </a:r>
          <a:endParaRPr lang="en-US" sz="1200">
            <a:solidFill>
              <a:srgbClr val="0000FF"/>
            </a:solidFill>
            <a:latin typeface="Arial" panose="020B0604020202020204" pitchFamily="34" charset="0"/>
            <a:cs typeface="Arial" panose="020B0604020202020204" pitchFamily="34" charset="0"/>
          </a:endParaRPr>
        </a:p>
      </xdr:txBody>
    </xdr:sp>
    <xdr:clientData/>
  </xdr:twoCellAnchor>
  <xdr:twoCellAnchor>
    <xdr:from>
      <xdr:col>1</xdr:col>
      <xdr:colOff>434975</xdr:colOff>
      <xdr:row>28</xdr:row>
      <xdr:rowOff>120650</xdr:rowOff>
    </xdr:from>
    <xdr:to>
      <xdr:col>9</xdr:col>
      <xdr:colOff>79375</xdr:colOff>
      <xdr:row>31</xdr:row>
      <xdr:rowOff>123897</xdr:rowOff>
    </xdr:to>
    <xdr:sp macro="" textlink="">
      <xdr:nvSpPr>
        <xdr:cNvPr id="19" name="TextBox 18">
          <a:hlinkClick xmlns:r="http://schemas.openxmlformats.org/officeDocument/2006/relationships" r:id="rId3"/>
          <a:extLst>
            <a:ext uri="{FF2B5EF4-FFF2-40B4-BE49-F238E27FC236}">
              <a16:creationId xmlns:a16="http://schemas.microsoft.com/office/drawing/2014/main" id="{00000000-0008-0000-0000-000013000000}"/>
            </a:ext>
          </a:extLst>
        </xdr:cNvPr>
        <xdr:cNvSpPr txBox="1"/>
      </xdr:nvSpPr>
      <xdr:spPr>
        <a:xfrm>
          <a:off x="2543175" y="6105525"/>
          <a:ext cx="465772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0" i="0" u="sng" baseline="0">
              <a:solidFill>
                <a:srgbClr val="0000FF"/>
              </a:solidFill>
              <a:effectLst/>
              <a:latin typeface="Arial" panose="020B0604020202020204" pitchFamily="34" charset="0"/>
              <a:ea typeface="+mn-ea"/>
              <a:cs typeface="Arial" panose="020B0604020202020204" pitchFamily="34" charset="0"/>
            </a:rPr>
            <a:t>Mastering Real Estate Investment</a:t>
          </a:r>
          <a:endParaRPr lang="en-US" sz="1200" u="sng">
            <a:solidFill>
              <a:srgbClr val="0000FF"/>
            </a:solidFill>
            <a:latin typeface="Arial" panose="020B0604020202020204" pitchFamily="34" charset="0"/>
            <a:cs typeface="Arial" panose="020B0604020202020204" pitchFamily="34" charset="0"/>
          </a:endParaRPr>
        </a:p>
      </xdr:txBody>
    </xdr:sp>
    <xdr:clientData/>
  </xdr:twoCellAnchor>
  <xdr:twoCellAnchor>
    <xdr:from>
      <xdr:col>0</xdr:col>
      <xdr:colOff>0</xdr:colOff>
      <xdr:row>0</xdr:row>
      <xdr:rowOff>0</xdr:rowOff>
    </xdr:from>
    <xdr:to>
      <xdr:col>1</xdr:col>
      <xdr:colOff>117491</xdr:colOff>
      <xdr:row>1</xdr:row>
      <xdr:rowOff>276225</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0" y="0"/>
          <a:ext cx="2276475"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241300</xdr:colOff>
      <xdr:row>5</xdr:row>
      <xdr:rowOff>88900</xdr:rowOff>
    </xdr:from>
    <xdr:to>
      <xdr:col>14</xdr:col>
      <xdr:colOff>304800</xdr:colOff>
      <xdr:row>5</xdr:row>
      <xdr:rowOff>88900</xdr:rowOff>
    </xdr:to>
    <xdr:sp macro="" textlink="">
      <xdr:nvSpPr>
        <xdr:cNvPr id="1149" name="Line 1">
          <a:extLst>
            <a:ext uri="{FF2B5EF4-FFF2-40B4-BE49-F238E27FC236}">
              <a16:creationId xmlns:a16="http://schemas.microsoft.com/office/drawing/2014/main" id="{00000000-0008-0000-0700-00007D040000}"/>
            </a:ext>
          </a:extLst>
        </xdr:cNvPr>
        <xdr:cNvSpPr>
          <a:spLocks noChangeShapeType="1"/>
        </xdr:cNvSpPr>
      </xdr:nvSpPr>
      <xdr:spPr bwMode="auto">
        <a:xfrm>
          <a:off x="7200900" y="1003300"/>
          <a:ext cx="3429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en-US"/>
        </a:p>
      </xdr:txBody>
    </xdr:sp>
    <xdr:clientData/>
  </xdr:twoCellAnchor>
  <xdr:twoCellAnchor>
    <xdr:from>
      <xdr:col>3</xdr:col>
      <xdr:colOff>342900</xdr:colOff>
      <xdr:row>5</xdr:row>
      <xdr:rowOff>88900</xdr:rowOff>
    </xdr:from>
    <xdr:to>
      <xdr:col>8</xdr:col>
      <xdr:colOff>215900</xdr:colOff>
      <xdr:row>5</xdr:row>
      <xdr:rowOff>88900</xdr:rowOff>
    </xdr:to>
    <xdr:sp macro="" textlink="">
      <xdr:nvSpPr>
        <xdr:cNvPr id="1150" name="Line 2">
          <a:extLst>
            <a:ext uri="{FF2B5EF4-FFF2-40B4-BE49-F238E27FC236}">
              <a16:creationId xmlns:a16="http://schemas.microsoft.com/office/drawing/2014/main" id="{00000000-0008-0000-0700-00007E040000}"/>
            </a:ext>
          </a:extLst>
        </xdr:cNvPr>
        <xdr:cNvSpPr>
          <a:spLocks noChangeShapeType="1"/>
        </xdr:cNvSpPr>
      </xdr:nvSpPr>
      <xdr:spPr bwMode="auto">
        <a:xfrm flipH="1">
          <a:off x="3263900" y="1003300"/>
          <a:ext cx="3238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4</xdr:row>
      <xdr:rowOff>76200</xdr:rowOff>
    </xdr:from>
    <xdr:to>
      <xdr:col>8</xdr:col>
      <xdr:colOff>273075</xdr:colOff>
      <xdr:row>18</xdr:row>
      <xdr:rowOff>114300</xdr:rowOff>
    </xdr:to>
    <xdr:sp macro="" textlink="">
      <xdr:nvSpPr>
        <xdr:cNvPr id="2051" name="Text Box 3">
          <a:extLst>
            <a:ext uri="{FF2B5EF4-FFF2-40B4-BE49-F238E27FC236}">
              <a16:creationId xmlns:a16="http://schemas.microsoft.com/office/drawing/2014/main" id="{00000000-0008-0000-0D00-000003080000}"/>
            </a:ext>
          </a:extLst>
        </xdr:cNvPr>
        <xdr:cNvSpPr txBox="1">
          <a:spLocks noChangeArrowheads="1"/>
        </xdr:cNvSpPr>
      </xdr:nvSpPr>
      <xdr:spPr bwMode="auto">
        <a:xfrm>
          <a:off x="4867275" y="723900"/>
          <a:ext cx="2914650" cy="24003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MIRR calculation takes any negative cash flows (after utilization of reserves), zeroes them out and discounts them at the safe rate back to day one of the investment period. You can consider the safe rate to be the interest rate at which you can put money aside, in a secure and reasonably liquid form, so that it will grow to meet the amount needed to cover the negative cash flows.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MIRR takes positive cash flows and compounds them forward to the sale year, using the reinvestment rate (also known as the risk rate). The reinvestment rate is the rate at which you believe you could reinvest your positive cash flows.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hyperlink" Target="http://www.realdata.com/" TargetMode="External"/><Relationship Id="rId1" Type="http://schemas.openxmlformats.org/officeDocument/2006/relationships/hyperlink" Target="http://www.realdata.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realda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B2:P54"/>
  <sheetViews>
    <sheetView showGridLines="0" showRowColHeaders="0" showRuler="0" workbookViewId="0">
      <selection activeCell="G15" sqref="G15"/>
    </sheetView>
  </sheetViews>
  <sheetFormatPr defaultColWidth="9.140625" defaultRowHeight="15"/>
  <cols>
    <col min="1" max="1" width="32.42578125" style="34" customWidth="1"/>
    <col min="2" max="2" width="15.140625" style="34" customWidth="1"/>
    <col min="3" max="4" width="9.140625" style="34"/>
    <col min="5" max="5" width="9.140625" style="34" customWidth="1"/>
    <col min="6" max="6" width="4.42578125" style="34" customWidth="1"/>
    <col min="7" max="16384" width="9.140625" style="34"/>
  </cols>
  <sheetData>
    <row r="2" spans="2:9" ht="45" customHeight="1"/>
    <row r="3" spans="2:9" s="35" customFormat="1" ht="35.25" customHeight="1">
      <c r="D3" s="327" t="s">
        <v>149</v>
      </c>
      <c r="G3" s="36"/>
    </row>
    <row r="4" spans="2:9" s="35" customFormat="1">
      <c r="D4" s="328" t="s">
        <v>148</v>
      </c>
    </row>
    <row r="5" spans="2:9" s="35" customFormat="1" ht="19.5" customHeight="1">
      <c r="B5" s="326" t="s">
        <v>126</v>
      </c>
      <c r="G5" s="37"/>
      <c r="H5" s="37"/>
      <c r="I5" s="37"/>
    </row>
    <row r="6" spans="2:9" s="35" customFormat="1" ht="6.75" customHeight="1"/>
    <row r="8" spans="2:9">
      <c r="B8" s="38"/>
      <c r="C8" s="38"/>
      <c r="D8" s="40"/>
      <c r="E8" s="40"/>
      <c r="F8" s="38"/>
      <c r="G8" s="38"/>
      <c r="H8" s="40"/>
      <c r="I8" s="40"/>
    </row>
    <row r="9" spans="2:9">
      <c r="B9" s="38"/>
      <c r="C9" s="325"/>
      <c r="D9" s="325"/>
      <c r="E9" s="325"/>
      <c r="F9" s="325"/>
      <c r="G9" s="325"/>
      <c r="H9" s="325"/>
      <c r="I9" s="40"/>
    </row>
    <row r="10" spans="2:9">
      <c r="B10" s="38"/>
      <c r="C10" s="325"/>
      <c r="D10" s="325"/>
      <c r="E10" s="325"/>
      <c r="F10" s="325"/>
      <c r="G10" s="325"/>
      <c r="H10" s="325"/>
      <c r="I10" s="40"/>
    </row>
    <row r="11" spans="2:9">
      <c r="B11" s="38"/>
      <c r="C11" s="339" t="s">
        <v>127</v>
      </c>
      <c r="D11" s="339"/>
      <c r="E11" s="339"/>
      <c r="F11" s="252"/>
      <c r="G11" s="339" t="s">
        <v>131</v>
      </c>
      <c r="H11" s="339"/>
      <c r="I11" s="40"/>
    </row>
    <row r="12" spans="2:9">
      <c r="B12" s="38"/>
      <c r="C12" s="339" t="s">
        <v>5</v>
      </c>
      <c r="D12" s="339"/>
      <c r="E12" s="339"/>
      <c r="F12" s="339"/>
      <c r="G12" s="339" t="s">
        <v>98</v>
      </c>
      <c r="H12" s="339"/>
      <c r="I12" s="40"/>
    </row>
    <row r="13" spans="2:9">
      <c r="B13" s="38"/>
      <c r="C13" s="339" t="s">
        <v>128</v>
      </c>
      <c r="D13" s="342"/>
      <c r="E13" s="342"/>
      <c r="F13" s="252"/>
      <c r="G13" s="339" t="s">
        <v>110</v>
      </c>
      <c r="H13" s="339"/>
      <c r="I13" s="40"/>
    </row>
    <row r="14" spans="2:9">
      <c r="B14" s="38"/>
      <c r="C14" s="339" t="s">
        <v>129</v>
      </c>
      <c r="D14" s="339"/>
      <c r="E14" s="339"/>
      <c r="F14" s="252"/>
      <c r="G14" s="339" t="s">
        <v>116</v>
      </c>
      <c r="H14" s="339"/>
      <c r="I14" s="38"/>
    </row>
    <row r="15" spans="2:9">
      <c r="B15" s="38"/>
      <c r="C15" s="339" t="s">
        <v>123</v>
      </c>
      <c r="D15" s="339"/>
      <c r="E15" s="341"/>
      <c r="F15" s="252"/>
      <c r="G15" s="39" t="s">
        <v>65</v>
      </c>
      <c r="H15" s="39"/>
    </row>
    <row r="16" spans="2:9">
      <c r="B16" s="38"/>
      <c r="C16" s="339" t="s">
        <v>124</v>
      </c>
      <c r="D16" s="339"/>
      <c r="E16" s="341"/>
      <c r="F16" s="252"/>
      <c r="G16" s="339" t="s">
        <v>77</v>
      </c>
      <c r="H16" s="339"/>
    </row>
    <row r="17" spans="2:11">
      <c r="B17" s="38"/>
      <c r="C17" s="339" t="s">
        <v>130</v>
      </c>
      <c r="D17" s="339"/>
      <c r="E17" s="339"/>
      <c r="F17" s="39"/>
      <c r="G17" s="252"/>
      <c r="H17" s="39"/>
      <c r="I17" s="38"/>
    </row>
    <row r="18" spans="2:11">
      <c r="B18" s="38"/>
      <c r="C18" s="38"/>
      <c r="D18" s="38"/>
      <c r="E18" s="38"/>
      <c r="F18" s="38"/>
      <c r="G18" s="38"/>
      <c r="H18" s="38"/>
      <c r="I18" s="38"/>
    </row>
    <row r="19" spans="2:11">
      <c r="C19" s="325"/>
      <c r="D19" s="339"/>
      <c r="E19" s="339"/>
      <c r="F19" s="339"/>
      <c r="G19" s="38"/>
      <c r="H19" s="339"/>
      <c r="I19" s="339"/>
    </row>
    <row r="20" spans="2:11" ht="15.75">
      <c r="B20" s="43"/>
      <c r="C20" s="47" t="str">
        <f>copyright &amp; " RealData, Inc. Southport, CT All Rights Reserved"</f>
        <v>© Copyright 1982-2016 RealData, Inc. Southport, CT All Rights Reserved</v>
      </c>
      <c r="D20" s="45"/>
      <c r="E20" s="44"/>
      <c r="F20" s="44"/>
    </row>
    <row r="22" spans="2:11" ht="15.75">
      <c r="B22" s="43"/>
      <c r="C22" s="44"/>
      <c r="D22" s="44"/>
      <c r="E22" s="44"/>
      <c r="F22" s="44"/>
    </row>
    <row r="23" spans="2:11" ht="15.75">
      <c r="C23" s="46"/>
    </row>
    <row r="25" spans="2:11" ht="15.75">
      <c r="C25" s="46"/>
    </row>
    <row r="26" spans="2:11" ht="15.75">
      <c r="C26" s="46"/>
    </row>
    <row r="31" spans="2:11">
      <c r="J31" s="48"/>
      <c r="K31" s="48"/>
    </row>
    <row r="32" spans="2:11">
      <c r="D32" s="49"/>
      <c r="E32" s="49"/>
      <c r="F32" s="49"/>
      <c r="G32" s="49"/>
      <c r="H32" s="49"/>
      <c r="I32" s="49"/>
      <c r="J32" s="50"/>
      <c r="K32" s="51"/>
    </row>
    <row r="33" spans="3:16">
      <c r="J33" s="48"/>
      <c r="K33" s="48"/>
      <c r="P33" s="52"/>
    </row>
    <row r="36" spans="3:16">
      <c r="C36" s="38"/>
      <c r="D36" s="38"/>
      <c r="E36" s="38"/>
      <c r="F36" s="38"/>
      <c r="G36" s="38"/>
      <c r="H36" s="38"/>
      <c r="I36" s="38"/>
      <c r="J36" s="38"/>
      <c r="K36" s="38"/>
    </row>
    <row r="37" spans="3:16">
      <c r="C37" s="38"/>
      <c r="D37" s="38"/>
      <c r="E37" s="38"/>
      <c r="F37" s="38"/>
      <c r="G37" s="38"/>
      <c r="H37" s="38"/>
      <c r="I37" s="38"/>
      <c r="J37" s="38"/>
      <c r="K37" s="38"/>
    </row>
    <row r="38" spans="3:16">
      <c r="C38" s="38"/>
      <c r="D38" s="38"/>
      <c r="E38" s="38"/>
      <c r="F38" s="339"/>
      <c r="G38" s="339"/>
      <c r="H38" s="339"/>
      <c r="I38" s="38"/>
      <c r="J38" s="339"/>
      <c r="K38" s="339"/>
    </row>
    <row r="39" spans="3:16">
      <c r="C39" s="38"/>
      <c r="D39" s="38"/>
      <c r="E39" s="38"/>
      <c r="F39" s="339"/>
      <c r="G39" s="339"/>
      <c r="H39" s="339"/>
      <c r="I39" s="339"/>
      <c r="J39" s="339"/>
      <c r="K39" s="339"/>
    </row>
    <row r="40" spans="3:16">
      <c r="C40" s="38"/>
      <c r="D40" s="38"/>
      <c r="E40" s="38"/>
      <c r="F40" s="40"/>
      <c r="G40" s="40"/>
      <c r="H40" s="38"/>
      <c r="I40" s="38"/>
      <c r="J40" s="40"/>
      <c r="K40" s="40"/>
    </row>
    <row r="41" spans="3:16">
      <c r="C41" s="38"/>
      <c r="D41" s="38"/>
      <c r="E41" s="41"/>
      <c r="F41" s="40"/>
      <c r="G41" s="40"/>
      <c r="H41" s="40"/>
      <c r="I41" s="38"/>
      <c r="J41" s="40"/>
      <c r="K41" s="40"/>
    </row>
    <row r="42" spans="3:16">
      <c r="C42" s="38"/>
      <c r="D42" s="38"/>
      <c r="E42" s="42"/>
      <c r="F42" s="40"/>
      <c r="G42" s="40"/>
      <c r="H42" s="38"/>
      <c r="I42" s="38"/>
      <c r="J42" s="40"/>
      <c r="K42" s="40"/>
    </row>
    <row r="43" spans="3:16">
      <c r="C43" s="38"/>
      <c r="D43" s="38"/>
      <c r="E43" s="38"/>
      <c r="F43" s="40"/>
      <c r="G43" s="40"/>
      <c r="H43" s="38"/>
      <c r="I43" s="38"/>
      <c r="J43" s="40"/>
      <c r="K43" s="40"/>
    </row>
    <row r="44" spans="3:16">
      <c r="C44" s="38"/>
      <c r="D44" s="38"/>
      <c r="E44" s="38"/>
      <c r="F44" s="38"/>
      <c r="G44" s="40"/>
      <c r="H44" s="40"/>
      <c r="I44" s="40"/>
      <c r="J44" s="38"/>
      <c r="K44" s="40"/>
    </row>
    <row r="45" spans="3:16">
      <c r="C45" s="38"/>
      <c r="D45" s="38"/>
      <c r="E45" s="38"/>
      <c r="F45" s="38"/>
      <c r="G45" s="40"/>
      <c r="H45" s="40"/>
      <c r="I45" s="38"/>
      <c r="J45" s="38"/>
      <c r="K45" s="40"/>
    </row>
    <row r="46" spans="3:16">
      <c r="C46" s="38"/>
      <c r="D46" s="38"/>
      <c r="E46" s="38"/>
      <c r="F46" s="38"/>
      <c r="G46" s="38"/>
      <c r="H46" s="38"/>
      <c r="I46" s="38"/>
      <c r="J46" s="38"/>
      <c r="K46" s="38"/>
    </row>
    <row r="47" spans="3:16">
      <c r="C47" s="38"/>
      <c r="D47" s="38"/>
      <c r="E47" s="38"/>
      <c r="F47" s="38"/>
      <c r="G47" s="38"/>
      <c r="H47" s="38"/>
      <c r="I47" s="38"/>
      <c r="J47" s="38"/>
      <c r="K47" s="38"/>
    </row>
    <row r="48" spans="3:16">
      <c r="C48" s="38"/>
      <c r="D48" s="38"/>
      <c r="E48" s="38"/>
      <c r="F48" s="38"/>
      <c r="G48" s="38"/>
      <c r="H48" s="38"/>
      <c r="I48" s="38"/>
      <c r="J48" s="38"/>
      <c r="K48" s="38"/>
    </row>
    <row r="49" spans="3:11">
      <c r="C49" s="38"/>
      <c r="D49" s="38"/>
      <c r="E49" s="38"/>
      <c r="F49" s="38"/>
      <c r="G49" s="38"/>
      <c r="H49" s="38"/>
      <c r="I49" s="38"/>
      <c r="J49" s="38"/>
      <c r="K49" s="38"/>
    </row>
    <row r="50" spans="3:11">
      <c r="C50" s="38"/>
      <c r="D50" s="38"/>
      <c r="E50" s="38"/>
      <c r="F50" s="38"/>
      <c r="G50" s="38"/>
      <c r="H50" s="38"/>
      <c r="I50" s="38"/>
      <c r="J50" s="38"/>
      <c r="K50" s="38"/>
    </row>
    <row r="51" spans="3:11">
      <c r="C51" s="38"/>
      <c r="D51" s="38"/>
      <c r="E51" s="38"/>
      <c r="F51" s="340"/>
      <c r="G51" s="340"/>
      <c r="H51" s="340"/>
      <c r="I51" s="340"/>
      <c r="J51" s="340"/>
      <c r="K51" s="340"/>
    </row>
    <row r="52" spans="3:11">
      <c r="C52" s="38"/>
      <c r="D52" s="38"/>
      <c r="E52" s="38"/>
      <c r="F52" s="38"/>
      <c r="G52" s="38"/>
      <c r="H52" s="38"/>
      <c r="I52" s="38"/>
      <c r="J52" s="38"/>
      <c r="K52" s="38"/>
    </row>
    <row r="53" spans="3:11">
      <c r="C53" s="48"/>
      <c r="D53" s="48"/>
    </row>
    <row r="54" spans="3:11">
      <c r="C54" s="48"/>
      <c r="D54" s="48"/>
    </row>
  </sheetData>
  <sheetProtection password="BAA8" sheet="1" objects="1" scenarios="1"/>
  <mergeCells count="19">
    <mergeCell ref="C15:E15"/>
    <mergeCell ref="J38:K38"/>
    <mergeCell ref="G11:H11"/>
    <mergeCell ref="C12:F12"/>
    <mergeCell ref="G12:H12"/>
    <mergeCell ref="C13:E13"/>
    <mergeCell ref="G13:H13"/>
    <mergeCell ref="C14:E14"/>
    <mergeCell ref="C16:E16"/>
    <mergeCell ref="C11:E11"/>
    <mergeCell ref="D19:F19"/>
    <mergeCell ref="H19:I19"/>
    <mergeCell ref="G14:H14"/>
    <mergeCell ref="F38:H38"/>
    <mergeCell ref="F39:I39"/>
    <mergeCell ref="J39:K39"/>
    <mergeCell ref="F51:K51"/>
    <mergeCell ref="G16:H16"/>
    <mergeCell ref="C17:E17"/>
  </mergeCells>
  <hyperlinks>
    <hyperlink ref="C11" location="'Monthly Payment'!D5" display="Monthly Payment" xr:uid="{00000000-0004-0000-0000-000000000000}"/>
    <hyperlink ref="C12" location="'Amortization Schedule'!E4" display="Amortization Schedule" xr:uid="{00000000-0004-0000-0000-000001000000}"/>
    <hyperlink ref="C13" location="'Loan Spread'!E6" display="Loan Spread" xr:uid="{00000000-0004-0000-0000-000002000000}"/>
    <hyperlink ref="C14" location="'Loan Comparison'!D6" display="Loan Comparison" xr:uid="{00000000-0004-0000-0000-000003000000}"/>
    <hyperlink ref="G15" location="'Cash Flow'!B4" display="Cash Flow" xr:uid="{00000000-0004-0000-0000-000004000000}"/>
    <hyperlink ref="G16" location="Depreciation!E5" display="Depreciation" xr:uid="{00000000-0004-0000-0000-000005000000}"/>
    <hyperlink ref="C17" location="'Discounted Cash Flows'!D7" display="Discounted Cash Flows" xr:uid="{00000000-0004-0000-0000-000006000000}"/>
    <hyperlink ref="G11" location="'Maximum Loan'!D5" display="Maximum Loan" xr:uid="{00000000-0004-0000-0000-000007000000}"/>
    <hyperlink ref="G12" location="'Six Functions'!D5" display="Six Functions of $1" xr:uid="{00000000-0004-0000-0000-000008000000}"/>
    <hyperlink ref="G13" location="'Mortgage Qualifier'!D6" display="Mortgage Qualifier" xr:uid="{00000000-0004-0000-0000-000009000000}"/>
    <hyperlink ref="G14" location="Refinancing!D6" display="Refinancing" xr:uid="{00000000-0004-0000-0000-00000A000000}"/>
    <hyperlink ref="C15" location="'Income Multipliers'!D6" display="Income Multipliers" xr:uid="{00000000-0004-0000-0000-00000B000000}"/>
    <hyperlink ref="C16" location="Underwriting!D6" display="Underwriting" xr:uid="{00000000-0004-0000-0000-00000C000000}"/>
    <hyperlink ref="C12:F12" location="'Annual Property Operating Data'!B4" display="Annual Property Operating Data" xr:uid="{00000000-0004-0000-0000-00000D000000}"/>
    <hyperlink ref="C13:D13" location="'Loan Spread'!F6" display="Loan Spread" xr:uid="{00000000-0004-0000-0000-00000E000000}"/>
    <hyperlink ref="G12:H12" location="'Net Present Value'!C4" display="Net Present Value" xr:uid="{00000000-0004-0000-0000-00000F000000}"/>
    <hyperlink ref="C11:E11" location="'Compound Interest'!A7" display="Compound Interest" xr:uid="{00000000-0004-0000-0000-000010000000}"/>
    <hyperlink ref="C13:E13" location="'Discounted Cash Flow'!D5" display="Discounted Cash Flow" xr:uid="{00000000-0004-0000-0000-000011000000}"/>
    <hyperlink ref="C14:E14" location="'Amortization Table'!B5" display="Amortization Table" xr:uid="{00000000-0004-0000-0000-000012000000}"/>
    <hyperlink ref="G16:H16" location="'Sale Proceeds'!B4" display="Sale Proceeds" xr:uid="{00000000-0004-0000-0000-000013000000}"/>
    <hyperlink ref="C17:E17" location="'Value of a Lease'!C4" display="Value of a Lease" xr:uid="{00000000-0004-0000-0000-000014000000}"/>
    <hyperlink ref="G11:H11" location="'4 Annuity Functions'!A7" display="4 Annuity Functions" xr:uid="{00000000-0004-0000-0000-000015000000}"/>
    <hyperlink ref="G13:H13" location="'Taxable Income'!B4" display="Taxable Income" xr:uid="{00000000-0004-0000-0000-000016000000}"/>
    <hyperlink ref="G14:H14" location="'Adjusted Basis'!B4" display="Adjusted Basis" xr:uid="{00000000-0004-0000-0000-000017000000}"/>
    <hyperlink ref="C15:D15" location="'Internal Rate of Return'!C5" display="Internal Rate of Return" xr:uid="{00000000-0004-0000-0000-000018000000}"/>
    <hyperlink ref="C16:D16" location="MIRR!C5" display="Modified Internal Rate of Return" xr:uid="{00000000-0004-0000-0000-000019000000}"/>
  </hyperlink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2:F22"/>
  <sheetViews>
    <sheetView showGridLines="0" showRuler="0" workbookViewId="0">
      <selection activeCell="C4" sqref="C4"/>
    </sheetView>
  </sheetViews>
  <sheetFormatPr defaultColWidth="8.85546875" defaultRowHeight="12.75"/>
  <cols>
    <col min="1" max="1" width="20.7109375" customWidth="1"/>
    <col min="2" max="2" width="17" customWidth="1"/>
    <col min="3" max="3" width="15.42578125" customWidth="1"/>
  </cols>
  <sheetData>
    <row r="2" spans="2:5" ht="20.25">
      <c r="B2" s="152" t="s">
        <v>98</v>
      </c>
      <c r="C2" s="201"/>
    </row>
    <row r="4" spans="2:5" ht="14.25" customHeight="1">
      <c r="B4" s="247" t="s">
        <v>85</v>
      </c>
      <c r="C4" s="248">
        <v>0</v>
      </c>
      <c r="D4" s="1"/>
      <c r="E4" s="1"/>
    </row>
    <row r="5" spans="2:5" ht="14.25" customHeight="1">
      <c r="B5" s="249"/>
      <c r="C5" s="22"/>
      <c r="D5" s="1"/>
      <c r="E5" s="1"/>
    </row>
    <row r="6" spans="2:5" ht="14.25" customHeight="1">
      <c r="B6" s="240" t="s">
        <v>99</v>
      </c>
      <c r="C6" s="242">
        <v>0</v>
      </c>
      <c r="D6" s="1"/>
      <c r="E6" s="1"/>
    </row>
    <row r="7" spans="2:5" ht="14.25" customHeight="1">
      <c r="B7" s="240" t="s">
        <v>100</v>
      </c>
      <c r="C7" s="243">
        <v>0</v>
      </c>
      <c r="D7" s="1"/>
      <c r="E7" s="1"/>
    </row>
    <row r="8" spans="2:5" ht="14.25" customHeight="1">
      <c r="B8" s="240" t="s">
        <v>101</v>
      </c>
      <c r="C8" s="243">
        <v>0</v>
      </c>
      <c r="D8" s="1"/>
      <c r="E8" s="1"/>
    </row>
    <row r="9" spans="2:5" ht="14.25" customHeight="1">
      <c r="B9" s="240" t="s">
        <v>102</v>
      </c>
      <c r="C9" s="243">
        <v>0</v>
      </c>
      <c r="D9" s="1"/>
      <c r="E9" s="1"/>
    </row>
    <row r="10" spans="2:5" ht="14.25" customHeight="1">
      <c r="B10" s="240" t="s">
        <v>103</v>
      </c>
      <c r="C10" s="243">
        <v>0</v>
      </c>
      <c r="D10" s="1"/>
      <c r="E10" s="1"/>
    </row>
    <row r="11" spans="2:5" ht="14.25" customHeight="1">
      <c r="B11" s="240" t="s">
        <v>104</v>
      </c>
      <c r="C11" s="243">
        <v>0</v>
      </c>
      <c r="D11" s="1"/>
      <c r="E11" s="1"/>
    </row>
    <row r="12" spans="2:5" ht="14.25" customHeight="1">
      <c r="B12" s="240" t="s">
        <v>105</v>
      </c>
      <c r="C12" s="243">
        <v>0</v>
      </c>
      <c r="D12" s="1"/>
      <c r="E12" s="1"/>
    </row>
    <row r="13" spans="2:5" ht="14.25" customHeight="1">
      <c r="B13" s="240" t="s">
        <v>106</v>
      </c>
      <c r="C13" s="243">
        <v>0</v>
      </c>
      <c r="D13" s="1"/>
      <c r="E13" s="1"/>
    </row>
    <row r="14" spans="2:5" ht="14.25" customHeight="1">
      <c r="B14" s="240" t="s">
        <v>107</v>
      </c>
      <c r="C14" s="243">
        <v>0</v>
      </c>
      <c r="D14" s="1"/>
      <c r="E14" s="1"/>
    </row>
    <row r="15" spans="2:5" ht="14.25" customHeight="1">
      <c r="B15" s="240" t="s">
        <v>108</v>
      </c>
      <c r="C15" s="243">
        <v>0</v>
      </c>
      <c r="D15" s="1"/>
      <c r="E15" s="1"/>
    </row>
    <row r="16" spans="2:5" ht="14.25" customHeight="1">
      <c r="B16" s="241" t="s">
        <v>109</v>
      </c>
      <c r="C16" s="244">
        <v>0</v>
      </c>
      <c r="D16" s="1"/>
      <c r="E16" s="1"/>
    </row>
    <row r="17" spans="1:6" ht="14.25" customHeight="1">
      <c r="B17" s="1"/>
      <c r="C17" s="23"/>
      <c r="D17" s="1"/>
      <c r="E17" s="1"/>
    </row>
    <row r="18" spans="1:6" ht="14.25" customHeight="1">
      <c r="B18" s="245" t="s">
        <v>98</v>
      </c>
      <c r="C18" s="246">
        <f>NPV(C4,C7:C16)-C6</f>
        <v>0</v>
      </c>
      <c r="D18" s="1"/>
      <c r="E18" s="1"/>
    </row>
    <row r="19" spans="1:6">
      <c r="B19" s="1"/>
      <c r="C19" s="1"/>
      <c r="D19" s="1"/>
      <c r="E19" s="1"/>
    </row>
    <row r="20" spans="1:6">
      <c r="B20" s="1"/>
      <c r="C20" s="1"/>
      <c r="D20" s="1"/>
      <c r="E20" s="1"/>
    </row>
    <row r="21" spans="1:6">
      <c r="B21" s="24"/>
      <c r="C21" s="2"/>
      <c r="D21" s="2"/>
      <c r="E21" s="2"/>
      <c r="F21" s="2"/>
    </row>
    <row r="22" spans="1:6">
      <c r="A22" s="54" t="str">
        <f>"                           " &amp;copyright &amp; " RealData, Inc. Southport, CT All Rights Reserved"</f>
        <v xml:space="preserve">                           © Copyright 1982-2016 RealData, Inc. Southport, CT All Rights Reserved</v>
      </c>
    </row>
  </sheetData>
  <sheetProtection sheet="1" objects="1" scenarios="1"/>
  <phoneticPr fontId="0" type="noConversion"/>
  <pageMargins left="0.75" right="0.75" top="1" bottom="1" header="0.5" footer="0.5"/>
  <pageSetup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40"/>
  <sheetViews>
    <sheetView showGridLines="0" showRuler="0" workbookViewId="0">
      <selection activeCell="C4" sqref="C4"/>
    </sheetView>
  </sheetViews>
  <sheetFormatPr defaultColWidth="8.85546875" defaultRowHeight="12.75"/>
  <cols>
    <col min="1" max="1" width="20.7109375" customWidth="1"/>
    <col min="2" max="2" width="24.85546875" customWidth="1"/>
    <col min="3" max="3" width="12.85546875" customWidth="1"/>
    <col min="4" max="4" width="15.140625" customWidth="1"/>
  </cols>
  <sheetData>
    <row r="1" spans="1:4">
      <c r="A1" s="1"/>
      <c r="B1" s="1"/>
      <c r="C1" s="1"/>
      <c r="D1" s="1"/>
    </row>
    <row r="2" spans="1:4" ht="21.75" customHeight="1">
      <c r="A2" s="1"/>
      <c r="B2" s="172" t="s">
        <v>110</v>
      </c>
      <c r="C2" s="173"/>
      <c r="D2" s="174"/>
    </row>
    <row r="3" spans="1:4">
      <c r="A3" s="1"/>
      <c r="B3" s="176"/>
      <c r="C3" s="175"/>
      <c r="D3" s="107"/>
    </row>
    <row r="4" spans="1:4">
      <c r="A4" s="1"/>
      <c r="B4" s="323" t="s">
        <v>138</v>
      </c>
      <c r="C4" s="337"/>
      <c r="D4" s="320"/>
    </row>
    <row r="5" spans="1:4">
      <c r="A5" s="1"/>
      <c r="B5" s="324" t="s">
        <v>139</v>
      </c>
      <c r="C5" s="338"/>
      <c r="D5" s="321"/>
    </row>
    <row r="6" spans="1:4">
      <c r="A6" s="1"/>
      <c r="B6" s="131"/>
      <c r="C6" s="91"/>
      <c r="D6" s="113"/>
    </row>
    <row r="7" spans="1:4">
      <c r="A7" s="1"/>
      <c r="B7" s="184" t="s">
        <v>6</v>
      </c>
      <c r="C7" s="314">
        <f ca="1">TODAY()</f>
        <v>43073</v>
      </c>
      <c r="D7" s="320"/>
    </row>
    <row r="8" spans="1:4">
      <c r="A8" s="1"/>
      <c r="B8" s="184" t="s">
        <v>7</v>
      </c>
      <c r="C8" s="333"/>
      <c r="D8" s="322"/>
    </row>
    <row r="9" spans="1:4">
      <c r="A9" s="1"/>
      <c r="B9" s="182"/>
      <c r="C9" s="106"/>
      <c r="D9" s="113"/>
    </row>
    <row r="10" spans="1:4">
      <c r="A10" s="1"/>
      <c r="B10" s="177" t="s">
        <v>8</v>
      </c>
      <c r="C10" s="117"/>
      <c r="D10" s="125"/>
    </row>
    <row r="11" spans="1:4">
      <c r="A11" s="1"/>
      <c r="B11" s="118" t="s">
        <v>10</v>
      </c>
      <c r="C11" s="86"/>
      <c r="D11" s="190">
        <v>0</v>
      </c>
    </row>
    <row r="12" spans="1:4">
      <c r="A12" s="1"/>
      <c r="B12" s="119" t="s">
        <v>11</v>
      </c>
      <c r="C12" s="87"/>
      <c r="D12" s="186">
        <v>0</v>
      </c>
    </row>
    <row r="13" spans="1:4">
      <c r="A13" s="1"/>
      <c r="B13" s="178" t="s">
        <v>12</v>
      </c>
      <c r="C13" s="95"/>
      <c r="D13" s="311">
        <f>SUM(D11:D12)</f>
        <v>0</v>
      </c>
    </row>
    <row r="14" spans="1:4">
      <c r="A14" s="1"/>
      <c r="B14" s="119"/>
      <c r="C14" s="87"/>
      <c r="D14" s="188"/>
    </row>
    <row r="15" spans="1:4">
      <c r="A15" s="1"/>
      <c r="B15" s="128" t="s">
        <v>13</v>
      </c>
      <c r="C15" s="88"/>
      <c r="D15" s="190">
        <v>0</v>
      </c>
    </row>
    <row r="16" spans="1:4">
      <c r="A16" s="1"/>
      <c r="B16" s="92"/>
      <c r="C16" s="93"/>
      <c r="D16" s="289"/>
    </row>
    <row r="17" spans="1:4">
      <c r="A17" s="1"/>
      <c r="B17" s="178" t="s">
        <v>14</v>
      </c>
      <c r="C17" s="95"/>
      <c r="D17" s="311">
        <f>D13-D15</f>
        <v>0</v>
      </c>
    </row>
    <row r="18" spans="1:4">
      <c r="A18" s="1"/>
      <c r="B18" s="119"/>
      <c r="C18" s="87"/>
      <c r="D18" s="188"/>
    </row>
    <row r="19" spans="1:4">
      <c r="A19" s="1"/>
      <c r="B19" s="128" t="s">
        <v>15</v>
      </c>
      <c r="C19" s="88"/>
      <c r="D19" s="188"/>
    </row>
    <row r="20" spans="1:4">
      <c r="A20" s="1"/>
      <c r="B20" s="119" t="s">
        <v>18</v>
      </c>
      <c r="C20" s="87"/>
      <c r="D20" s="190">
        <v>0</v>
      </c>
    </row>
    <row r="21" spans="1:4">
      <c r="A21" s="1"/>
      <c r="B21" s="119" t="s">
        <v>66</v>
      </c>
      <c r="C21" s="87"/>
      <c r="D21" s="185">
        <v>0</v>
      </c>
    </row>
    <row r="22" spans="1:4">
      <c r="A22" s="1"/>
      <c r="B22" s="119" t="s">
        <v>25</v>
      </c>
      <c r="C22" s="87"/>
      <c r="D22" s="185">
        <v>0</v>
      </c>
    </row>
    <row r="23" spans="1:4">
      <c r="A23" s="1"/>
      <c r="B23" s="119" t="s">
        <v>67</v>
      </c>
      <c r="C23" s="87"/>
      <c r="D23" s="185">
        <v>0</v>
      </c>
    </row>
    <row r="24" spans="1:4">
      <c r="A24" s="1"/>
      <c r="B24" s="119" t="s">
        <v>34</v>
      </c>
      <c r="C24" s="87"/>
      <c r="D24" s="185">
        <v>0</v>
      </c>
    </row>
    <row r="25" spans="1:4">
      <c r="A25" s="1"/>
      <c r="B25" s="119" t="s">
        <v>68</v>
      </c>
      <c r="C25" s="87"/>
      <c r="D25" s="186">
        <v>0</v>
      </c>
    </row>
    <row r="26" spans="1:4">
      <c r="A26" s="1"/>
      <c r="B26" s="131" t="s">
        <v>40</v>
      </c>
      <c r="C26" s="91"/>
      <c r="D26" s="188">
        <f>SUM(D20:D22)+SUM(D23:D23)+SUM(D24:D25)</f>
        <v>0</v>
      </c>
    </row>
    <row r="27" spans="1:4">
      <c r="A27" s="1"/>
      <c r="B27" s="92"/>
      <c r="C27" s="93"/>
      <c r="D27" s="289"/>
    </row>
    <row r="28" spans="1:4">
      <c r="A28" s="1"/>
      <c r="B28" s="178" t="s">
        <v>41</v>
      </c>
      <c r="C28" s="95"/>
      <c r="D28" s="311">
        <f>D17-D26</f>
        <v>0</v>
      </c>
    </row>
    <row r="29" spans="1:4">
      <c r="A29" s="1"/>
      <c r="B29" s="182"/>
      <c r="C29" s="106"/>
      <c r="D29" s="113"/>
    </row>
    <row r="30" spans="1:4">
      <c r="A30" s="1"/>
      <c r="B30" s="182" t="s">
        <v>111</v>
      </c>
      <c r="C30" s="106"/>
      <c r="D30" s="190">
        <v>0</v>
      </c>
    </row>
    <row r="31" spans="1:4">
      <c r="A31" s="1"/>
      <c r="B31" s="182" t="s">
        <v>112</v>
      </c>
      <c r="C31" s="106"/>
      <c r="D31" s="185">
        <v>0</v>
      </c>
    </row>
    <row r="32" spans="1:4">
      <c r="A32" s="1"/>
      <c r="B32" s="182" t="s">
        <v>113</v>
      </c>
      <c r="C32" s="106"/>
      <c r="D32" s="185">
        <v>0</v>
      </c>
    </row>
    <row r="33" spans="1:4">
      <c r="A33" s="1"/>
      <c r="B33" s="182" t="s">
        <v>114</v>
      </c>
      <c r="C33" s="106"/>
      <c r="D33" s="185">
        <v>0</v>
      </c>
    </row>
    <row r="34" spans="1:4">
      <c r="A34" s="1"/>
      <c r="B34" s="182" t="s">
        <v>73</v>
      </c>
      <c r="C34" s="106"/>
      <c r="D34" s="186">
        <v>0</v>
      </c>
    </row>
    <row r="35" spans="1:4">
      <c r="A35" s="1"/>
      <c r="B35" s="182"/>
      <c r="C35" s="106"/>
      <c r="D35" s="113"/>
    </row>
    <row r="36" spans="1:4">
      <c r="A36" s="1"/>
      <c r="B36" s="183" t="s">
        <v>115</v>
      </c>
      <c r="C36" s="69"/>
      <c r="D36" s="311">
        <f>D28-D30-D31-D32-D33+D34</f>
        <v>0</v>
      </c>
    </row>
    <row r="38" spans="1:4">
      <c r="B38" s="2"/>
      <c r="C38" s="2"/>
      <c r="D38" s="2"/>
    </row>
    <row r="40" spans="1:4">
      <c r="B40" s="54" t="str">
        <f>copyright &amp; " RealData, Inc. Southport, CT All Rights Reserved"</f>
        <v>© Copyright 1982-2016 RealData, Inc. Southport, CT All Rights Reserved</v>
      </c>
    </row>
  </sheetData>
  <sheetProtection sheet="1" objects="1" scenarios="1"/>
  <phoneticPr fontId="0" type="noConversion"/>
  <pageMargins left="0.75" right="0.75" top="1" bottom="1" header="0.5" footer="0.5"/>
  <pageSetup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20"/>
  <sheetViews>
    <sheetView showGridLines="0" showRuler="0" workbookViewId="0">
      <selection activeCell="C5" sqref="C5"/>
    </sheetView>
  </sheetViews>
  <sheetFormatPr defaultColWidth="8.85546875" defaultRowHeight="12.75"/>
  <cols>
    <col min="1" max="1" width="20.7109375" customWidth="1"/>
    <col min="2" max="2" width="38.42578125" customWidth="1"/>
    <col min="3" max="3" width="12.140625" customWidth="1"/>
    <col min="4" max="4" width="16.42578125" customWidth="1"/>
    <col min="5" max="5" width="2.140625" customWidth="1"/>
  </cols>
  <sheetData>
    <row r="1" spans="1:7">
      <c r="A1" s="1"/>
      <c r="B1" s="1"/>
      <c r="C1" s="1"/>
      <c r="D1" s="1"/>
    </row>
    <row r="2" spans="1:7" ht="21.75" customHeight="1">
      <c r="A2" s="1"/>
      <c r="B2" s="172" t="s">
        <v>116</v>
      </c>
      <c r="C2" s="173"/>
      <c r="D2" s="193"/>
      <c r="E2" s="154"/>
    </row>
    <row r="3" spans="1:7">
      <c r="A3" s="1"/>
      <c r="B3" s="250"/>
      <c r="C3" s="250"/>
      <c r="D3" s="251"/>
      <c r="E3" s="252"/>
      <c r="F3" s="252"/>
    </row>
    <row r="4" spans="1:7">
      <c r="A4" s="1"/>
      <c r="B4" s="177"/>
      <c r="C4" s="117"/>
      <c r="D4" s="62"/>
      <c r="E4" s="64"/>
      <c r="F4" s="252"/>
      <c r="G4" s="53"/>
    </row>
    <row r="5" spans="1:7">
      <c r="A5" s="1"/>
      <c r="B5" s="129" t="s">
        <v>138</v>
      </c>
      <c r="C5" s="334"/>
      <c r="D5" s="315"/>
      <c r="E5" s="240"/>
    </row>
    <row r="6" spans="1:7">
      <c r="A6" s="1"/>
      <c r="B6" s="129" t="s">
        <v>139</v>
      </c>
      <c r="C6" s="335"/>
      <c r="D6" s="316"/>
      <c r="E6" s="240"/>
      <c r="G6" s="53"/>
    </row>
    <row r="7" spans="1:7">
      <c r="A7" s="1"/>
      <c r="B7" s="131"/>
      <c r="C7" s="91"/>
      <c r="D7" s="199"/>
      <c r="E7" s="113"/>
      <c r="G7" s="53"/>
    </row>
    <row r="8" spans="1:7">
      <c r="A8" s="1"/>
      <c r="B8" s="132" t="s">
        <v>6</v>
      </c>
      <c r="C8" s="317">
        <f ca="1">TODAY()</f>
        <v>43073</v>
      </c>
      <c r="D8" s="318"/>
      <c r="E8" s="240"/>
    </row>
    <row r="9" spans="1:7">
      <c r="A9" s="1"/>
      <c r="B9" s="132" t="s">
        <v>7</v>
      </c>
      <c r="C9" s="336"/>
      <c r="D9" s="319"/>
      <c r="E9" s="240"/>
    </row>
    <row r="10" spans="1:7">
      <c r="A10" s="1"/>
      <c r="B10" s="182"/>
      <c r="C10" s="106"/>
      <c r="D10" s="62"/>
      <c r="E10" s="113"/>
    </row>
    <row r="11" spans="1:7">
      <c r="A11" s="1"/>
      <c r="B11" s="131" t="s">
        <v>117</v>
      </c>
      <c r="C11" s="88"/>
      <c r="D11" s="190">
        <v>0</v>
      </c>
      <c r="E11" s="113"/>
    </row>
    <row r="12" spans="1:7">
      <c r="A12" s="1"/>
      <c r="B12" s="119" t="s">
        <v>118</v>
      </c>
      <c r="C12" s="87"/>
      <c r="D12" s="185">
        <v>0</v>
      </c>
      <c r="E12" s="113"/>
    </row>
    <row r="13" spans="1:7">
      <c r="A13" s="1"/>
      <c r="B13" s="119" t="s">
        <v>119</v>
      </c>
      <c r="C13" s="87"/>
      <c r="D13" s="185">
        <v>0</v>
      </c>
      <c r="E13" s="113"/>
    </row>
    <row r="14" spans="1:7">
      <c r="A14" s="1"/>
      <c r="B14" s="119" t="s">
        <v>120</v>
      </c>
      <c r="C14" s="87"/>
      <c r="D14" s="185">
        <v>0</v>
      </c>
      <c r="E14" s="113"/>
    </row>
    <row r="15" spans="1:7">
      <c r="A15" s="1"/>
      <c r="B15" s="119" t="s">
        <v>121</v>
      </c>
      <c r="C15" s="87"/>
      <c r="D15" s="185">
        <v>0</v>
      </c>
      <c r="E15" s="113"/>
    </row>
    <row r="16" spans="1:7">
      <c r="A16" s="1"/>
      <c r="B16" s="178" t="s">
        <v>122</v>
      </c>
      <c r="C16" s="95"/>
      <c r="D16" s="85">
        <f>D11+D12+D13-D14-D15</f>
        <v>0</v>
      </c>
      <c r="E16" s="71"/>
    </row>
    <row r="18" spans="2:4">
      <c r="B18" s="2"/>
      <c r="C18" s="2"/>
      <c r="D18" s="21"/>
    </row>
    <row r="20" spans="2:4">
      <c r="B20" s="54" t="str">
        <f>copyright &amp; " RealData, Inc. Southport, CT All Rights Reserved"</f>
        <v>© Copyright 1982-2016 RealData, Inc. Southport, CT All Rights Reserved</v>
      </c>
    </row>
  </sheetData>
  <sheetProtection sheet="1" objects="1" scenarios="1"/>
  <phoneticPr fontId="0" type="noConversion"/>
  <pageMargins left="0.75" right="0.75" top="1" bottom="1" header="0.5" footer="0.5"/>
  <pageSetup orientation="portrait"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3:D21"/>
  <sheetViews>
    <sheetView showGridLines="0" showRuler="0" workbookViewId="0">
      <selection activeCell="C6" sqref="C6"/>
    </sheetView>
  </sheetViews>
  <sheetFormatPr defaultColWidth="8.85546875" defaultRowHeight="12.75"/>
  <cols>
    <col min="1" max="1" width="20.7109375" customWidth="1"/>
    <col min="2" max="2" width="33.140625" customWidth="1"/>
    <col min="3" max="3" width="14.42578125" customWidth="1"/>
  </cols>
  <sheetData>
    <row r="3" spans="2:3" ht="20.25">
      <c r="B3" s="152" t="s">
        <v>147</v>
      </c>
      <c r="C3" s="201"/>
    </row>
    <row r="5" spans="2:3" ht="13.5" customHeight="1">
      <c r="B5" s="195" t="s">
        <v>125</v>
      </c>
      <c r="C5" s="242">
        <v>-20000</v>
      </c>
    </row>
    <row r="6" spans="2:3" ht="13.5" customHeight="1">
      <c r="B6" s="196" t="s">
        <v>43</v>
      </c>
      <c r="C6" s="253">
        <v>1000</v>
      </c>
    </row>
    <row r="7" spans="2:3" ht="13.5" customHeight="1">
      <c r="B7" s="196" t="s">
        <v>44</v>
      </c>
      <c r="C7" s="253">
        <v>500</v>
      </c>
    </row>
    <row r="8" spans="2:3" ht="13.5" customHeight="1">
      <c r="B8" s="196" t="s">
        <v>45</v>
      </c>
      <c r="C8" s="253">
        <v>1000</v>
      </c>
    </row>
    <row r="9" spans="2:3" ht="13.5" customHeight="1">
      <c r="B9" s="196" t="s">
        <v>46</v>
      </c>
      <c r="C9" s="253">
        <v>1000</v>
      </c>
    </row>
    <row r="10" spans="2:3" ht="13.5" customHeight="1">
      <c r="B10" s="196" t="s">
        <v>47</v>
      </c>
      <c r="C10" s="253">
        <v>500</v>
      </c>
    </row>
    <row r="11" spans="2:3" ht="13.5" customHeight="1">
      <c r="B11" s="196" t="s">
        <v>48</v>
      </c>
      <c r="C11" s="253">
        <v>1000</v>
      </c>
    </row>
    <row r="12" spans="2:3" ht="13.5" customHeight="1">
      <c r="B12" s="196" t="s">
        <v>49</v>
      </c>
      <c r="C12" s="253">
        <v>1000</v>
      </c>
    </row>
    <row r="13" spans="2:3" ht="13.5" customHeight="1">
      <c r="B13" s="196" t="s">
        <v>50</v>
      </c>
      <c r="C13" s="253">
        <v>500</v>
      </c>
    </row>
    <row r="14" spans="2:3" ht="13.5" customHeight="1">
      <c r="B14" s="196" t="s">
        <v>51</v>
      </c>
      <c r="C14" s="253">
        <v>1000</v>
      </c>
    </row>
    <row r="15" spans="2:3" ht="13.5" customHeight="1">
      <c r="B15" s="197" t="s">
        <v>52</v>
      </c>
      <c r="C15" s="254">
        <v>120000</v>
      </c>
    </row>
    <row r="17" spans="1:4">
      <c r="B17" s="255" t="s">
        <v>123</v>
      </c>
      <c r="C17" s="256">
        <f>IF(ISERROR(IRR((C5:C15))),"n/a",IRR((C5:C15)))</f>
        <v>0.21720279346498006</v>
      </c>
    </row>
    <row r="18" spans="1:4">
      <c r="C18" s="25"/>
    </row>
    <row r="19" spans="1:4">
      <c r="A19" s="2"/>
      <c r="B19" s="24"/>
      <c r="C19" s="24"/>
      <c r="D19" s="24"/>
    </row>
    <row r="21" spans="1:4">
      <c r="B21" s="54" t="str">
        <f>copyright &amp; " RealData, Inc. Southport, CT All Rights Reserved"</f>
        <v>© Copyright 1982-2016 RealData, Inc. Southport, CT All Rights Reserved</v>
      </c>
    </row>
  </sheetData>
  <sheetProtection sheet="1" objects="1" scenarios="1"/>
  <phoneticPr fontId="0" type="noConversion"/>
  <dataValidations count="1">
    <dataValidation type="decimal" operator="lessThanOrEqual" allowBlank="1" showInputMessage="1" showErrorMessage="1" errorTitle="Initial Investment" error="Please enter the initial investment as a negative number." sqref="C5" xr:uid="{00000000-0002-0000-0C00-000000000000}">
      <formula1>0</formula1>
    </dataValidation>
  </dataValidations>
  <pageMargins left="0.75" right="0.75" top="1" bottom="1" header="0.5" footer="0.5"/>
  <pageSetup orientation="portrait" verticalDpi="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3:G24"/>
  <sheetViews>
    <sheetView showGridLines="0" showRuler="0" workbookViewId="0">
      <selection activeCell="C5" sqref="C5"/>
    </sheetView>
  </sheetViews>
  <sheetFormatPr defaultColWidth="8.85546875" defaultRowHeight="12.75"/>
  <cols>
    <col min="1" max="1" width="20.7109375" customWidth="1"/>
    <col min="2" max="2" width="44.28515625" customWidth="1"/>
    <col min="3" max="3" width="14.42578125" customWidth="1"/>
  </cols>
  <sheetData>
    <row r="3" spans="1:7" ht="20.25">
      <c r="A3" s="1"/>
      <c r="B3" s="263" t="s">
        <v>145</v>
      </c>
      <c r="C3" s="264"/>
      <c r="D3" s="1"/>
      <c r="E3" s="1"/>
      <c r="F3" s="1"/>
      <c r="G3" s="1"/>
    </row>
    <row r="4" spans="1:7">
      <c r="A4" s="1"/>
      <c r="B4" s="26"/>
      <c r="C4" s="27"/>
      <c r="D4" s="1"/>
      <c r="E4" s="1"/>
      <c r="F4" s="1"/>
      <c r="G4" s="1"/>
    </row>
    <row r="5" spans="1:7">
      <c r="A5" s="1"/>
      <c r="B5" s="258" t="s">
        <v>143</v>
      </c>
      <c r="C5" s="259">
        <v>0</v>
      </c>
      <c r="D5" s="1"/>
      <c r="E5" s="1"/>
      <c r="F5" s="1"/>
      <c r="G5" s="1"/>
    </row>
    <row r="6" spans="1:7">
      <c r="A6" s="1"/>
      <c r="B6" s="260" t="s">
        <v>144</v>
      </c>
      <c r="C6" s="261">
        <v>0</v>
      </c>
      <c r="D6" s="1"/>
      <c r="E6" s="1"/>
      <c r="F6" s="1"/>
      <c r="G6" s="1"/>
    </row>
    <row r="7" spans="1:7">
      <c r="A7" s="1"/>
      <c r="B7" s="257"/>
      <c r="C7" s="27"/>
      <c r="D7" s="1"/>
      <c r="E7" s="1"/>
      <c r="F7" s="1"/>
      <c r="G7" s="1"/>
    </row>
    <row r="8" spans="1:7">
      <c r="A8" s="1"/>
      <c r="B8" s="60"/>
      <c r="C8" s="1"/>
      <c r="D8" s="1"/>
      <c r="E8" s="1"/>
      <c r="F8" s="1"/>
      <c r="G8" s="1"/>
    </row>
    <row r="9" spans="1:7" ht="13.5" customHeight="1">
      <c r="A9" s="1"/>
      <c r="B9" s="239" t="s">
        <v>125</v>
      </c>
      <c r="C9" s="242">
        <v>0</v>
      </c>
      <c r="D9" s="1"/>
      <c r="E9" s="1"/>
      <c r="F9" s="1"/>
      <c r="G9" s="1"/>
    </row>
    <row r="10" spans="1:7" ht="13.5" customHeight="1">
      <c r="A10" s="1"/>
      <c r="B10" s="240" t="s">
        <v>43</v>
      </c>
      <c r="C10" s="253">
        <v>0</v>
      </c>
      <c r="D10" s="1"/>
      <c r="E10" s="1"/>
      <c r="F10" s="1"/>
      <c r="G10" s="1"/>
    </row>
    <row r="11" spans="1:7" ht="13.5" customHeight="1">
      <c r="A11" s="1"/>
      <c r="B11" s="240" t="s">
        <v>44</v>
      </c>
      <c r="C11" s="253">
        <v>0</v>
      </c>
      <c r="D11" s="1"/>
      <c r="E11" s="1"/>
      <c r="F11" s="1"/>
      <c r="G11" s="1"/>
    </row>
    <row r="12" spans="1:7" ht="13.5" customHeight="1">
      <c r="A12" s="1"/>
      <c r="B12" s="240" t="s">
        <v>45</v>
      </c>
      <c r="C12" s="253">
        <v>0</v>
      </c>
      <c r="D12" s="1"/>
      <c r="E12" s="1"/>
      <c r="F12" s="1"/>
      <c r="G12" s="1"/>
    </row>
    <row r="13" spans="1:7" ht="13.5" customHeight="1">
      <c r="A13" s="1"/>
      <c r="B13" s="240" t="s">
        <v>46</v>
      </c>
      <c r="C13" s="253">
        <v>0</v>
      </c>
      <c r="D13" s="1"/>
      <c r="E13" s="1"/>
      <c r="F13" s="1"/>
      <c r="G13" s="1"/>
    </row>
    <row r="14" spans="1:7" ht="13.5" customHeight="1">
      <c r="A14" s="1"/>
      <c r="B14" s="240" t="s">
        <v>47</v>
      </c>
      <c r="C14" s="253">
        <v>0</v>
      </c>
      <c r="D14" s="1"/>
      <c r="E14" s="1"/>
      <c r="F14" s="1"/>
      <c r="G14" s="1"/>
    </row>
    <row r="15" spans="1:7" ht="13.5" customHeight="1">
      <c r="A15" s="1"/>
      <c r="B15" s="240" t="s">
        <v>48</v>
      </c>
      <c r="C15" s="253">
        <v>0</v>
      </c>
      <c r="D15" s="1"/>
      <c r="E15" s="1"/>
      <c r="F15" s="1"/>
      <c r="G15" s="1"/>
    </row>
    <row r="16" spans="1:7" ht="13.5" customHeight="1">
      <c r="A16" s="1"/>
      <c r="B16" s="240" t="s">
        <v>49</v>
      </c>
      <c r="C16" s="253">
        <v>0</v>
      </c>
      <c r="D16" s="1"/>
      <c r="E16" s="1"/>
      <c r="F16" s="1"/>
      <c r="G16" s="1"/>
    </row>
    <row r="17" spans="1:7" ht="13.5" customHeight="1">
      <c r="A17" s="1"/>
      <c r="B17" s="240" t="s">
        <v>50</v>
      </c>
      <c r="C17" s="253">
        <v>0</v>
      </c>
      <c r="D17" s="1"/>
      <c r="E17" s="1"/>
      <c r="F17" s="1"/>
      <c r="G17" s="1"/>
    </row>
    <row r="18" spans="1:7" ht="13.5" customHeight="1">
      <c r="A18" s="1"/>
      <c r="B18" s="240" t="s">
        <v>51</v>
      </c>
      <c r="C18" s="253">
        <v>0</v>
      </c>
      <c r="D18" s="1"/>
      <c r="E18" s="1"/>
      <c r="F18" s="1"/>
      <c r="G18" s="1"/>
    </row>
    <row r="19" spans="1:7" ht="13.5" customHeight="1">
      <c r="A19" s="1"/>
      <c r="B19" s="241" t="s">
        <v>52</v>
      </c>
      <c r="C19" s="254">
        <v>0</v>
      </c>
      <c r="D19" s="1"/>
      <c r="E19" s="1"/>
      <c r="F19" s="1"/>
      <c r="G19" s="1"/>
    </row>
    <row r="20" spans="1:7">
      <c r="A20" s="1"/>
      <c r="B20" s="1"/>
      <c r="C20" s="1"/>
      <c r="D20" s="1"/>
      <c r="E20" s="1"/>
      <c r="F20" s="1"/>
      <c r="G20" s="1"/>
    </row>
    <row r="21" spans="1:7">
      <c r="A21" s="1"/>
      <c r="B21" s="245" t="s">
        <v>124</v>
      </c>
      <c r="C21" s="262" t="str">
        <f>IF(ISERROR(MIRR(C9:C19,C5,C6)),"n/a",MIRR(C9:C19,C5,C6))</f>
        <v>n/a</v>
      </c>
      <c r="D21" s="28"/>
      <c r="E21" s="1"/>
      <c r="F21" s="1"/>
      <c r="G21" s="1"/>
    </row>
    <row r="22" spans="1:7">
      <c r="A22" s="1"/>
      <c r="B22" s="1"/>
      <c r="C22" s="29"/>
      <c r="D22" s="1"/>
      <c r="E22" s="1"/>
      <c r="F22" s="1"/>
      <c r="G22" s="1"/>
    </row>
    <row r="23" spans="1:7">
      <c r="A23" s="1"/>
      <c r="B23" s="30"/>
      <c r="C23" s="31"/>
      <c r="D23" s="1"/>
      <c r="E23" s="1"/>
      <c r="F23" s="1"/>
      <c r="G23" s="1"/>
    </row>
    <row r="24" spans="1:7">
      <c r="B24" s="54" t="str">
        <f>copyright &amp; " RealData, Inc. Southport, CT All Rights Reserved"</f>
        <v>© Copyright 1982-2016 RealData, Inc. Southport, CT All Rights Reserved</v>
      </c>
      <c r="C24" s="32"/>
    </row>
  </sheetData>
  <sheetProtection sheet="1" objects="1" scenarios="1"/>
  <phoneticPr fontId="0" type="noConversion"/>
  <dataValidations count="1">
    <dataValidation type="decimal" operator="lessThanOrEqual" allowBlank="1" showInputMessage="1" showErrorMessage="1" errorTitle="Initial Investment" error="Please enter the initial investment as a negative number." sqref="C9" xr:uid="{00000000-0002-0000-0D00-000000000000}">
      <formula1>0</formula1>
    </dataValidation>
  </dataValidations>
  <pageMargins left="0.75" right="0.75" top="1" bottom="1" header="0.5" footer="0.5"/>
  <pageSetup orientation="portrait" verticalDpi="0"/>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
  <dimension ref="B2:C2"/>
  <sheetViews>
    <sheetView showRuler="0" workbookViewId="0">
      <selection activeCell="C3" sqref="C3"/>
    </sheetView>
  </sheetViews>
  <sheetFormatPr defaultColWidth="8.85546875" defaultRowHeight="12.75"/>
  <sheetData>
    <row r="2" spans="2:3">
      <c r="B2" s="53" t="s">
        <v>132</v>
      </c>
      <c r="C2" s="53" t="s">
        <v>133</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2:K28"/>
  <sheetViews>
    <sheetView showGridLines="0" showRuler="0" workbookViewId="0">
      <selection activeCell="C7" sqref="C7"/>
    </sheetView>
  </sheetViews>
  <sheetFormatPr defaultColWidth="8.85546875" defaultRowHeight="12.75"/>
  <cols>
    <col min="1" max="1" width="20.7109375" customWidth="1"/>
    <col min="2" max="2" width="24.140625" customWidth="1"/>
    <col min="3" max="3" width="16.140625" customWidth="1"/>
    <col min="4" max="4" width="13.7109375" customWidth="1"/>
    <col min="5" max="5" width="11.140625" customWidth="1"/>
    <col min="6" max="6" width="16.140625" customWidth="1"/>
    <col min="7" max="7" width="2" customWidth="1"/>
  </cols>
  <sheetData>
    <row r="2" spans="1:9" ht="24.75" customHeight="1">
      <c r="B2" s="293" t="s">
        <v>127</v>
      </c>
      <c r="C2" s="291"/>
      <c r="D2" s="291"/>
      <c r="E2" s="291"/>
      <c r="F2" s="291"/>
      <c r="G2" s="292"/>
    </row>
    <row r="3" spans="1:9">
      <c r="C3" s="1"/>
      <c r="D3" s="1"/>
      <c r="E3" s="1"/>
      <c r="F3" s="1"/>
      <c r="G3" s="1"/>
      <c r="H3" s="1"/>
      <c r="I3" s="1"/>
    </row>
    <row r="4" spans="1:9">
      <c r="B4" s="75"/>
      <c r="C4" s="79" t="s">
        <v>0</v>
      </c>
      <c r="D4" s="79" t="s">
        <v>1</v>
      </c>
      <c r="E4" s="79" t="s">
        <v>2</v>
      </c>
      <c r="F4" s="79" t="s">
        <v>3</v>
      </c>
      <c r="G4" s="76"/>
      <c r="H4" s="1"/>
      <c r="I4" s="1"/>
    </row>
    <row r="5" spans="1:9">
      <c r="B5" s="77"/>
      <c r="C5" s="80"/>
      <c r="D5" s="81" t="s">
        <v>4</v>
      </c>
      <c r="E5" s="80"/>
      <c r="F5" s="80"/>
      <c r="G5" s="78"/>
      <c r="H5" s="1"/>
      <c r="I5" s="1"/>
    </row>
    <row r="6" spans="1:9">
      <c r="B6" s="61"/>
      <c r="C6" s="62"/>
      <c r="D6" s="63"/>
      <c r="E6" s="62"/>
      <c r="F6" s="62"/>
      <c r="G6" s="64"/>
      <c r="H6" s="1"/>
      <c r="I6" s="1"/>
    </row>
    <row r="7" spans="1:9">
      <c r="B7" s="72" t="s">
        <v>134</v>
      </c>
      <c r="C7" s="74">
        <v>0</v>
      </c>
      <c r="D7" s="265">
        <v>0</v>
      </c>
      <c r="E7" s="266">
        <v>0</v>
      </c>
      <c r="F7" s="273">
        <f>FV(D7,E7,,-C7)</f>
        <v>0</v>
      </c>
      <c r="G7" s="65"/>
      <c r="H7" s="1"/>
      <c r="I7" s="1"/>
    </row>
    <row r="8" spans="1:9">
      <c r="B8" s="72" t="s">
        <v>135</v>
      </c>
      <c r="C8" s="274">
        <f>PV(D8,E8,,-F8)</f>
        <v>0</v>
      </c>
      <c r="D8" s="267">
        <v>0</v>
      </c>
      <c r="E8" s="268">
        <v>0</v>
      </c>
      <c r="F8" s="269">
        <v>0</v>
      </c>
      <c r="G8" s="65"/>
      <c r="H8" s="1"/>
      <c r="I8" s="1"/>
    </row>
    <row r="9" spans="1:9">
      <c r="B9" s="72" t="s">
        <v>136</v>
      </c>
      <c r="C9" s="270">
        <v>0</v>
      </c>
      <c r="D9" s="275">
        <f>IF(ISERR(RATE(E9,,-C9,F9)),0,RATE(E9,,-C9,F9))</f>
        <v>0</v>
      </c>
      <c r="E9" s="268">
        <v>0</v>
      </c>
      <c r="F9" s="269">
        <v>0</v>
      </c>
      <c r="G9" s="65"/>
      <c r="H9" s="1"/>
      <c r="I9" s="1"/>
    </row>
    <row r="10" spans="1:9">
      <c r="B10" s="72" t="s">
        <v>137</v>
      </c>
      <c r="C10" s="271">
        <v>0</v>
      </c>
      <c r="D10" s="73">
        <v>0</v>
      </c>
      <c r="E10" s="276">
        <f>IF(ISERR(NPER(D10,,-C10,F10)),0,NPER(D10,,-C10,F10))</f>
        <v>0</v>
      </c>
      <c r="F10" s="272">
        <v>0</v>
      </c>
      <c r="G10" s="65"/>
      <c r="H10" s="1"/>
      <c r="I10" s="1"/>
    </row>
    <row r="11" spans="1:9">
      <c r="B11" s="66"/>
      <c r="C11" s="67"/>
      <c r="D11" s="68"/>
      <c r="E11" s="69"/>
      <c r="F11" s="70"/>
      <c r="G11" s="71"/>
      <c r="H11" s="1"/>
      <c r="I11" s="1"/>
    </row>
    <row r="12" spans="1:9">
      <c r="A12" s="294"/>
      <c r="B12" s="294"/>
      <c r="C12" s="295"/>
      <c r="D12" s="295"/>
      <c r="E12" s="295"/>
      <c r="F12" s="295"/>
      <c r="G12" s="295"/>
      <c r="H12" s="295"/>
      <c r="I12" s="295"/>
    </row>
    <row r="13" spans="1:9">
      <c r="A13" s="294"/>
      <c r="B13" s="2" t="str">
        <f>copyright &amp; " RealData, Inc. Southport, CT All Rights Reserved"</f>
        <v>© Copyright 1982-2016 RealData, Inc. Southport, CT All Rights Reserved</v>
      </c>
      <c r="C13" s="21"/>
      <c r="D13" s="2"/>
      <c r="E13" s="2"/>
      <c r="F13" s="2"/>
      <c r="G13" s="2"/>
      <c r="H13" s="24"/>
      <c r="I13" s="296"/>
    </row>
    <row r="14" spans="1:9">
      <c r="A14" s="294"/>
      <c r="B14" s="294"/>
      <c r="C14" s="294"/>
      <c r="D14" s="294"/>
      <c r="E14" s="294"/>
      <c r="F14" s="294"/>
      <c r="G14" s="294"/>
      <c r="H14" s="294"/>
      <c r="I14" s="294"/>
    </row>
    <row r="15" spans="1:9">
      <c r="A15" s="294"/>
      <c r="B15" s="294"/>
      <c r="C15" s="33"/>
      <c r="D15" s="294"/>
      <c r="E15" s="294"/>
      <c r="F15" s="294"/>
      <c r="G15" s="294"/>
      <c r="H15" s="294"/>
      <c r="I15" s="294"/>
    </row>
    <row r="16" spans="1:9">
      <c r="A16" s="294"/>
      <c r="B16" s="294"/>
      <c r="C16" s="294"/>
      <c r="D16" s="294"/>
      <c r="E16" s="294"/>
      <c r="F16" s="294"/>
      <c r="G16" s="294"/>
      <c r="H16" s="294"/>
      <c r="I16" s="294"/>
    </row>
    <row r="28" spans="6:11" ht="20.25">
      <c r="F28" s="20"/>
      <c r="G28" s="58"/>
      <c r="H28" s="58"/>
      <c r="I28" s="59"/>
      <c r="J28" s="59"/>
      <c r="K28" s="20"/>
    </row>
  </sheetData>
  <sheetProtection sheet="1" objects="1" scenarios="1"/>
  <phoneticPr fontId="0" type="noConversion"/>
  <hyperlinks>
    <hyperlink ref="B13" r:id="rId1" display="© 1982-2003, RealData® Inc. All Rights Reserved" xr:uid="{00000000-0004-0000-0100-000000000000}"/>
    <hyperlink ref="B13:H13" r:id="rId2" display="© 1982-2003, RealData® Inc. All Rights Reserved" xr:uid="{00000000-0004-0000-0100-000001000000}"/>
  </hyperlinks>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I53"/>
  <sheetViews>
    <sheetView showGridLines="0" showRuler="0" workbookViewId="0">
      <selection activeCell="C4" sqref="C4"/>
    </sheetView>
  </sheetViews>
  <sheetFormatPr defaultColWidth="8.85546875" defaultRowHeight="12.75"/>
  <cols>
    <col min="1" max="1" width="20.7109375" customWidth="1"/>
    <col min="2" max="2" width="23.7109375" customWidth="1"/>
    <col min="3" max="3" width="11.140625" customWidth="1"/>
    <col min="4" max="4" width="13" customWidth="1"/>
    <col min="5" max="5" width="7.85546875" customWidth="1"/>
    <col min="6" max="6" width="31.85546875" customWidth="1"/>
    <col min="7" max="7" width="1.28515625" customWidth="1"/>
  </cols>
  <sheetData>
    <row r="1" spans="1:6">
      <c r="A1" s="1"/>
      <c r="B1" s="1"/>
      <c r="C1" s="1"/>
      <c r="D1" s="1"/>
      <c r="E1" s="1"/>
      <c r="F1" s="1"/>
    </row>
    <row r="2" spans="1:6" ht="21.75" customHeight="1">
      <c r="A2" s="1"/>
      <c r="B2" s="300" t="s">
        <v>5</v>
      </c>
      <c r="C2" s="301"/>
      <c r="D2" s="301"/>
      <c r="E2" s="301"/>
      <c r="F2" s="302"/>
    </row>
    <row r="3" spans="1:6">
      <c r="A3" s="1"/>
      <c r="B3" s="134"/>
      <c r="C3" s="134"/>
      <c r="D3" s="109"/>
      <c r="E3" s="109"/>
      <c r="F3" s="109"/>
    </row>
    <row r="4" spans="1:6">
      <c r="A4" s="1"/>
      <c r="B4" s="135" t="s">
        <v>138</v>
      </c>
      <c r="C4" s="298"/>
      <c r="D4" s="110"/>
      <c r="E4" s="76"/>
      <c r="F4" s="64"/>
    </row>
    <row r="5" spans="1:6">
      <c r="A5" s="1"/>
      <c r="B5" s="130" t="s">
        <v>139</v>
      </c>
      <c r="C5" s="299"/>
      <c r="D5" s="111"/>
      <c r="E5" s="78"/>
      <c r="F5" s="113"/>
    </row>
    <row r="6" spans="1:6">
      <c r="A6" s="1"/>
      <c r="B6" s="131"/>
      <c r="C6" s="91"/>
      <c r="D6" s="106"/>
      <c r="E6" s="106"/>
      <c r="F6" s="113"/>
    </row>
    <row r="7" spans="1:6">
      <c r="A7" s="1"/>
      <c r="B7" s="132" t="s">
        <v>6</v>
      </c>
      <c r="C7" s="89">
        <f ca="1">TODAY()</f>
        <v>43073</v>
      </c>
      <c r="D7" s="107"/>
      <c r="E7" s="76"/>
      <c r="F7" s="113"/>
    </row>
    <row r="8" spans="1:6">
      <c r="A8" s="1"/>
      <c r="B8" s="132" t="s">
        <v>7</v>
      </c>
      <c r="C8" s="329"/>
      <c r="D8" s="108"/>
      <c r="E8" s="112"/>
      <c r="F8" s="113"/>
    </row>
    <row r="9" spans="1:6">
      <c r="A9" s="1"/>
      <c r="B9" s="133"/>
      <c r="C9" s="115"/>
      <c r="D9" s="115"/>
      <c r="E9" s="106"/>
      <c r="F9" s="114" t="s">
        <v>9</v>
      </c>
    </row>
    <row r="10" spans="1:6">
      <c r="A10" s="1"/>
      <c r="B10" s="116" t="s">
        <v>8</v>
      </c>
      <c r="C10" s="117"/>
      <c r="D10" s="290"/>
      <c r="E10" s="125"/>
      <c r="F10" s="98"/>
    </row>
    <row r="11" spans="1:6">
      <c r="A11" s="1"/>
      <c r="B11" s="118" t="s">
        <v>10</v>
      </c>
      <c r="C11" s="86"/>
      <c r="D11" s="82">
        <v>0</v>
      </c>
      <c r="E11" s="104">
        <f>IF($D$13=0,0,D11/$D$13)</f>
        <v>0</v>
      </c>
      <c r="F11" s="100"/>
    </row>
    <row r="12" spans="1:6">
      <c r="A12" s="1"/>
      <c r="B12" s="119" t="s">
        <v>11</v>
      </c>
      <c r="C12" s="87"/>
      <c r="D12" s="83">
        <v>0</v>
      </c>
      <c r="E12" s="104">
        <f>IF($D$13=0,0,D12/$D$13)</f>
        <v>0</v>
      </c>
      <c r="F12" s="100"/>
    </row>
    <row r="13" spans="1:6">
      <c r="A13" s="1"/>
      <c r="B13" s="94" t="s">
        <v>12</v>
      </c>
      <c r="C13" s="95"/>
      <c r="D13" s="198">
        <f>SUM(D11:D12)</f>
        <v>0</v>
      </c>
      <c r="E13" s="104">
        <f>E11+E12</f>
        <v>0</v>
      </c>
      <c r="F13" s="105"/>
    </row>
    <row r="14" spans="1:6">
      <c r="A14" s="1"/>
      <c r="B14" s="119"/>
      <c r="C14" s="87"/>
      <c r="D14" s="124"/>
      <c r="E14" s="289"/>
      <c r="F14" s="98"/>
    </row>
    <row r="15" spans="1:6">
      <c r="A15" s="1"/>
      <c r="B15" s="127" t="s">
        <v>13</v>
      </c>
      <c r="C15" s="88"/>
      <c r="D15" s="126">
        <v>0</v>
      </c>
      <c r="E15" s="102">
        <f>IF(D13=0,0,D15/D13)</f>
        <v>0</v>
      </c>
      <c r="F15" s="105"/>
    </row>
    <row r="16" spans="1:6">
      <c r="A16" s="1"/>
      <c r="B16" s="120"/>
      <c r="C16" s="121"/>
      <c r="D16" s="331"/>
      <c r="E16" s="188"/>
      <c r="F16" s="98"/>
    </row>
    <row r="17" spans="1:6">
      <c r="A17" s="1"/>
      <c r="B17" s="94" t="s">
        <v>14</v>
      </c>
      <c r="C17" s="122"/>
      <c r="D17" s="124">
        <f>D13-D15</f>
        <v>0</v>
      </c>
      <c r="E17" s="330">
        <f>IF(D13=0,0,D17/D13)</f>
        <v>0</v>
      </c>
      <c r="F17" s="105"/>
    </row>
    <row r="18" spans="1:6">
      <c r="A18" s="1"/>
      <c r="B18" s="119"/>
      <c r="C18" s="87"/>
      <c r="D18" s="123"/>
      <c r="E18" s="103"/>
      <c r="F18" s="98"/>
    </row>
    <row r="19" spans="1:6">
      <c r="A19" s="1"/>
      <c r="B19" s="128" t="s">
        <v>15</v>
      </c>
      <c r="C19" s="88"/>
      <c r="D19" s="124"/>
      <c r="E19" s="103"/>
      <c r="F19" s="99"/>
    </row>
    <row r="20" spans="1:6">
      <c r="A20" s="1"/>
      <c r="B20" s="119" t="s">
        <v>16</v>
      </c>
      <c r="C20" s="87"/>
      <c r="D20" s="82">
        <v>0</v>
      </c>
      <c r="E20" s="104">
        <f t="shared" ref="E20:E31" si="0">IF($D$17=0,0,D20/$D$17)</f>
        <v>0</v>
      </c>
      <c r="F20" s="100"/>
    </row>
    <row r="21" spans="1:6">
      <c r="A21" s="1"/>
      <c r="B21" s="119" t="s">
        <v>17</v>
      </c>
      <c r="C21" s="87"/>
      <c r="D21" s="83">
        <v>0</v>
      </c>
      <c r="E21" s="104">
        <f t="shared" si="0"/>
        <v>0</v>
      </c>
      <c r="F21" s="100"/>
    </row>
    <row r="22" spans="1:6">
      <c r="A22" s="1"/>
      <c r="B22" s="119" t="s">
        <v>18</v>
      </c>
      <c r="C22" s="87"/>
      <c r="D22" s="83">
        <v>0</v>
      </c>
      <c r="E22" s="104">
        <f t="shared" si="0"/>
        <v>0</v>
      </c>
      <c r="F22" s="100"/>
    </row>
    <row r="23" spans="1:6">
      <c r="A23" s="1"/>
      <c r="B23" s="119" t="s">
        <v>19</v>
      </c>
      <c r="C23" s="87"/>
      <c r="D23" s="83">
        <v>0</v>
      </c>
      <c r="E23" s="104">
        <f t="shared" si="0"/>
        <v>0</v>
      </c>
      <c r="F23" s="100"/>
    </row>
    <row r="24" spans="1:6">
      <c r="A24" s="1"/>
      <c r="B24" s="119" t="s">
        <v>20</v>
      </c>
      <c r="C24" s="87"/>
      <c r="D24" s="83">
        <v>0</v>
      </c>
      <c r="E24" s="104">
        <f t="shared" si="0"/>
        <v>0</v>
      </c>
      <c r="F24" s="100"/>
    </row>
    <row r="25" spans="1:6">
      <c r="A25" s="1"/>
      <c r="B25" s="119" t="s">
        <v>21</v>
      </c>
      <c r="C25" s="87"/>
      <c r="D25" s="83">
        <v>0</v>
      </c>
      <c r="E25" s="104">
        <f t="shared" si="0"/>
        <v>0</v>
      </c>
      <c r="F25" s="100"/>
    </row>
    <row r="26" spans="1:6">
      <c r="A26" s="1"/>
      <c r="B26" s="119" t="s">
        <v>22</v>
      </c>
      <c r="C26" s="87"/>
      <c r="D26" s="83">
        <v>0</v>
      </c>
      <c r="E26" s="104">
        <f t="shared" si="0"/>
        <v>0</v>
      </c>
      <c r="F26" s="100"/>
    </row>
    <row r="27" spans="1:6">
      <c r="A27" s="1"/>
      <c r="B27" s="119" t="s">
        <v>23</v>
      </c>
      <c r="C27" s="87"/>
      <c r="D27" s="83">
        <v>0</v>
      </c>
      <c r="E27" s="104">
        <f t="shared" si="0"/>
        <v>0</v>
      </c>
      <c r="F27" s="100"/>
    </row>
    <row r="28" spans="1:6">
      <c r="A28" s="1"/>
      <c r="B28" s="119" t="s">
        <v>24</v>
      </c>
      <c r="C28" s="87"/>
      <c r="D28" s="83">
        <v>0</v>
      </c>
      <c r="E28" s="104">
        <f t="shared" si="0"/>
        <v>0</v>
      </c>
      <c r="F28" s="100"/>
    </row>
    <row r="29" spans="1:6">
      <c r="A29" s="1"/>
      <c r="B29" s="119" t="s">
        <v>25</v>
      </c>
      <c r="C29" s="87"/>
      <c r="D29" s="83">
        <v>0</v>
      </c>
      <c r="E29" s="104">
        <f t="shared" si="0"/>
        <v>0</v>
      </c>
      <c r="F29" s="100"/>
    </row>
    <row r="30" spans="1:6">
      <c r="A30" s="1"/>
      <c r="B30" s="119" t="s">
        <v>26</v>
      </c>
      <c r="C30" s="87"/>
      <c r="D30" s="83">
        <v>0</v>
      </c>
      <c r="E30" s="104">
        <f t="shared" si="0"/>
        <v>0</v>
      </c>
      <c r="F30" s="100"/>
    </row>
    <row r="31" spans="1:6">
      <c r="A31" s="1"/>
      <c r="B31" s="119" t="s">
        <v>27</v>
      </c>
      <c r="C31" s="87"/>
      <c r="D31" s="83">
        <v>0</v>
      </c>
      <c r="E31" s="104">
        <f t="shared" si="0"/>
        <v>0</v>
      </c>
      <c r="F31" s="100"/>
    </row>
    <row r="32" spans="1:6">
      <c r="A32" s="1"/>
      <c r="B32" s="119" t="s">
        <v>28</v>
      </c>
      <c r="C32" s="87"/>
      <c r="D32" s="84"/>
      <c r="E32" s="104"/>
      <c r="F32" s="332"/>
    </row>
    <row r="33" spans="1:6">
      <c r="A33" s="1"/>
      <c r="B33" s="119" t="s">
        <v>29</v>
      </c>
      <c r="C33" s="87"/>
      <c r="D33" s="83">
        <v>0</v>
      </c>
      <c r="E33" s="104">
        <f>IF($D$17=0,0,D33/$D$17)</f>
        <v>0</v>
      </c>
      <c r="F33" s="100"/>
    </row>
    <row r="34" spans="1:6">
      <c r="A34" s="1"/>
      <c r="B34" s="119" t="s">
        <v>30</v>
      </c>
      <c r="C34" s="87"/>
      <c r="D34" s="83">
        <v>0</v>
      </c>
      <c r="E34" s="104">
        <f>IF($D$17=0,0,D34/$D$17)</f>
        <v>0</v>
      </c>
      <c r="F34" s="100"/>
    </row>
    <row r="35" spans="1:6">
      <c r="A35" s="1"/>
      <c r="B35" s="119" t="s">
        <v>31</v>
      </c>
      <c r="C35" s="87"/>
      <c r="D35" s="83">
        <v>0</v>
      </c>
      <c r="E35" s="104">
        <f>IF($D$17=0,0,D35/$D$17)</f>
        <v>0</v>
      </c>
      <c r="F35" s="100"/>
    </row>
    <row r="36" spans="1:6">
      <c r="A36" s="1"/>
      <c r="B36" s="119" t="s">
        <v>32</v>
      </c>
      <c r="C36" s="87"/>
      <c r="D36" s="83">
        <v>0</v>
      </c>
      <c r="E36" s="104">
        <f>IF($D$17=0,0,D36/$D$17)</f>
        <v>0</v>
      </c>
      <c r="F36" s="100"/>
    </row>
    <row r="37" spans="1:6">
      <c r="A37" s="1"/>
      <c r="B37" s="119" t="s">
        <v>33</v>
      </c>
      <c r="C37" s="87"/>
      <c r="D37" s="83">
        <v>0</v>
      </c>
      <c r="E37" s="104">
        <f>IF($D$17=0,0,D37/$D$17)</f>
        <v>0</v>
      </c>
      <c r="F37" s="100"/>
    </row>
    <row r="38" spans="1:6">
      <c r="A38" s="1"/>
      <c r="B38" s="119" t="s">
        <v>34</v>
      </c>
      <c r="C38" s="87"/>
      <c r="D38" s="84"/>
      <c r="E38" s="104"/>
      <c r="F38" s="332"/>
    </row>
    <row r="39" spans="1:6">
      <c r="A39" s="1"/>
      <c r="B39" s="119" t="s">
        <v>35</v>
      </c>
      <c r="C39" s="87"/>
      <c r="D39" s="83">
        <v>0</v>
      </c>
      <c r="E39" s="104">
        <f t="shared" ref="E39:E45" si="1">IF($D$17=0,0,D39/$D$17)</f>
        <v>0</v>
      </c>
      <c r="F39" s="100"/>
    </row>
    <row r="40" spans="1:6">
      <c r="A40" s="1"/>
      <c r="B40" s="119" t="s">
        <v>36</v>
      </c>
      <c r="C40" s="87"/>
      <c r="D40" s="83">
        <v>0</v>
      </c>
      <c r="E40" s="104">
        <f t="shared" si="1"/>
        <v>0</v>
      </c>
      <c r="F40" s="100"/>
    </row>
    <row r="41" spans="1:6">
      <c r="A41" s="1"/>
      <c r="B41" s="119" t="s">
        <v>37</v>
      </c>
      <c r="C41" s="87"/>
      <c r="D41" s="83">
        <v>0</v>
      </c>
      <c r="E41" s="104">
        <f t="shared" si="1"/>
        <v>0</v>
      </c>
      <c r="F41" s="100"/>
    </row>
    <row r="42" spans="1:6">
      <c r="A42" s="1"/>
      <c r="B42" s="119" t="s">
        <v>38</v>
      </c>
      <c r="C42" s="87"/>
      <c r="D42" s="83">
        <v>0</v>
      </c>
      <c r="E42" s="104">
        <f t="shared" si="1"/>
        <v>0</v>
      </c>
      <c r="F42" s="100"/>
    </row>
    <row r="43" spans="1:6">
      <c r="A43" s="1"/>
      <c r="B43" s="119" t="s">
        <v>39</v>
      </c>
      <c r="C43" s="87"/>
      <c r="D43" s="83">
        <v>0</v>
      </c>
      <c r="E43" s="104">
        <f t="shared" si="1"/>
        <v>0</v>
      </c>
      <c r="F43" s="100"/>
    </row>
    <row r="44" spans="1:6">
      <c r="A44" s="1"/>
      <c r="B44" s="119" t="s">
        <v>32</v>
      </c>
      <c r="C44" s="87"/>
      <c r="D44" s="83">
        <v>0</v>
      </c>
      <c r="E44" s="104">
        <f t="shared" si="1"/>
        <v>0</v>
      </c>
      <c r="F44" s="100"/>
    </row>
    <row r="45" spans="1:6">
      <c r="A45" s="1"/>
      <c r="B45" s="129" t="s">
        <v>40</v>
      </c>
      <c r="C45" s="91"/>
      <c r="D45" s="198">
        <f>SUM(D20:D31)+SUM(D33:D37)+SUM(D39:D44)</f>
        <v>0</v>
      </c>
      <c r="E45" s="104">
        <f t="shared" si="1"/>
        <v>0</v>
      </c>
      <c r="F45" s="101"/>
    </row>
    <row r="46" spans="1:6">
      <c r="A46" s="1"/>
      <c r="B46" s="92"/>
      <c r="C46" s="93"/>
      <c r="D46" s="123"/>
      <c r="E46" s="289"/>
      <c r="F46" s="76"/>
    </row>
    <row r="47" spans="1:6">
      <c r="A47" s="1"/>
      <c r="B47" s="94" t="s">
        <v>41</v>
      </c>
      <c r="C47" s="95"/>
      <c r="D47" s="124">
        <f>D17-D45</f>
        <v>0</v>
      </c>
      <c r="E47" s="330">
        <f>IF($D$17=0,0,D47/$D$17)</f>
        <v>0</v>
      </c>
      <c r="F47" s="97"/>
    </row>
    <row r="50" spans="1:9">
      <c r="A50" s="294"/>
      <c r="B50" s="294"/>
      <c r="C50" s="294"/>
      <c r="D50" s="294"/>
      <c r="E50" s="294"/>
      <c r="F50" s="294"/>
      <c r="G50" s="294"/>
      <c r="H50" s="294"/>
      <c r="I50" s="294"/>
    </row>
    <row r="51" spans="1:9">
      <c r="A51" s="294"/>
      <c r="B51" s="297" t="str">
        <f>copyright &amp; " RealData, Inc. Southport, CT All Rights Reserved"</f>
        <v>© Copyright 1982-2016 RealData, Inc. Southport, CT All Rights Reserved</v>
      </c>
      <c r="C51" s="21"/>
      <c r="D51" s="21"/>
      <c r="E51" s="21"/>
      <c r="F51" s="21"/>
      <c r="G51" s="294"/>
      <c r="H51" s="294"/>
      <c r="I51" s="294"/>
    </row>
    <row r="52" spans="1:9">
      <c r="A52" s="294"/>
      <c r="B52" s="294"/>
      <c r="C52" s="294"/>
      <c r="D52" s="294"/>
      <c r="E52" s="294"/>
      <c r="F52" s="294"/>
      <c r="G52" s="294"/>
      <c r="H52" s="294"/>
      <c r="I52" s="294"/>
    </row>
    <row r="53" spans="1:9">
      <c r="A53" s="294"/>
      <c r="B53" s="294"/>
      <c r="C53" s="294"/>
      <c r="D53" s="294"/>
      <c r="E53" s="294"/>
      <c r="F53" s="294"/>
      <c r="G53" s="294"/>
      <c r="H53" s="294"/>
      <c r="I53" s="294"/>
    </row>
  </sheetData>
  <sheetProtection sheet="1" objects="1" scenarios="1"/>
  <phoneticPr fontId="0" type="noConversion"/>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2:E19"/>
  <sheetViews>
    <sheetView showGridLines="0" showRuler="0" workbookViewId="0">
      <selection activeCell="D5" sqref="D5"/>
    </sheetView>
  </sheetViews>
  <sheetFormatPr defaultColWidth="8.85546875" defaultRowHeight="12.75"/>
  <cols>
    <col min="1" max="1" width="20.7109375" customWidth="1"/>
    <col min="2" max="2" width="23.7109375" customWidth="1"/>
    <col min="3" max="3" width="12" customWidth="1"/>
    <col min="4" max="4" width="12.7109375" customWidth="1"/>
    <col min="5" max="5" width="2.42578125" customWidth="1"/>
  </cols>
  <sheetData>
    <row r="2" spans="2:5" ht="20.25">
      <c r="B2" s="152" t="s">
        <v>128</v>
      </c>
      <c r="C2" s="153"/>
      <c r="D2" s="153"/>
      <c r="E2" s="154"/>
    </row>
    <row r="4" spans="2:5">
      <c r="B4" s="61"/>
      <c r="C4" s="140"/>
      <c r="D4" s="141" t="s">
        <v>42</v>
      </c>
      <c r="E4" s="151"/>
    </row>
    <row r="5" spans="2:5">
      <c r="B5" s="142"/>
      <c r="C5" s="143"/>
      <c r="D5" s="139">
        <v>0</v>
      </c>
      <c r="E5" s="65"/>
    </row>
    <row r="6" spans="2:5">
      <c r="B6" s="142" t="s">
        <v>43</v>
      </c>
      <c r="C6" s="136">
        <v>0</v>
      </c>
      <c r="D6" s="144">
        <f>-PV($D$5,1,,C6)</f>
        <v>0</v>
      </c>
      <c r="E6" s="65"/>
    </row>
    <row r="7" spans="2:5">
      <c r="B7" s="142" t="s">
        <v>44</v>
      </c>
      <c r="C7" s="137">
        <v>0</v>
      </c>
      <c r="D7" s="144">
        <f>-PV($D$5,2,,C7)</f>
        <v>0</v>
      </c>
      <c r="E7" s="65"/>
    </row>
    <row r="8" spans="2:5">
      <c r="B8" s="142" t="s">
        <v>45</v>
      </c>
      <c r="C8" s="137">
        <v>0</v>
      </c>
      <c r="D8" s="144">
        <f>-PV($D$5,3,,C8)</f>
        <v>0</v>
      </c>
      <c r="E8" s="65"/>
    </row>
    <row r="9" spans="2:5">
      <c r="B9" s="142" t="s">
        <v>46</v>
      </c>
      <c r="C9" s="137">
        <v>0</v>
      </c>
      <c r="D9" s="144">
        <f>-PV($D$5,4,,C9)</f>
        <v>0</v>
      </c>
      <c r="E9" s="65"/>
    </row>
    <row r="10" spans="2:5">
      <c r="B10" s="142" t="s">
        <v>47</v>
      </c>
      <c r="C10" s="137">
        <v>0</v>
      </c>
      <c r="D10" s="144">
        <f>-PV($D$5,5,,C10)</f>
        <v>0</v>
      </c>
      <c r="E10" s="65"/>
    </row>
    <row r="11" spans="2:5">
      <c r="B11" s="142" t="s">
        <v>48</v>
      </c>
      <c r="C11" s="137">
        <v>0</v>
      </c>
      <c r="D11" s="144">
        <f>-PV($D$5,6,,C11)</f>
        <v>0</v>
      </c>
      <c r="E11" s="65"/>
    </row>
    <row r="12" spans="2:5">
      <c r="B12" s="142" t="s">
        <v>49</v>
      </c>
      <c r="C12" s="137">
        <v>0</v>
      </c>
      <c r="D12" s="144">
        <f>-PV($D$5,7,,C12)</f>
        <v>0</v>
      </c>
      <c r="E12" s="65"/>
    </row>
    <row r="13" spans="2:5">
      <c r="B13" s="142" t="s">
        <v>50</v>
      </c>
      <c r="C13" s="137">
        <v>0</v>
      </c>
      <c r="D13" s="144">
        <f>-PV($D$5,8,,C13)</f>
        <v>0</v>
      </c>
      <c r="E13" s="65"/>
    </row>
    <row r="14" spans="2:5">
      <c r="B14" s="142" t="s">
        <v>51</v>
      </c>
      <c r="C14" s="137">
        <v>0</v>
      </c>
      <c r="D14" s="144">
        <f>-PV($D$5,9,,C14)</f>
        <v>0</v>
      </c>
      <c r="E14" s="65"/>
    </row>
    <row r="15" spans="2:5">
      <c r="B15" s="142" t="s">
        <v>52</v>
      </c>
      <c r="C15" s="138">
        <v>0</v>
      </c>
      <c r="D15" s="144">
        <f>-PV($D$5,10,,C15)</f>
        <v>0</v>
      </c>
      <c r="E15" s="65"/>
    </row>
    <row r="16" spans="2:5">
      <c r="B16" s="145" t="s">
        <v>53</v>
      </c>
      <c r="C16" s="146"/>
      <c r="D16" s="144">
        <f>SUM(D6:D15)</f>
        <v>0</v>
      </c>
      <c r="E16" s="65"/>
    </row>
    <row r="17" spans="1:5">
      <c r="B17" s="147"/>
      <c r="C17" s="148"/>
      <c r="D17" s="149"/>
      <c r="E17" s="150"/>
    </row>
    <row r="18" spans="1:5">
      <c r="A18" s="2"/>
      <c r="B18" s="4"/>
      <c r="C18" s="5"/>
      <c r="D18" s="4"/>
      <c r="E18" s="4"/>
    </row>
    <row r="19" spans="1:5">
      <c r="B19" s="54" t="str">
        <f>copyright &amp; " RealData, Inc. Southport, CT All Rights Reserved"</f>
        <v>© Copyright 1982-2016 RealData, Inc. Southport, CT All Rights Reserved</v>
      </c>
    </row>
  </sheetData>
  <sheetProtection sheet="1" objects="1" scenarios="1"/>
  <phoneticPr fontId="0" type="noConversion"/>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477"/>
  <sheetViews>
    <sheetView showGridLines="0" showRuler="0" showOutlineSymbols="0" defaultGridColor="0" colorId="8" workbookViewId="0">
      <selection activeCell="C6" sqref="C6"/>
    </sheetView>
  </sheetViews>
  <sheetFormatPr defaultColWidth="10.7109375" defaultRowHeight="12.75"/>
  <cols>
    <col min="1" max="1" width="20.7109375" style="8" customWidth="1"/>
    <col min="2" max="2" width="15.7109375" style="8" customWidth="1"/>
    <col min="3" max="5" width="15.42578125" style="8" customWidth="1"/>
    <col min="6" max="6" width="2.42578125" style="8" customWidth="1"/>
    <col min="7" max="7" width="10.7109375" style="8" customWidth="1"/>
    <col min="8" max="8" width="11.7109375" style="8" customWidth="1"/>
    <col min="9" max="16384" width="10.7109375" style="8"/>
  </cols>
  <sheetData>
    <row r="1" spans="2:9">
      <c r="B1" s="6"/>
      <c r="C1" s="6"/>
      <c r="D1" s="6"/>
      <c r="E1" s="6"/>
      <c r="F1" s="6"/>
      <c r="G1" s="7"/>
      <c r="H1" s="7"/>
      <c r="I1" s="7"/>
    </row>
    <row r="2" spans="2:9" ht="20.25">
      <c r="B2" s="155" t="s">
        <v>146</v>
      </c>
      <c r="C2" s="156"/>
      <c r="D2" s="157"/>
      <c r="E2" s="158"/>
      <c r="F2" s="10"/>
    </row>
    <row r="3" spans="2:9" ht="14.25" customHeight="1">
      <c r="B3" s="55" t="str">
        <f>copyright &amp; " RealData, Inc. Southport, CT All Rights Reserved"</f>
        <v>© Copyright 1982-2016 RealData, Inc. Southport, CT All Rights Reserved</v>
      </c>
      <c r="C3" s="56"/>
      <c r="D3" s="56"/>
      <c r="E3" s="57"/>
      <c r="F3" s="10"/>
    </row>
    <row r="4" spans="2:9" ht="14.25" customHeight="1">
      <c r="B4" s="55"/>
      <c r="C4" s="56"/>
      <c r="D4" s="56"/>
      <c r="E4" s="57"/>
      <c r="F4" s="10"/>
    </row>
    <row r="5" spans="2:9" ht="21" customHeight="1">
      <c r="B5" s="11" t="s">
        <v>54</v>
      </c>
      <c r="C5" s="10"/>
      <c r="D5" s="10"/>
      <c r="E5" s="10"/>
      <c r="F5" s="10"/>
    </row>
    <row r="6" spans="2:9" ht="15" customHeight="1">
      <c r="B6" s="280" t="s">
        <v>55</v>
      </c>
      <c r="C6" s="283">
        <v>0</v>
      </c>
      <c r="D6" s="277" t="s">
        <v>56</v>
      </c>
      <c r="E6" s="308">
        <v>0</v>
      </c>
      <c r="F6" s="286" t="s">
        <v>57</v>
      </c>
    </row>
    <row r="7" spans="2:9">
      <c r="B7" s="281" t="s">
        <v>58</v>
      </c>
      <c r="C7" s="284">
        <v>0</v>
      </c>
      <c r="D7" s="278" t="s">
        <v>59</v>
      </c>
      <c r="E7" s="309">
        <v>1</v>
      </c>
      <c r="F7" s="287"/>
    </row>
    <row r="8" spans="2:9">
      <c r="B8" s="282" t="s">
        <v>60</v>
      </c>
      <c r="C8" s="285">
        <f>IF(OR(C7=0,E6=0),0,ROUND($C$6*(($E$6/1200)*(1+($E$6/1200))^$C$7)/((1+($E$6/1200))^$C$7-1),2))</f>
        <v>0</v>
      </c>
      <c r="D8" s="279" t="s">
        <v>61</v>
      </c>
      <c r="E8" s="310">
        <v>2017</v>
      </c>
      <c r="F8" s="288"/>
      <c r="G8" s="7"/>
      <c r="H8" s="15"/>
    </row>
    <row r="9" spans="2:9">
      <c r="B9" s="12"/>
      <c r="C9" s="14"/>
      <c r="D9" s="12"/>
      <c r="E9" s="13"/>
      <c r="F9" s="6"/>
      <c r="G9" s="7"/>
      <c r="H9" s="15"/>
    </row>
    <row r="10" spans="2:9">
      <c r="B10" s="12"/>
      <c r="C10" s="14"/>
      <c r="D10" s="12"/>
      <c r="E10" s="13"/>
      <c r="F10" s="6"/>
      <c r="G10" s="7"/>
      <c r="H10" s="15"/>
    </row>
    <row r="11" spans="2:9">
      <c r="B11" s="161">
        <f>DATE(E8,E7,1)</f>
        <v>42736</v>
      </c>
      <c r="C11" s="14"/>
      <c r="D11" s="12"/>
      <c r="E11" s="162"/>
      <c r="F11" s="6"/>
      <c r="G11" s="7"/>
      <c r="H11" s="15"/>
    </row>
    <row r="12" spans="2:9">
      <c r="B12" s="163"/>
      <c r="C12" s="164"/>
      <c r="D12" s="164"/>
      <c r="E12" s="164"/>
      <c r="F12" s="165"/>
    </row>
    <row r="13" spans="2:9">
      <c r="B13" s="166"/>
      <c r="C13" s="159" t="s">
        <v>62</v>
      </c>
      <c r="D13" s="159" t="s">
        <v>63</v>
      </c>
      <c r="E13" s="159" t="s">
        <v>64</v>
      </c>
      <c r="F13" s="167"/>
      <c r="G13" s="7"/>
      <c r="H13" s="7"/>
      <c r="I13" s="16"/>
    </row>
    <row r="14" spans="2:9">
      <c r="B14" s="168" t="str">
        <f>IF(MONTH($B$11)&gt;1,"",IF(MONTH($B$11)=1,"January",""))</f>
        <v>January</v>
      </c>
      <c r="C14" s="160">
        <f>IF(MONTH($B$11)&gt;1,"",IF(MONTH($B$11)=1,ROUND($C$6*($E$6/1200),2),0))</f>
        <v>0</v>
      </c>
      <c r="D14" s="160">
        <f>IF(MONTH($B$11)&gt;1,"",IF(MONTH($B$11)=1,$C$8-C14,0))</f>
        <v>0</v>
      </c>
      <c r="E14" s="160">
        <f>IF(MONTH($B$11)&gt;1,"",IF(MONTH($B$11)=1,$C$6-D14,0))</f>
        <v>0</v>
      </c>
      <c r="F14" s="169"/>
    </row>
    <row r="15" spans="2:9">
      <c r="B15" s="168" t="str">
        <f>IF(MONTH($B$11)&gt;2,"",IF(MONTH($B$11)=2,"February",IF(E14&gt;0.005,"February","")))</f>
        <v/>
      </c>
      <c r="C15" s="160">
        <f>IF(MONTH($B$11)&gt;2,"",IF(MONTH($B$11)=2,ROUND($C$6*($E$6/1200),2),IF(E14&gt;0,ROUND(E14*($E$6/1200),2),0)))</f>
        <v>0</v>
      </c>
      <c r="D15" s="160">
        <f>IF(MONTH($B$11)&gt;2,"",IF(MONTH($B$11)=2,$C$8-C15,IF(E14&lt;$C$8,E14,$C$8-C15)))</f>
        <v>0</v>
      </c>
      <c r="E15" s="160">
        <f>IF(MONTH($B$11)&gt;2,"",IF(MONTH($B$11)=2,$C$6-D15,IF(E14-D15&gt;0,E14-D15,0)))</f>
        <v>0</v>
      </c>
      <c r="F15" s="169"/>
    </row>
    <row r="16" spans="2:9">
      <c r="B16" s="168" t="str">
        <f>IF(MONTH($B$11)&gt;3,"",IF(MONTH($B$11)=3,"March",IF(E15&gt;0.005,"March","")))</f>
        <v/>
      </c>
      <c r="C16" s="160">
        <f>IF(MONTH($B$11)&gt;3,"",IF(MONTH($B$11)=3,ROUND($C$6*($E$6/1200),2),IF(E15&gt;0,ROUND(E15*($E$6/1200),2),0)))</f>
        <v>0</v>
      </c>
      <c r="D16" s="160">
        <f>IF(MONTH($B$11)&gt;3,"",IF(MONTH($B$11)=3,$C$8-C16,IF(E15&lt;$C$8,E15,$C$8-C16)))</f>
        <v>0</v>
      </c>
      <c r="E16" s="160">
        <f>IF(MONTH($B$11)&gt;3,"",IF(MONTH($B$11)=3,$C$6-D16,IF(E15-D16&gt;0,E15-D16,0)))</f>
        <v>0</v>
      </c>
      <c r="F16" s="169"/>
    </row>
    <row r="17" spans="2:6">
      <c r="B17" s="168" t="str">
        <f>IF(MONTH($B$11)&gt;4,"",IF(MONTH($B$11)=4,"April",IF(E16&gt;0.005,"April","")))</f>
        <v/>
      </c>
      <c r="C17" s="160">
        <f>IF(MONTH($B$11)&gt;4,"",IF(MONTH($B$11)=4,ROUND($C$6*($E$6/1200),2),IF(E16&gt;0,ROUND(E16*($E$6/1200),2),0)))</f>
        <v>0</v>
      </c>
      <c r="D17" s="160">
        <f>IF(MONTH($B$11)&gt;4,"",IF(MONTH($B$11)=4,$C$8-C17,IF(E16&lt;$C$8,E16,$C$8-C17)))</f>
        <v>0</v>
      </c>
      <c r="E17" s="160">
        <f>IF(MONTH($B$11)&gt;4,"",IF(MONTH($B$11)=4,$C$6-D17,IF(E16-D17&gt;0,E16-D17,0)))</f>
        <v>0</v>
      </c>
      <c r="F17" s="169"/>
    </row>
    <row r="18" spans="2:6">
      <c r="B18" s="168" t="str">
        <f>IF(MONTH($B$11)&gt;5,"",IF(MONTH($B$11)=5,"May",IF(E17&gt;0.005,"May","")))</f>
        <v/>
      </c>
      <c r="C18" s="160">
        <f>IF(MONTH($B$11)&gt;5,"",IF(MONTH($B$11)=5,ROUND($C$6*($E$6/1200),2),IF(E17&gt;0,ROUND(E17*($E$6/1200),2),0)))</f>
        <v>0</v>
      </c>
      <c r="D18" s="160">
        <f>IF(MONTH($B$11)&gt;5,"",IF(MONTH($B$11)=5,$C$8-C18,IF(E17&lt;$C$8,E17,$C$8-C18)))</f>
        <v>0</v>
      </c>
      <c r="E18" s="160">
        <f>IF(MONTH($B$11)&gt;5,"",IF(MONTH($B$11)=5,$C$6-D18,IF(E17-D18&gt;0,E17-D18,0)))</f>
        <v>0</v>
      </c>
      <c r="F18" s="169"/>
    </row>
    <row r="19" spans="2:6">
      <c r="B19" s="168" t="str">
        <f>IF(MONTH($B$11)&gt;6,"",IF(MONTH($B$11)=6,"June",IF(E18&gt;0.005,"June","")))</f>
        <v/>
      </c>
      <c r="C19" s="160">
        <f>IF(MONTH($B$11)&gt;6,"",IF(MONTH($B$11)=6,ROUND($C$6*($E$6/1200),2),IF(E18&gt;0,ROUND(E18*($E$6/1200),2),0)))</f>
        <v>0</v>
      </c>
      <c r="D19" s="160">
        <f>IF(MONTH($B$11)&gt;6,"",IF(MONTH($B$11)=6,$C$8-C19,IF(E18&lt;$C$8,E18,$C$8-C19)))</f>
        <v>0</v>
      </c>
      <c r="E19" s="160">
        <f>IF(MONTH($B$11)&gt;6,"",IF(MONTH($B$11)=6,$C$6-D19,IF(E18-D19&gt;0,E18-D19,0)))</f>
        <v>0</v>
      </c>
      <c r="F19" s="169"/>
    </row>
    <row r="20" spans="2:6">
      <c r="B20" s="168" t="str">
        <f>IF(MONTH($B$11)&gt;7,"",IF(MONTH($B$11)=7,"July",IF(E19&gt;0.005,"July","")))</f>
        <v/>
      </c>
      <c r="C20" s="160">
        <f>IF(MONTH($B$11)&gt;7,"",IF(MONTH($B$11)=7,ROUND($C$6*($E$6/1200),2),IF(E19&gt;0,ROUND(E19*($E$6/1200),2),0)))</f>
        <v>0</v>
      </c>
      <c r="D20" s="160">
        <f>IF(MONTH($B$11)&gt;7,"",IF(MONTH($B$11)=7,$C$8-C20,IF(E19&lt;$C$8,E19,$C$8-C20)))</f>
        <v>0</v>
      </c>
      <c r="E20" s="160">
        <f>IF(MONTH($B$11)&gt;7,"",IF(MONTH($B$11)=7,$C$6-D20,IF(E19-D20&gt;0,E19-D20,0)))</f>
        <v>0</v>
      </c>
      <c r="F20" s="169"/>
    </row>
    <row r="21" spans="2:6">
      <c r="B21" s="168" t="str">
        <f>IF(MONTH($B$11)&gt;8,"",IF(MONTH($B$11)=8,"August",IF(E20&gt;0.005,"August","")))</f>
        <v/>
      </c>
      <c r="C21" s="160">
        <f>IF(MONTH($B$11)&gt;8,"",IF(MONTH($B$11)=8,ROUND($C$6*($E$6/1200),2),IF(E20&gt;0,ROUND(E20*($E$6/1200),2),0)))</f>
        <v>0</v>
      </c>
      <c r="D21" s="160">
        <f>IF(MONTH($B$11)&gt;8,"",IF(MONTH($B$11)=8,$C$8-C21,IF(E20&lt;$C$8,E20,$C$8-C21)))</f>
        <v>0</v>
      </c>
      <c r="E21" s="160">
        <f>IF(MONTH($B$11)&gt;8,"",IF(MONTH($B$11)=8,$C$6-D21,IF(E20-D21&gt;0,E20-D21,0)))</f>
        <v>0</v>
      </c>
      <c r="F21" s="169"/>
    </row>
    <row r="22" spans="2:6">
      <c r="B22" s="168" t="str">
        <f>IF(MONTH($B$11)&gt;9,"",IF(MONTH($B$11)=9,"September",IF(E21&gt;0.005,"September","")))</f>
        <v/>
      </c>
      <c r="C22" s="160">
        <f>IF(MONTH($B$11)&gt;9,"",IF(MONTH($B$11)=9,ROUND($C$6*($E$6/1200),2),IF(E21&gt;0,ROUND(E21*($E$6/1200),2),0)))</f>
        <v>0</v>
      </c>
      <c r="D22" s="160">
        <f>IF(MONTH($B$11)&gt;9,"",IF(MONTH($B$11)=9,$C$8-C22,IF(E21&lt;$C$8,E21,$C$8-C22)))</f>
        <v>0</v>
      </c>
      <c r="E22" s="160">
        <f>IF(MONTH($B$11)&gt;9,"",IF(MONTH($B$11)=9,$C$6-D22,IF(E21-D22&gt;0,E21-D22,0)))</f>
        <v>0</v>
      </c>
      <c r="F22" s="169"/>
    </row>
    <row r="23" spans="2:6">
      <c r="B23" s="168" t="str">
        <f>IF(MONTH($B$11)&gt;10,"",IF(MONTH($B$11)=10,"October",IF(E22&gt;0.005,"October","")))</f>
        <v/>
      </c>
      <c r="C23" s="160">
        <f>IF(MONTH($B$11)&gt;10,"",IF(MONTH($B$11)=10,ROUND($C$6*($E$6/1200),2),IF(E22&gt;0,ROUND(E22*($E$6/1200),2),0)))</f>
        <v>0</v>
      </c>
      <c r="D23" s="160">
        <f>IF(MONTH($B$11)&gt;10,"",IF(MONTH($B$11)=10,$C$8-C23,IF(E22&lt;$C$8,E22,$C$8-C23)))</f>
        <v>0</v>
      </c>
      <c r="E23" s="160">
        <f>IF(MONTH($B$11)&gt;10,"",IF(MONTH($B$11)=10,$C$6-D23,IF(E22-D23&gt;0,E22-D23,0)))</f>
        <v>0</v>
      </c>
      <c r="F23" s="169"/>
    </row>
    <row r="24" spans="2:6">
      <c r="B24" s="168" t="str">
        <f>IF(MONTH($B$11)&gt;11,"",IF(MONTH($B$11)=11,"November",IF(E23&gt;0.005,"November","")))</f>
        <v/>
      </c>
      <c r="C24" s="160">
        <f>IF(MONTH($B$11)&gt;11,"",IF(MONTH($B$11)=11,ROUND($C$6*($E$6/1200),2),IF(E23&gt;0,ROUND(E23*($E$6/1200),2),0)))</f>
        <v>0</v>
      </c>
      <c r="D24" s="160">
        <f>IF(MONTH($B$11)&gt;11,"",IF(MONTH($B$11)=11,$C$8-C24,IF(E23&lt;$C$8,E23,$C$8-C24)))</f>
        <v>0</v>
      </c>
      <c r="E24" s="160">
        <f>IF(MONTH($B$11)&gt;11,"",IF(MONTH($B$11)=11,$C$6-D24,IF(E23-D24&gt;0,E23-D24,0)))</f>
        <v>0</v>
      </c>
      <c r="F24" s="169"/>
    </row>
    <row r="25" spans="2:6">
      <c r="B25" s="168" t="str">
        <f>IF(MONTH($B$11)=12,"December",IF(E24&gt;0.005,"December",""))</f>
        <v/>
      </c>
      <c r="C25" s="160">
        <f>IF(MONTH($B$11)=12,ROUND($C$6*($E$6/1200),2),IF(E24&gt;0,ROUND(E24*($E$6/1200),2),0))</f>
        <v>0</v>
      </c>
      <c r="D25" s="160">
        <f>IF(MONTH($B$11)=12,$C$8-C25,IF(E24&lt;$C$8,E24,$C$8-C25))</f>
        <v>0</v>
      </c>
      <c r="E25" s="160">
        <f>IF(MONTH($B$11)=12,$C$6-D25,IF(E24-D25&gt;0,E24-D25,0))</f>
        <v>0</v>
      </c>
      <c r="F25" s="169"/>
    </row>
    <row r="26" spans="2:6">
      <c r="B26" s="304" t="str">
        <f>"Total "&amp;YEAR(B11)</f>
        <v>Total 2017</v>
      </c>
      <c r="C26" s="305">
        <f>SUM(C14:C25)</f>
        <v>0</v>
      </c>
      <c r="D26" s="305">
        <f>SUM(D14:D25)</f>
        <v>0</v>
      </c>
      <c r="E26" s="306"/>
      <c r="F26" s="170"/>
    </row>
    <row r="27" spans="2:6">
      <c r="B27" s="10"/>
      <c r="C27" s="17"/>
      <c r="D27" s="17"/>
      <c r="E27" s="17"/>
      <c r="F27" s="10"/>
    </row>
    <row r="28" spans="2:6">
      <c r="B28" s="163"/>
      <c r="C28" s="171" t="s">
        <v>62</v>
      </c>
      <c r="D28" s="171" t="s">
        <v>63</v>
      </c>
      <c r="E28" s="171" t="s">
        <v>64</v>
      </c>
      <c r="F28" s="165"/>
    </row>
    <row r="29" spans="2:6">
      <c r="B29" s="168" t="str">
        <f>IF(E25&gt;0.005,"January","")</f>
        <v/>
      </c>
      <c r="C29" s="160">
        <f>IF(E25&gt;0,ROUND(E25*($E$6/1200),2),0)</f>
        <v>0</v>
      </c>
      <c r="D29" s="160">
        <f>IF(E25&lt;$C$8,E25,$C$8-C29)</f>
        <v>0</v>
      </c>
      <c r="E29" s="160">
        <f>IF(E25-D29&gt;0,E25-D29,0)</f>
        <v>0</v>
      </c>
      <c r="F29" s="169"/>
    </row>
    <row r="30" spans="2:6">
      <c r="B30" s="168" t="str">
        <f>IF(E29&gt;0.005,"February","")</f>
        <v/>
      </c>
      <c r="C30" s="160">
        <f t="shared" ref="C30:C40" si="0">IF(E29&gt;0,ROUND(E29*($E$6/1200),2),0)</f>
        <v>0</v>
      </c>
      <c r="D30" s="160">
        <f t="shared" ref="D30:D40" si="1">IF(E29&lt;$C$8,E29,$C$8-C30)</f>
        <v>0</v>
      </c>
      <c r="E30" s="160">
        <f t="shared" ref="E30:E40" si="2">IF(E29-D30&gt;0,E29-D30,0)</f>
        <v>0</v>
      </c>
      <c r="F30" s="169"/>
    </row>
    <row r="31" spans="2:6">
      <c r="B31" s="168" t="str">
        <f>IF(E30&gt;0.005,"March","")</f>
        <v/>
      </c>
      <c r="C31" s="160">
        <f t="shared" si="0"/>
        <v>0</v>
      </c>
      <c r="D31" s="160">
        <f t="shared" si="1"/>
        <v>0</v>
      </c>
      <c r="E31" s="160">
        <f t="shared" si="2"/>
        <v>0</v>
      </c>
      <c r="F31" s="169"/>
    </row>
    <row r="32" spans="2:6">
      <c r="B32" s="168" t="str">
        <f>IF(E31&gt;0.005,"April","")</f>
        <v/>
      </c>
      <c r="C32" s="160">
        <f t="shared" si="0"/>
        <v>0</v>
      </c>
      <c r="D32" s="160">
        <f t="shared" si="1"/>
        <v>0</v>
      </c>
      <c r="E32" s="160">
        <f t="shared" si="2"/>
        <v>0</v>
      </c>
      <c r="F32" s="169"/>
    </row>
    <row r="33" spans="2:6">
      <c r="B33" s="168" t="str">
        <f>IF(E32&gt;0.005,"May","")</f>
        <v/>
      </c>
      <c r="C33" s="160">
        <f t="shared" si="0"/>
        <v>0</v>
      </c>
      <c r="D33" s="160">
        <f t="shared" si="1"/>
        <v>0</v>
      </c>
      <c r="E33" s="160">
        <f t="shared" si="2"/>
        <v>0</v>
      </c>
      <c r="F33" s="169"/>
    </row>
    <row r="34" spans="2:6">
      <c r="B34" s="168" t="str">
        <f>IF(E33&gt;0.005,"June","")</f>
        <v/>
      </c>
      <c r="C34" s="160">
        <f t="shared" si="0"/>
        <v>0</v>
      </c>
      <c r="D34" s="160">
        <f t="shared" si="1"/>
        <v>0</v>
      </c>
      <c r="E34" s="160">
        <f t="shared" si="2"/>
        <v>0</v>
      </c>
      <c r="F34" s="169"/>
    </row>
    <row r="35" spans="2:6">
      <c r="B35" s="168" t="str">
        <f>IF(E34&gt;0.005,"July","")</f>
        <v/>
      </c>
      <c r="C35" s="160">
        <f t="shared" si="0"/>
        <v>0</v>
      </c>
      <c r="D35" s="160">
        <f t="shared" si="1"/>
        <v>0</v>
      </c>
      <c r="E35" s="160">
        <f t="shared" si="2"/>
        <v>0</v>
      </c>
      <c r="F35" s="169"/>
    </row>
    <row r="36" spans="2:6">
      <c r="B36" s="168" t="str">
        <f>IF(E35&gt;0.005,"August","")</f>
        <v/>
      </c>
      <c r="C36" s="160">
        <f t="shared" si="0"/>
        <v>0</v>
      </c>
      <c r="D36" s="160">
        <f t="shared" si="1"/>
        <v>0</v>
      </c>
      <c r="E36" s="160">
        <f t="shared" si="2"/>
        <v>0</v>
      </c>
      <c r="F36" s="169"/>
    </row>
    <row r="37" spans="2:6">
      <c r="B37" s="168" t="str">
        <f>IF(E36&gt;0.005,"September","")</f>
        <v/>
      </c>
      <c r="C37" s="160">
        <f t="shared" si="0"/>
        <v>0</v>
      </c>
      <c r="D37" s="160">
        <f t="shared" si="1"/>
        <v>0</v>
      </c>
      <c r="E37" s="160">
        <f t="shared" si="2"/>
        <v>0</v>
      </c>
      <c r="F37" s="169"/>
    </row>
    <row r="38" spans="2:6">
      <c r="B38" s="168" t="str">
        <f>IF(E37&gt;0.005,"October","")</f>
        <v/>
      </c>
      <c r="C38" s="160">
        <f t="shared" si="0"/>
        <v>0</v>
      </c>
      <c r="D38" s="160">
        <f t="shared" si="1"/>
        <v>0</v>
      </c>
      <c r="E38" s="160">
        <f t="shared" si="2"/>
        <v>0</v>
      </c>
      <c r="F38" s="169"/>
    </row>
    <row r="39" spans="2:6">
      <c r="B39" s="168" t="str">
        <f>IF(E38&gt;0.005,"November","")</f>
        <v/>
      </c>
      <c r="C39" s="160">
        <f t="shared" si="0"/>
        <v>0</v>
      </c>
      <c r="D39" s="160">
        <f t="shared" si="1"/>
        <v>0</v>
      </c>
      <c r="E39" s="160">
        <f t="shared" si="2"/>
        <v>0</v>
      </c>
      <c r="F39" s="169"/>
    </row>
    <row r="40" spans="2:6">
      <c r="B40" s="168" t="str">
        <f>IF(E39&gt;0.005,"December","")</f>
        <v/>
      </c>
      <c r="C40" s="160">
        <f t="shared" si="0"/>
        <v>0</v>
      </c>
      <c r="D40" s="160">
        <f t="shared" si="1"/>
        <v>0</v>
      </c>
      <c r="E40" s="160">
        <f t="shared" si="2"/>
        <v>0</v>
      </c>
      <c r="F40" s="169"/>
    </row>
    <row r="41" spans="2:6">
      <c r="B41" s="304" t="str">
        <f>"Total "&amp;YEAR($B$11)+1</f>
        <v>Total 2018</v>
      </c>
      <c r="C41" s="305">
        <f>SUM(C29:C40)</f>
        <v>0</v>
      </c>
      <c r="D41" s="305">
        <f>SUM(D29:D40)</f>
        <v>0</v>
      </c>
      <c r="E41" s="306"/>
      <c r="F41" s="170"/>
    </row>
    <row r="42" spans="2:6">
      <c r="B42" s="10"/>
      <c r="C42" s="17"/>
      <c r="D42" s="17"/>
      <c r="E42" s="17"/>
      <c r="F42" s="10"/>
    </row>
    <row r="43" spans="2:6">
      <c r="B43" s="163"/>
      <c r="C43" s="171" t="s">
        <v>62</v>
      </c>
      <c r="D43" s="171" t="s">
        <v>63</v>
      </c>
      <c r="E43" s="171" t="s">
        <v>64</v>
      </c>
      <c r="F43" s="165"/>
    </row>
    <row r="44" spans="2:6">
      <c r="B44" s="168" t="str">
        <f>IF(E40&gt;0.005,"January","")</f>
        <v/>
      </c>
      <c r="C44" s="160">
        <f>IF(E40&gt;0,ROUND(E40*($E$6/1200),2),0)</f>
        <v>0</v>
      </c>
      <c r="D44" s="160">
        <f>IF(E40&lt;$C$8,E40,$C$8-C44)</f>
        <v>0</v>
      </c>
      <c r="E44" s="160">
        <f>IF(E40-D44&gt;0,E40-D44,0)</f>
        <v>0</v>
      </c>
      <c r="F44" s="169"/>
    </row>
    <row r="45" spans="2:6">
      <c r="B45" s="168" t="str">
        <f>IF(E44&gt;0.005,"February","")</f>
        <v/>
      </c>
      <c r="C45" s="160">
        <f t="shared" ref="C45:C55" si="3">IF(E44&gt;0,ROUND(E44*($E$6/1200),2),0)</f>
        <v>0</v>
      </c>
      <c r="D45" s="160">
        <f t="shared" ref="D45:D55" si="4">IF(E44&lt;$C$8,E44,$C$8-C45)</f>
        <v>0</v>
      </c>
      <c r="E45" s="160">
        <f t="shared" ref="E45:E55" si="5">IF(E44-D45&gt;0,E44-D45,0)</f>
        <v>0</v>
      </c>
      <c r="F45" s="169"/>
    </row>
    <row r="46" spans="2:6">
      <c r="B46" s="168" t="str">
        <f>IF(E45&gt;0.005,"March","")</f>
        <v/>
      </c>
      <c r="C46" s="160">
        <f t="shared" si="3"/>
        <v>0</v>
      </c>
      <c r="D46" s="160">
        <f t="shared" si="4"/>
        <v>0</v>
      </c>
      <c r="E46" s="160">
        <f t="shared" si="5"/>
        <v>0</v>
      </c>
      <c r="F46" s="169"/>
    </row>
    <row r="47" spans="2:6">
      <c r="B47" s="168" t="str">
        <f>IF(E46&gt;0.005,"April","")</f>
        <v/>
      </c>
      <c r="C47" s="160">
        <f t="shared" si="3"/>
        <v>0</v>
      </c>
      <c r="D47" s="160">
        <f t="shared" si="4"/>
        <v>0</v>
      </c>
      <c r="E47" s="160">
        <f t="shared" si="5"/>
        <v>0</v>
      </c>
      <c r="F47" s="169"/>
    </row>
    <row r="48" spans="2:6">
      <c r="B48" s="168" t="str">
        <f>IF(E47&gt;0.005,"May","")</f>
        <v/>
      </c>
      <c r="C48" s="160">
        <f t="shared" si="3"/>
        <v>0</v>
      </c>
      <c r="D48" s="160">
        <f t="shared" si="4"/>
        <v>0</v>
      </c>
      <c r="E48" s="160">
        <f t="shared" si="5"/>
        <v>0</v>
      </c>
      <c r="F48" s="169"/>
    </row>
    <row r="49" spans="2:6">
      <c r="B49" s="168" t="str">
        <f>IF(E48&gt;0.005,"June","")</f>
        <v/>
      </c>
      <c r="C49" s="160">
        <f t="shared" si="3"/>
        <v>0</v>
      </c>
      <c r="D49" s="160">
        <f t="shared" si="4"/>
        <v>0</v>
      </c>
      <c r="E49" s="160">
        <f t="shared" si="5"/>
        <v>0</v>
      </c>
      <c r="F49" s="169"/>
    </row>
    <row r="50" spans="2:6">
      <c r="B50" s="168" t="str">
        <f>IF(E49&gt;0.005,"July","")</f>
        <v/>
      </c>
      <c r="C50" s="160">
        <f t="shared" si="3"/>
        <v>0</v>
      </c>
      <c r="D50" s="160">
        <f t="shared" si="4"/>
        <v>0</v>
      </c>
      <c r="E50" s="160">
        <f t="shared" si="5"/>
        <v>0</v>
      </c>
      <c r="F50" s="169"/>
    </row>
    <row r="51" spans="2:6">
      <c r="B51" s="168" t="str">
        <f>IF(E50&gt;0.005,"August","")</f>
        <v/>
      </c>
      <c r="C51" s="160">
        <f t="shared" si="3"/>
        <v>0</v>
      </c>
      <c r="D51" s="160">
        <f t="shared" si="4"/>
        <v>0</v>
      </c>
      <c r="E51" s="160">
        <f t="shared" si="5"/>
        <v>0</v>
      </c>
      <c r="F51" s="169"/>
    </row>
    <row r="52" spans="2:6">
      <c r="B52" s="168" t="str">
        <f>IF(E51&gt;0.005,"September","")</f>
        <v/>
      </c>
      <c r="C52" s="160">
        <f t="shared" si="3"/>
        <v>0</v>
      </c>
      <c r="D52" s="160">
        <f t="shared" si="4"/>
        <v>0</v>
      </c>
      <c r="E52" s="160">
        <f t="shared" si="5"/>
        <v>0</v>
      </c>
      <c r="F52" s="169"/>
    </row>
    <row r="53" spans="2:6">
      <c r="B53" s="168" t="str">
        <f>IF(E52&gt;0.005,"October","")</f>
        <v/>
      </c>
      <c r="C53" s="160">
        <f t="shared" si="3"/>
        <v>0</v>
      </c>
      <c r="D53" s="160">
        <f t="shared" si="4"/>
        <v>0</v>
      </c>
      <c r="E53" s="160">
        <f t="shared" si="5"/>
        <v>0</v>
      </c>
      <c r="F53" s="169"/>
    </row>
    <row r="54" spans="2:6">
      <c r="B54" s="168" t="str">
        <f>IF(E53&gt;0.005,"November","")</f>
        <v/>
      </c>
      <c r="C54" s="160">
        <f t="shared" si="3"/>
        <v>0</v>
      </c>
      <c r="D54" s="160">
        <f t="shared" si="4"/>
        <v>0</v>
      </c>
      <c r="E54" s="160">
        <f t="shared" si="5"/>
        <v>0</v>
      </c>
      <c r="F54" s="169"/>
    </row>
    <row r="55" spans="2:6">
      <c r="B55" s="168" t="str">
        <f>IF(E54&gt;0.005,"December","")</f>
        <v/>
      </c>
      <c r="C55" s="160">
        <f t="shared" si="3"/>
        <v>0</v>
      </c>
      <c r="D55" s="160">
        <f t="shared" si="4"/>
        <v>0</v>
      </c>
      <c r="E55" s="160">
        <f t="shared" si="5"/>
        <v>0</v>
      </c>
      <c r="F55" s="169"/>
    </row>
    <row r="56" spans="2:6">
      <c r="B56" s="304" t="str">
        <f>"Total "&amp;YEAR($B$11)+2</f>
        <v>Total 2019</v>
      </c>
      <c r="C56" s="305">
        <f>SUM(C44:C55)</f>
        <v>0</v>
      </c>
      <c r="D56" s="305">
        <f>SUM(D44:D55)</f>
        <v>0</v>
      </c>
      <c r="E56" s="306"/>
      <c r="F56" s="170"/>
    </row>
    <row r="57" spans="2:6">
      <c r="B57" s="10"/>
      <c r="C57" s="17"/>
      <c r="D57" s="17"/>
      <c r="E57" s="17"/>
      <c r="F57" s="10"/>
    </row>
    <row r="58" spans="2:6">
      <c r="B58" s="163"/>
      <c r="C58" s="171" t="s">
        <v>62</v>
      </c>
      <c r="D58" s="171" t="s">
        <v>63</v>
      </c>
      <c r="E58" s="171" t="s">
        <v>64</v>
      </c>
      <c r="F58" s="165"/>
    </row>
    <row r="59" spans="2:6">
      <c r="B59" s="168" t="str">
        <f>IF(E55&gt;0.005,"January","")</f>
        <v/>
      </c>
      <c r="C59" s="160">
        <f>IF(E55&gt;0,ROUND(E55*($E$6/1200),2),0)</f>
        <v>0</v>
      </c>
      <c r="D59" s="160">
        <f>IF(E55&lt;$C$8,E55,$C$8-C59)</f>
        <v>0</v>
      </c>
      <c r="E59" s="160">
        <f>IF(E55-D59&gt;0,E55-D59,0)</f>
        <v>0</v>
      </c>
      <c r="F59" s="169"/>
    </row>
    <row r="60" spans="2:6">
      <c r="B60" s="168" t="str">
        <f>IF(E59&gt;0.005,"February","")</f>
        <v/>
      </c>
      <c r="C60" s="160">
        <f t="shared" ref="C60:C70" si="6">IF(E59&gt;0,ROUND(E59*($E$6/1200),2),0)</f>
        <v>0</v>
      </c>
      <c r="D60" s="160">
        <f t="shared" ref="D60:D70" si="7">IF(E59&lt;$C$8,E59,$C$8-C60)</f>
        <v>0</v>
      </c>
      <c r="E60" s="160">
        <f t="shared" ref="E60:E70" si="8">IF(E59-D60&gt;0,E59-D60,0)</f>
        <v>0</v>
      </c>
      <c r="F60" s="169"/>
    </row>
    <row r="61" spans="2:6">
      <c r="B61" s="168" t="str">
        <f>IF(E60&gt;0.005,"March","")</f>
        <v/>
      </c>
      <c r="C61" s="160">
        <f t="shared" si="6"/>
        <v>0</v>
      </c>
      <c r="D61" s="160">
        <f t="shared" si="7"/>
        <v>0</v>
      </c>
      <c r="E61" s="160">
        <f t="shared" si="8"/>
        <v>0</v>
      </c>
      <c r="F61" s="169"/>
    </row>
    <row r="62" spans="2:6">
      <c r="B62" s="168" t="str">
        <f>IF(E61&gt;0.005,"April","")</f>
        <v/>
      </c>
      <c r="C62" s="160">
        <f t="shared" si="6"/>
        <v>0</v>
      </c>
      <c r="D62" s="160">
        <f t="shared" si="7"/>
        <v>0</v>
      </c>
      <c r="E62" s="160">
        <f t="shared" si="8"/>
        <v>0</v>
      </c>
      <c r="F62" s="169"/>
    </row>
    <row r="63" spans="2:6">
      <c r="B63" s="168" t="str">
        <f>IF(E62&gt;0.005,"May","")</f>
        <v/>
      </c>
      <c r="C63" s="160">
        <f t="shared" si="6"/>
        <v>0</v>
      </c>
      <c r="D63" s="160">
        <f t="shared" si="7"/>
        <v>0</v>
      </c>
      <c r="E63" s="160">
        <f t="shared" si="8"/>
        <v>0</v>
      </c>
      <c r="F63" s="169"/>
    </row>
    <row r="64" spans="2:6">
      <c r="B64" s="168" t="str">
        <f>IF(E63&gt;0.005,"June","")</f>
        <v/>
      </c>
      <c r="C64" s="160">
        <f t="shared" si="6"/>
        <v>0</v>
      </c>
      <c r="D64" s="160">
        <f t="shared" si="7"/>
        <v>0</v>
      </c>
      <c r="E64" s="160">
        <f t="shared" si="8"/>
        <v>0</v>
      </c>
      <c r="F64" s="169"/>
    </row>
    <row r="65" spans="2:6">
      <c r="B65" s="168" t="str">
        <f>IF(E64&gt;0.005,"July","")</f>
        <v/>
      </c>
      <c r="C65" s="160">
        <f t="shared" si="6"/>
        <v>0</v>
      </c>
      <c r="D65" s="160">
        <f t="shared" si="7"/>
        <v>0</v>
      </c>
      <c r="E65" s="160">
        <f t="shared" si="8"/>
        <v>0</v>
      </c>
      <c r="F65" s="169"/>
    </row>
    <row r="66" spans="2:6">
      <c r="B66" s="168" t="str">
        <f>IF(E65&gt;0.005,"August","")</f>
        <v/>
      </c>
      <c r="C66" s="160">
        <f t="shared" si="6"/>
        <v>0</v>
      </c>
      <c r="D66" s="160">
        <f t="shared" si="7"/>
        <v>0</v>
      </c>
      <c r="E66" s="160">
        <f t="shared" si="8"/>
        <v>0</v>
      </c>
      <c r="F66" s="169"/>
    </row>
    <row r="67" spans="2:6">
      <c r="B67" s="168" t="str">
        <f>IF(E66&gt;0.005,"September","")</f>
        <v/>
      </c>
      <c r="C67" s="160">
        <f t="shared" si="6"/>
        <v>0</v>
      </c>
      <c r="D67" s="160">
        <f t="shared" si="7"/>
        <v>0</v>
      </c>
      <c r="E67" s="160">
        <f t="shared" si="8"/>
        <v>0</v>
      </c>
      <c r="F67" s="169"/>
    </row>
    <row r="68" spans="2:6">
      <c r="B68" s="168" t="str">
        <f>IF(E67&gt;0.005,"October","")</f>
        <v/>
      </c>
      <c r="C68" s="160">
        <f t="shared" si="6"/>
        <v>0</v>
      </c>
      <c r="D68" s="160">
        <f t="shared" si="7"/>
        <v>0</v>
      </c>
      <c r="E68" s="160">
        <f t="shared" si="8"/>
        <v>0</v>
      </c>
      <c r="F68" s="169"/>
    </row>
    <row r="69" spans="2:6">
      <c r="B69" s="168" t="str">
        <f>IF(E68&gt;0.005,"November","")</f>
        <v/>
      </c>
      <c r="C69" s="160">
        <f t="shared" si="6"/>
        <v>0</v>
      </c>
      <c r="D69" s="160">
        <f t="shared" si="7"/>
        <v>0</v>
      </c>
      <c r="E69" s="160">
        <f t="shared" si="8"/>
        <v>0</v>
      </c>
      <c r="F69" s="169"/>
    </row>
    <row r="70" spans="2:6">
      <c r="B70" s="168" t="str">
        <f>IF(E69&gt;0.005,"December","")</f>
        <v/>
      </c>
      <c r="C70" s="160">
        <f t="shared" si="6"/>
        <v>0</v>
      </c>
      <c r="D70" s="160">
        <f t="shared" si="7"/>
        <v>0</v>
      </c>
      <c r="E70" s="160">
        <f t="shared" si="8"/>
        <v>0</v>
      </c>
      <c r="F70" s="169"/>
    </row>
    <row r="71" spans="2:6">
      <c r="B71" s="304" t="str">
        <f>"Total "&amp;YEAR($B$11)+3</f>
        <v>Total 2020</v>
      </c>
      <c r="C71" s="305">
        <f>SUM(C59:C70)</f>
        <v>0</v>
      </c>
      <c r="D71" s="305">
        <f>SUM(D59:D70)</f>
        <v>0</v>
      </c>
      <c r="E71" s="306"/>
      <c r="F71" s="170"/>
    </row>
    <row r="72" spans="2:6">
      <c r="B72" s="10"/>
      <c r="C72" s="17"/>
      <c r="D72" s="17"/>
      <c r="E72" s="17"/>
      <c r="F72" s="10"/>
    </row>
    <row r="73" spans="2:6">
      <c r="B73" s="163"/>
      <c r="C73" s="171" t="s">
        <v>62</v>
      </c>
      <c r="D73" s="171" t="s">
        <v>63</v>
      </c>
      <c r="E73" s="171" t="s">
        <v>64</v>
      </c>
      <c r="F73" s="165"/>
    </row>
    <row r="74" spans="2:6">
      <c r="B74" s="168" t="str">
        <f>IF(E70&gt;0.005,"January","")</f>
        <v/>
      </c>
      <c r="C74" s="160">
        <f>IF(E70&gt;0,ROUND(E70*($E$6/1200),2),0)</f>
        <v>0</v>
      </c>
      <c r="D74" s="160">
        <f>IF(E70&lt;$C$8,E70,$C$8-C74)</f>
        <v>0</v>
      </c>
      <c r="E74" s="160">
        <f>IF(E70-D74&gt;0,E70-D74,0)</f>
        <v>0</v>
      </c>
      <c r="F74" s="169"/>
    </row>
    <row r="75" spans="2:6">
      <c r="B75" s="168" t="str">
        <f>IF(E74&gt;0.005,"February","")</f>
        <v/>
      </c>
      <c r="C75" s="160">
        <f t="shared" ref="C75:C85" si="9">IF(E74&gt;0,ROUND(E74*($E$6/1200),2),0)</f>
        <v>0</v>
      </c>
      <c r="D75" s="160">
        <f t="shared" ref="D75:D85" si="10">IF(E74&lt;$C$8,E74,$C$8-C75)</f>
        <v>0</v>
      </c>
      <c r="E75" s="160">
        <f t="shared" ref="E75:E85" si="11">IF(E74-D75&gt;0,E74-D75,0)</f>
        <v>0</v>
      </c>
      <c r="F75" s="169"/>
    </row>
    <row r="76" spans="2:6">
      <c r="B76" s="168" t="str">
        <f>IF(E75&gt;0.005,"March","")</f>
        <v/>
      </c>
      <c r="C76" s="160">
        <f t="shared" si="9"/>
        <v>0</v>
      </c>
      <c r="D76" s="160">
        <f t="shared" si="10"/>
        <v>0</v>
      </c>
      <c r="E76" s="160">
        <f t="shared" si="11"/>
        <v>0</v>
      </c>
      <c r="F76" s="169"/>
    </row>
    <row r="77" spans="2:6">
      <c r="B77" s="168" t="str">
        <f>IF(E76&gt;0.005,"April","")</f>
        <v/>
      </c>
      <c r="C77" s="160">
        <f t="shared" si="9"/>
        <v>0</v>
      </c>
      <c r="D77" s="160">
        <f t="shared" si="10"/>
        <v>0</v>
      </c>
      <c r="E77" s="160">
        <f t="shared" si="11"/>
        <v>0</v>
      </c>
      <c r="F77" s="169"/>
    </row>
    <row r="78" spans="2:6">
      <c r="B78" s="168" t="str">
        <f>IF(E77&gt;0.005,"May","")</f>
        <v/>
      </c>
      <c r="C78" s="160">
        <f t="shared" si="9"/>
        <v>0</v>
      </c>
      <c r="D78" s="160">
        <f t="shared" si="10"/>
        <v>0</v>
      </c>
      <c r="E78" s="160">
        <f t="shared" si="11"/>
        <v>0</v>
      </c>
      <c r="F78" s="169"/>
    </row>
    <row r="79" spans="2:6">
      <c r="B79" s="168" t="str">
        <f>IF(E78&gt;0.005,"June","")</f>
        <v/>
      </c>
      <c r="C79" s="160">
        <f t="shared" si="9"/>
        <v>0</v>
      </c>
      <c r="D79" s="160">
        <f t="shared" si="10"/>
        <v>0</v>
      </c>
      <c r="E79" s="160">
        <f t="shared" si="11"/>
        <v>0</v>
      </c>
      <c r="F79" s="169"/>
    </row>
    <row r="80" spans="2:6">
      <c r="B80" s="168" t="str">
        <f>IF(E79&gt;0.005,"July","")</f>
        <v/>
      </c>
      <c r="C80" s="160">
        <f t="shared" si="9"/>
        <v>0</v>
      </c>
      <c r="D80" s="160">
        <f t="shared" si="10"/>
        <v>0</v>
      </c>
      <c r="E80" s="160">
        <f t="shared" si="11"/>
        <v>0</v>
      </c>
      <c r="F80" s="169"/>
    </row>
    <row r="81" spans="2:6">
      <c r="B81" s="168" t="str">
        <f>IF(E80&gt;0.005,"August","")</f>
        <v/>
      </c>
      <c r="C81" s="160">
        <f t="shared" si="9"/>
        <v>0</v>
      </c>
      <c r="D81" s="160">
        <f t="shared" si="10"/>
        <v>0</v>
      </c>
      <c r="E81" s="160">
        <f t="shared" si="11"/>
        <v>0</v>
      </c>
      <c r="F81" s="169"/>
    </row>
    <row r="82" spans="2:6">
      <c r="B82" s="168" t="str">
        <f>IF(E81&gt;0.005,"September","")</f>
        <v/>
      </c>
      <c r="C82" s="160">
        <f t="shared" si="9"/>
        <v>0</v>
      </c>
      <c r="D82" s="160">
        <f t="shared" si="10"/>
        <v>0</v>
      </c>
      <c r="E82" s="160">
        <f t="shared" si="11"/>
        <v>0</v>
      </c>
      <c r="F82" s="169"/>
    </row>
    <row r="83" spans="2:6">
      <c r="B83" s="168" t="str">
        <f>IF(E82&gt;0.005,"October","")</f>
        <v/>
      </c>
      <c r="C83" s="160">
        <f t="shared" si="9"/>
        <v>0</v>
      </c>
      <c r="D83" s="160">
        <f t="shared" si="10"/>
        <v>0</v>
      </c>
      <c r="E83" s="160">
        <f t="shared" si="11"/>
        <v>0</v>
      </c>
      <c r="F83" s="169"/>
    </row>
    <row r="84" spans="2:6">
      <c r="B84" s="168" t="str">
        <f>IF(E83&gt;0.005,"November","")</f>
        <v/>
      </c>
      <c r="C84" s="160">
        <f t="shared" si="9"/>
        <v>0</v>
      </c>
      <c r="D84" s="160">
        <f t="shared" si="10"/>
        <v>0</v>
      </c>
      <c r="E84" s="160">
        <f t="shared" si="11"/>
        <v>0</v>
      </c>
      <c r="F84" s="169"/>
    </row>
    <row r="85" spans="2:6">
      <c r="B85" s="168" t="str">
        <f>IF(E84&gt;0.005,"December","")</f>
        <v/>
      </c>
      <c r="C85" s="160">
        <f t="shared" si="9"/>
        <v>0</v>
      </c>
      <c r="D85" s="160">
        <f t="shared" si="10"/>
        <v>0</v>
      </c>
      <c r="E85" s="160">
        <f t="shared" si="11"/>
        <v>0</v>
      </c>
      <c r="F85" s="169"/>
    </row>
    <row r="86" spans="2:6">
      <c r="B86" s="304" t="str">
        <f>"Total "&amp;YEAR($B$11)+4</f>
        <v>Total 2021</v>
      </c>
      <c r="C86" s="305">
        <f>SUM(C74:C85)</f>
        <v>0</v>
      </c>
      <c r="D86" s="305">
        <f>SUM(D74:D85)</f>
        <v>0</v>
      </c>
      <c r="E86" s="306"/>
      <c r="F86" s="170"/>
    </row>
    <row r="87" spans="2:6">
      <c r="B87" s="9"/>
      <c r="C87" s="18"/>
      <c r="D87" s="18"/>
      <c r="E87" s="17"/>
      <c r="F87" s="10"/>
    </row>
    <row r="88" spans="2:6">
      <c r="B88" s="163"/>
      <c r="C88" s="171" t="s">
        <v>62</v>
      </c>
      <c r="D88" s="171" t="s">
        <v>63</v>
      </c>
      <c r="E88" s="171" t="s">
        <v>64</v>
      </c>
      <c r="F88" s="165"/>
    </row>
    <row r="89" spans="2:6">
      <c r="B89" s="168" t="str">
        <f>IF(E85&gt;0.005,"January","")</f>
        <v/>
      </c>
      <c r="C89" s="160">
        <f>IF(E85&gt;0,ROUND(E85*($E$6/1200),2),0)</f>
        <v>0</v>
      </c>
      <c r="D89" s="160">
        <f>IF(E85&lt;$C$8,E85,$C$8-C89)</f>
        <v>0</v>
      </c>
      <c r="E89" s="160">
        <f>IF(E85-D89&gt;0,E85-D89,0)</f>
        <v>0</v>
      </c>
      <c r="F89" s="169"/>
    </row>
    <row r="90" spans="2:6">
      <c r="B90" s="168" t="str">
        <f>IF(E89&gt;0.005,"February","")</f>
        <v/>
      </c>
      <c r="C90" s="160">
        <f t="shared" ref="C90:C100" si="12">IF(E89&gt;0,ROUND(E89*($E$6/1200),2),0)</f>
        <v>0</v>
      </c>
      <c r="D90" s="160">
        <f t="shared" ref="D90:D100" si="13">IF(E89&lt;$C$8,E89,$C$8-C90)</f>
        <v>0</v>
      </c>
      <c r="E90" s="160">
        <f t="shared" ref="E90:E100" si="14">IF(E89-D90&gt;0,E89-D90,0)</f>
        <v>0</v>
      </c>
      <c r="F90" s="169"/>
    </row>
    <row r="91" spans="2:6">
      <c r="B91" s="168" t="str">
        <f>IF(E90&gt;0.005,"March","")</f>
        <v/>
      </c>
      <c r="C91" s="160">
        <f t="shared" si="12"/>
        <v>0</v>
      </c>
      <c r="D91" s="160">
        <f t="shared" si="13"/>
        <v>0</v>
      </c>
      <c r="E91" s="160">
        <f t="shared" si="14"/>
        <v>0</v>
      </c>
      <c r="F91" s="169"/>
    </row>
    <row r="92" spans="2:6">
      <c r="B92" s="168" t="str">
        <f>IF(E91&gt;0.005,"April","")</f>
        <v/>
      </c>
      <c r="C92" s="160">
        <f t="shared" si="12"/>
        <v>0</v>
      </c>
      <c r="D92" s="160">
        <f t="shared" si="13"/>
        <v>0</v>
      </c>
      <c r="E92" s="160">
        <f t="shared" si="14"/>
        <v>0</v>
      </c>
      <c r="F92" s="169"/>
    </row>
    <row r="93" spans="2:6">
      <c r="B93" s="168" t="str">
        <f>IF(E92&gt;0.005,"May","")</f>
        <v/>
      </c>
      <c r="C93" s="160">
        <f t="shared" si="12"/>
        <v>0</v>
      </c>
      <c r="D93" s="160">
        <f t="shared" si="13"/>
        <v>0</v>
      </c>
      <c r="E93" s="160">
        <f t="shared" si="14"/>
        <v>0</v>
      </c>
      <c r="F93" s="169"/>
    </row>
    <row r="94" spans="2:6">
      <c r="B94" s="168" t="str">
        <f>IF(E93&gt;0.005,"June","")</f>
        <v/>
      </c>
      <c r="C94" s="160">
        <f t="shared" si="12"/>
        <v>0</v>
      </c>
      <c r="D94" s="160">
        <f t="shared" si="13"/>
        <v>0</v>
      </c>
      <c r="E94" s="160">
        <f t="shared" si="14"/>
        <v>0</v>
      </c>
      <c r="F94" s="169"/>
    </row>
    <row r="95" spans="2:6">
      <c r="B95" s="168" t="str">
        <f>IF(E94&gt;0.005,"July","")</f>
        <v/>
      </c>
      <c r="C95" s="160">
        <f t="shared" si="12"/>
        <v>0</v>
      </c>
      <c r="D95" s="160">
        <f t="shared" si="13"/>
        <v>0</v>
      </c>
      <c r="E95" s="160">
        <f t="shared" si="14"/>
        <v>0</v>
      </c>
      <c r="F95" s="169"/>
    </row>
    <row r="96" spans="2:6">
      <c r="B96" s="168" t="str">
        <f>IF(E95&gt;0.005,"August","")</f>
        <v/>
      </c>
      <c r="C96" s="160">
        <f t="shared" si="12"/>
        <v>0</v>
      </c>
      <c r="D96" s="160">
        <f t="shared" si="13"/>
        <v>0</v>
      </c>
      <c r="E96" s="160">
        <f t="shared" si="14"/>
        <v>0</v>
      </c>
      <c r="F96" s="169"/>
    </row>
    <row r="97" spans="2:6">
      <c r="B97" s="168" t="str">
        <f>IF(E96&gt;0.005,"September","")</f>
        <v/>
      </c>
      <c r="C97" s="160">
        <f t="shared" si="12"/>
        <v>0</v>
      </c>
      <c r="D97" s="160">
        <f t="shared" si="13"/>
        <v>0</v>
      </c>
      <c r="E97" s="160">
        <f t="shared" si="14"/>
        <v>0</v>
      </c>
      <c r="F97" s="169"/>
    </row>
    <row r="98" spans="2:6">
      <c r="B98" s="168" t="str">
        <f>IF(E97&gt;0.005,"October","")</f>
        <v/>
      </c>
      <c r="C98" s="160">
        <f t="shared" si="12"/>
        <v>0</v>
      </c>
      <c r="D98" s="160">
        <f t="shared" si="13"/>
        <v>0</v>
      </c>
      <c r="E98" s="160">
        <f t="shared" si="14"/>
        <v>0</v>
      </c>
      <c r="F98" s="169"/>
    </row>
    <row r="99" spans="2:6">
      <c r="B99" s="168" t="str">
        <f>IF(E98&gt;0.005,"November","")</f>
        <v/>
      </c>
      <c r="C99" s="160">
        <f t="shared" si="12"/>
        <v>0</v>
      </c>
      <c r="D99" s="160">
        <f t="shared" si="13"/>
        <v>0</v>
      </c>
      <c r="E99" s="160">
        <f t="shared" si="14"/>
        <v>0</v>
      </c>
      <c r="F99" s="169"/>
    </row>
    <row r="100" spans="2:6">
      <c r="B100" s="168" t="str">
        <f>IF(E99&gt;0.005,"December","")</f>
        <v/>
      </c>
      <c r="C100" s="160">
        <f t="shared" si="12"/>
        <v>0</v>
      </c>
      <c r="D100" s="160">
        <f t="shared" si="13"/>
        <v>0</v>
      </c>
      <c r="E100" s="160">
        <f t="shared" si="14"/>
        <v>0</v>
      </c>
      <c r="F100" s="169"/>
    </row>
    <row r="101" spans="2:6">
      <c r="B101" s="304" t="str">
        <f>"Total "&amp;YEAR($B$11)+5</f>
        <v>Total 2022</v>
      </c>
      <c r="C101" s="305">
        <f>SUM(C89:C100)</f>
        <v>0</v>
      </c>
      <c r="D101" s="305">
        <f>SUM(D89:D100)</f>
        <v>0</v>
      </c>
      <c r="E101" s="306"/>
      <c r="F101" s="170"/>
    </row>
    <row r="102" spans="2:6">
      <c r="B102" s="303"/>
      <c r="C102" s="17"/>
      <c r="D102" s="17"/>
      <c r="E102" s="17"/>
      <c r="F102" s="303"/>
    </row>
    <row r="103" spans="2:6">
      <c r="B103" s="163"/>
      <c r="C103" s="171" t="s">
        <v>62</v>
      </c>
      <c r="D103" s="171" t="s">
        <v>63</v>
      </c>
      <c r="E103" s="171" t="s">
        <v>64</v>
      </c>
      <c r="F103" s="165"/>
    </row>
    <row r="104" spans="2:6">
      <c r="B104" s="168" t="str">
        <f>IF(E100&gt;0.005,"January","")</f>
        <v/>
      </c>
      <c r="C104" s="160">
        <f>IF(E100&gt;0,ROUND(E100*($E$6/1200),2),0)</f>
        <v>0</v>
      </c>
      <c r="D104" s="160">
        <f>IF(E100&lt;$C$8,E100,$C$8-C104)</f>
        <v>0</v>
      </c>
      <c r="E104" s="160">
        <f>IF(E100-D104&gt;0,E100-D104,0)</f>
        <v>0</v>
      </c>
      <c r="F104" s="169"/>
    </row>
    <row r="105" spans="2:6">
      <c r="B105" s="168" t="str">
        <f>IF(E104&gt;0.005,"February","")</f>
        <v/>
      </c>
      <c r="C105" s="160">
        <f t="shared" ref="C105:C115" si="15">IF(E104&gt;0,ROUND(E104*($E$6/1200),2),0)</f>
        <v>0</v>
      </c>
      <c r="D105" s="160">
        <f t="shared" ref="D105:D115" si="16">IF(E104&lt;$C$8,E104,$C$8-C105)</f>
        <v>0</v>
      </c>
      <c r="E105" s="160">
        <f t="shared" ref="E105:E115" si="17">IF(E104-D105&gt;0,E104-D105,0)</f>
        <v>0</v>
      </c>
      <c r="F105" s="169"/>
    </row>
    <row r="106" spans="2:6">
      <c r="B106" s="168" t="str">
        <f>IF(E105&gt;0.005,"March","")</f>
        <v/>
      </c>
      <c r="C106" s="160">
        <f t="shared" si="15"/>
        <v>0</v>
      </c>
      <c r="D106" s="160">
        <f t="shared" si="16"/>
        <v>0</v>
      </c>
      <c r="E106" s="160">
        <f t="shared" si="17"/>
        <v>0</v>
      </c>
      <c r="F106" s="169"/>
    </row>
    <row r="107" spans="2:6">
      <c r="B107" s="168" t="str">
        <f>IF(E106&gt;0.005,"April","")</f>
        <v/>
      </c>
      <c r="C107" s="160">
        <f t="shared" si="15"/>
        <v>0</v>
      </c>
      <c r="D107" s="160">
        <f t="shared" si="16"/>
        <v>0</v>
      </c>
      <c r="E107" s="160">
        <f t="shared" si="17"/>
        <v>0</v>
      </c>
      <c r="F107" s="169"/>
    </row>
    <row r="108" spans="2:6">
      <c r="B108" s="168" t="str">
        <f>IF(E107&gt;0.005,"May","")</f>
        <v/>
      </c>
      <c r="C108" s="160">
        <f t="shared" si="15"/>
        <v>0</v>
      </c>
      <c r="D108" s="160">
        <f t="shared" si="16"/>
        <v>0</v>
      </c>
      <c r="E108" s="160">
        <f t="shared" si="17"/>
        <v>0</v>
      </c>
      <c r="F108" s="169"/>
    </row>
    <row r="109" spans="2:6">
      <c r="B109" s="168" t="str">
        <f>IF(E108&gt;0.005,"June","")</f>
        <v/>
      </c>
      <c r="C109" s="160">
        <f t="shared" si="15"/>
        <v>0</v>
      </c>
      <c r="D109" s="160">
        <f t="shared" si="16"/>
        <v>0</v>
      </c>
      <c r="E109" s="160">
        <f t="shared" si="17"/>
        <v>0</v>
      </c>
      <c r="F109" s="169"/>
    </row>
    <row r="110" spans="2:6">
      <c r="B110" s="168" t="str">
        <f>IF(E109&gt;0.005,"July","")</f>
        <v/>
      </c>
      <c r="C110" s="160">
        <f t="shared" si="15"/>
        <v>0</v>
      </c>
      <c r="D110" s="160">
        <f t="shared" si="16"/>
        <v>0</v>
      </c>
      <c r="E110" s="160">
        <f t="shared" si="17"/>
        <v>0</v>
      </c>
      <c r="F110" s="169"/>
    </row>
    <row r="111" spans="2:6">
      <c r="B111" s="168" t="str">
        <f>IF(E110&gt;0.005,"August","")</f>
        <v/>
      </c>
      <c r="C111" s="160">
        <f t="shared" si="15"/>
        <v>0</v>
      </c>
      <c r="D111" s="160">
        <f t="shared" si="16"/>
        <v>0</v>
      </c>
      <c r="E111" s="160">
        <f t="shared" si="17"/>
        <v>0</v>
      </c>
      <c r="F111" s="169"/>
    </row>
    <row r="112" spans="2:6">
      <c r="B112" s="168" t="str">
        <f>IF(E111&gt;0.005,"September","")</f>
        <v/>
      </c>
      <c r="C112" s="160">
        <f t="shared" si="15"/>
        <v>0</v>
      </c>
      <c r="D112" s="160">
        <f t="shared" si="16"/>
        <v>0</v>
      </c>
      <c r="E112" s="160">
        <f t="shared" si="17"/>
        <v>0</v>
      </c>
      <c r="F112" s="169"/>
    </row>
    <row r="113" spans="2:6">
      <c r="B113" s="168" t="str">
        <f>IF(E112&gt;0.005,"October","")</f>
        <v/>
      </c>
      <c r="C113" s="160">
        <f t="shared" si="15"/>
        <v>0</v>
      </c>
      <c r="D113" s="160">
        <f t="shared" si="16"/>
        <v>0</v>
      </c>
      <c r="E113" s="160">
        <f t="shared" si="17"/>
        <v>0</v>
      </c>
      <c r="F113" s="169"/>
    </row>
    <row r="114" spans="2:6">
      <c r="B114" s="168" t="str">
        <f>IF(E113&gt;0.005,"November","")</f>
        <v/>
      </c>
      <c r="C114" s="160">
        <f t="shared" si="15"/>
        <v>0</v>
      </c>
      <c r="D114" s="160">
        <f t="shared" si="16"/>
        <v>0</v>
      </c>
      <c r="E114" s="160">
        <f t="shared" si="17"/>
        <v>0</v>
      </c>
      <c r="F114" s="169"/>
    </row>
    <row r="115" spans="2:6">
      <c r="B115" s="168" t="str">
        <f>IF(E114&gt;0.005,"December","")</f>
        <v/>
      </c>
      <c r="C115" s="160">
        <f t="shared" si="15"/>
        <v>0</v>
      </c>
      <c r="D115" s="160">
        <f t="shared" si="16"/>
        <v>0</v>
      </c>
      <c r="E115" s="160">
        <f t="shared" si="17"/>
        <v>0</v>
      </c>
      <c r="F115" s="169"/>
    </row>
    <row r="116" spans="2:6">
      <c r="B116" s="304" t="str">
        <f>"Total "&amp;YEAR($B$11)+6</f>
        <v>Total 2023</v>
      </c>
      <c r="C116" s="305">
        <f>SUM(C104:C115)</f>
        <v>0</v>
      </c>
      <c r="D116" s="305">
        <f>SUM(D104:D115)</f>
        <v>0</v>
      </c>
      <c r="E116" s="306"/>
      <c r="F116" s="170"/>
    </row>
    <row r="117" spans="2:6">
      <c r="B117" s="303"/>
      <c r="C117" s="17"/>
      <c r="D117" s="17"/>
      <c r="E117" s="17"/>
      <c r="F117" s="303"/>
    </row>
    <row r="118" spans="2:6">
      <c r="B118" s="163"/>
      <c r="C118" s="171" t="s">
        <v>62</v>
      </c>
      <c r="D118" s="171" t="s">
        <v>63</v>
      </c>
      <c r="E118" s="171" t="s">
        <v>64</v>
      </c>
      <c r="F118" s="165"/>
    </row>
    <row r="119" spans="2:6">
      <c r="B119" s="168" t="str">
        <f>IF(E115&gt;0.005,"January","")</f>
        <v/>
      </c>
      <c r="C119" s="160">
        <f>IF(E115&gt;0,ROUND(E115*($E$6/1200),2),0)</f>
        <v>0</v>
      </c>
      <c r="D119" s="160">
        <f>IF(E115&lt;$C$8,E115,$C$8-C119)</f>
        <v>0</v>
      </c>
      <c r="E119" s="160">
        <f>IF(E115-D119&gt;0,E115-D119,0)</f>
        <v>0</v>
      </c>
      <c r="F119" s="169"/>
    </row>
    <row r="120" spans="2:6">
      <c r="B120" s="168" t="str">
        <f>IF(E119&gt;0.005,"February","")</f>
        <v/>
      </c>
      <c r="C120" s="160">
        <f t="shared" ref="C120:C130" si="18">IF(E119&gt;0,ROUND(E119*($E$6/1200),2),0)</f>
        <v>0</v>
      </c>
      <c r="D120" s="160">
        <f t="shared" ref="D120:D130" si="19">IF(E119&lt;$C$8,E119,$C$8-C120)</f>
        <v>0</v>
      </c>
      <c r="E120" s="160">
        <f t="shared" ref="E120:E130" si="20">IF(E119-D120&gt;0,E119-D120,0)</f>
        <v>0</v>
      </c>
      <c r="F120" s="169"/>
    </row>
    <row r="121" spans="2:6">
      <c r="B121" s="168" t="str">
        <f>IF(E120&gt;0.005,"March","")</f>
        <v/>
      </c>
      <c r="C121" s="160">
        <f t="shared" si="18"/>
        <v>0</v>
      </c>
      <c r="D121" s="160">
        <f t="shared" si="19"/>
        <v>0</v>
      </c>
      <c r="E121" s="160">
        <f t="shared" si="20"/>
        <v>0</v>
      </c>
      <c r="F121" s="169"/>
    </row>
    <row r="122" spans="2:6">
      <c r="B122" s="168" t="str">
        <f>IF(E121&gt;0.005,"April","")</f>
        <v/>
      </c>
      <c r="C122" s="160">
        <f t="shared" si="18"/>
        <v>0</v>
      </c>
      <c r="D122" s="160">
        <f t="shared" si="19"/>
        <v>0</v>
      </c>
      <c r="E122" s="160">
        <f t="shared" si="20"/>
        <v>0</v>
      </c>
      <c r="F122" s="169"/>
    </row>
    <row r="123" spans="2:6">
      <c r="B123" s="168" t="str">
        <f>IF(E122&gt;0.005,"May","")</f>
        <v/>
      </c>
      <c r="C123" s="160">
        <f t="shared" si="18"/>
        <v>0</v>
      </c>
      <c r="D123" s="160">
        <f t="shared" si="19"/>
        <v>0</v>
      </c>
      <c r="E123" s="160">
        <f t="shared" si="20"/>
        <v>0</v>
      </c>
      <c r="F123" s="169"/>
    </row>
    <row r="124" spans="2:6">
      <c r="B124" s="168" t="str">
        <f>IF(E123&gt;0.005,"June","")</f>
        <v/>
      </c>
      <c r="C124" s="160">
        <f t="shared" si="18"/>
        <v>0</v>
      </c>
      <c r="D124" s="160">
        <f t="shared" si="19"/>
        <v>0</v>
      </c>
      <c r="E124" s="160">
        <f t="shared" si="20"/>
        <v>0</v>
      </c>
      <c r="F124" s="169"/>
    </row>
    <row r="125" spans="2:6">
      <c r="B125" s="168" t="str">
        <f>IF(E124&gt;0.005,"July","")</f>
        <v/>
      </c>
      <c r="C125" s="160">
        <f t="shared" si="18"/>
        <v>0</v>
      </c>
      <c r="D125" s="160">
        <f t="shared" si="19"/>
        <v>0</v>
      </c>
      <c r="E125" s="160">
        <f t="shared" si="20"/>
        <v>0</v>
      </c>
      <c r="F125" s="169"/>
    </row>
    <row r="126" spans="2:6">
      <c r="B126" s="168" t="str">
        <f>IF(E125&gt;0.005,"August","")</f>
        <v/>
      </c>
      <c r="C126" s="160">
        <f t="shared" si="18"/>
        <v>0</v>
      </c>
      <c r="D126" s="160">
        <f t="shared" si="19"/>
        <v>0</v>
      </c>
      <c r="E126" s="160">
        <f t="shared" si="20"/>
        <v>0</v>
      </c>
      <c r="F126" s="169"/>
    </row>
    <row r="127" spans="2:6">
      <c r="B127" s="168" t="str">
        <f>IF(E126&gt;0.005,"September","")</f>
        <v/>
      </c>
      <c r="C127" s="160">
        <f t="shared" si="18"/>
        <v>0</v>
      </c>
      <c r="D127" s="160">
        <f t="shared" si="19"/>
        <v>0</v>
      </c>
      <c r="E127" s="160">
        <f t="shared" si="20"/>
        <v>0</v>
      </c>
      <c r="F127" s="169"/>
    </row>
    <row r="128" spans="2:6">
      <c r="B128" s="168" t="str">
        <f>IF(E127&gt;0.005,"October","")</f>
        <v/>
      </c>
      <c r="C128" s="160">
        <f t="shared" si="18"/>
        <v>0</v>
      </c>
      <c r="D128" s="160">
        <f t="shared" si="19"/>
        <v>0</v>
      </c>
      <c r="E128" s="160">
        <f t="shared" si="20"/>
        <v>0</v>
      </c>
      <c r="F128" s="169"/>
    </row>
    <row r="129" spans="2:6">
      <c r="B129" s="168" t="str">
        <f>IF(E128&gt;0.005,"November","")</f>
        <v/>
      </c>
      <c r="C129" s="160">
        <f t="shared" si="18"/>
        <v>0</v>
      </c>
      <c r="D129" s="160">
        <f t="shared" si="19"/>
        <v>0</v>
      </c>
      <c r="E129" s="160">
        <f t="shared" si="20"/>
        <v>0</v>
      </c>
      <c r="F129" s="169"/>
    </row>
    <row r="130" spans="2:6">
      <c r="B130" s="168" t="str">
        <f>IF(E129&gt;0.005,"December","")</f>
        <v/>
      </c>
      <c r="C130" s="160">
        <f t="shared" si="18"/>
        <v>0</v>
      </c>
      <c r="D130" s="160">
        <f t="shared" si="19"/>
        <v>0</v>
      </c>
      <c r="E130" s="160">
        <f t="shared" si="20"/>
        <v>0</v>
      </c>
      <c r="F130" s="169"/>
    </row>
    <row r="131" spans="2:6">
      <c r="B131" s="304" t="str">
        <f>"Total "&amp;YEAR($B$11)+7</f>
        <v>Total 2024</v>
      </c>
      <c r="C131" s="305">
        <f>SUM(C119:C130)</f>
        <v>0</v>
      </c>
      <c r="D131" s="305">
        <f>SUM(D119:D130)</f>
        <v>0</v>
      </c>
      <c r="E131" s="306"/>
      <c r="F131" s="170"/>
    </row>
    <row r="132" spans="2:6">
      <c r="B132" s="9"/>
      <c r="C132" s="18"/>
      <c r="D132" s="18"/>
      <c r="E132" s="17"/>
      <c r="F132" s="303"/>
    </row>
    <row r="133" spans="2:6">
      <c r="B133" s="163"/>
      <c r="C133" s="171" t="s">
        <v>62</v>
      </c>
      <c r="D133" s="171" t="s">
        <v>63</v>
      </c>
      <c r="E133" s="171" t="s">
        <v>64</v>
      </c>
      <c r="F133" s="165"/>
    </row>
    <row r="134" spans="2:6">
      <c r="B134" s="168" t="str">
        <f>IF(E130&gt;0.005,"January","")</f>
        <v/>
      </c>
      <c r="C134" s="160">
        <f>IF(E130&gt;0,ROUND(E130*($E$6/1200),2),0)</f>
        <v>0</v>
      </c>
      <c r="D134" s="160">
        <f>IF(E130&lt;$C$8,E130,$C$8-C134)</f>
        <v>0</v>
      </c>
      <c r="E134" s="160">
        <f>IF(E130-D134&gt;0,E130-D134,0)</f>
        <v>0</v>
      </c>
      <c r="F134" s="169"/>
    </row>
    <row r="135" spans="2:6">
      <c r="B135" s="168" t="str">
        <f>IF(E134&gt;0.005,"February","")</f>
        <v/>
      </c>
      <c r="C135" s="160">
        <f t="shared" ref="C135:C145" si="21">IF(E134&gt;0,ROUND(E134*($E$6/1200),2),0)</f>
        <v>0</v>
      </c>
      <c r="D135" s="160">
        <f t="shared" ref="D135:D145" si="22">IF(E134&lt;$C$8,E134,$C$8-C135)</f>
        <v>0</v>
      </c>
      <c r="E135" s="160">
        <f t="shared" ref="E135:E145" si="23">IF(E134-D135&gt;0,E134-D135,0)</f>
        <v>0</v>
      </c>
      <c r="F135" s="169"/>
    </row>
    <row r="136" spans="2:6">
      <c r="B136" s="168" t="str">
        <f>IF(E135&gt;0.005,"March","")</f>
        <v/>
      </c>
      <c r="C136" s="160">
        <f t="shared" si="21"/>
        <v>0</v>
      </c>
      <c r="D136" s="160">
        <f t="shared" si="22"/>
        <v>0</v>
      </c>
      <c r="E136" s="160">
        <f t="shared" si="23"/>
        <v>0</v>
      </c>
      <c r="F136" s="169"/>
    </row>
    <row r="137" spans="2:6">
      <c r="B137" s="168" t="str">
        <f>IF(E136&gt;0.005,"April","")</f>
        <v/>
      </c>
      <c r="C137" s="160">
        <f t="shared" si="21"/>
        <v>0</v>
      </c>
      <c r="D137" s="160">
        <f t="shared" si="22"/>
        <v>0</v>
      </c>
      <c r="E137" s="160">
        <f t="shared" si="23"/>
        <v>0</v>
      </c>
      <c r="F137" s="169"/>
    </row>
    <row r="138" spans="2:6">
      <c r="B138" s="168" t="str">
        <f>IF(E137&gt;0.005,"May","")</f>
        <v/>
      </c>
      <c r="C138" s="160">
        <f t="shared" si="21"/>
        <v>0</v>
      </c>
      <c r="D138" s="160">
        <f t="shared" si="22"/>
        <v>0</v>
      </c>
      <c r="E138" s="160">
        <f t="shared" si="23"/>
        <v>0</v>
      </c>
      <c r="F138" s="169"/>
    </row>
    <row r="139" spans="2:6">
      <c r="B139" s="168" t="str">
        <f>IF(E138&gt;0.005,"June","")</f>
        <v/>
      </c>
      <c r="C139" s="160">
        <f t="shared" si="21"/>
        <v>0</v>
      </c>
      <c r="D139" s="160">
        <f t="shared" si="22"/>
        <v>0</v>
      </c>
      <c r="E139" s="160">
        <f t="shared" si="23"/>
        <v>0</v>
      </c>
      <c r="F139" s="169"/>
    </row>
    <row r="140" spans="2:6">
      <c r="B140" s="168" t="str">
        <f>IF(E139&gt;0.005,"July","")</f>
        <v/>
      </c>
      <c r="C140" s="160">
        <f t="shared" si="21"/>
        <v>0</v>
      </c>
      <c r="D140" s="160">
        <f t="shared" si="22"/>
        <v>0</v>
      </c>
      <c r="E140" s="160">
        <f t="shared" si="23"/>
        <v>0</v>
      </c>
      <c r="F140" s="169"/>
    </row>
    <row r="141" spans="2:6">
      <c r="B141" s="168" t="str">
        <f>IF(E140&gt;0.005,"August","")</f>
        <v/>
      </c>
      <c r="C141" s="160">
        <f t="shared" si="21"/>
        <v>0</v>
      </c>
      <c r="D141" s="160">
        <f t="shared" si="22"/>
        <v>0</v>
      </c>
      <c r="E141" s="160">
        <f t="shared" si="23"/>
        <v>0</v>
      </c>
      <c r="F141" s="169"/>
    </row>
    <row r="142" spans="2:6">
      <c r="B142" s="168" t="str">
        <f>IF(E141&gt;0.005,"September","")</f>
        <v/>
      </c>
      <c r="C142" s="160">
        <f t="shared" si="21"/>
        <v>0</v>
      </c>
      <c r="D142" s="160">
        <f t="shared" si="22"/>
        <v>0</v>
      </c>
      <c r="E142" s="160">
        <f t="shared" si="23"/>
        <v>0</v>
      </c>
      <c r="F142" s="169"/>
    </row>
    <row r="143" spans="2:6">
      <c r="B143" s="168" t="str">
        <f>IF(E142&gt;0.005,"October","")</f>
        <v/>
      </c>
      <c r="C143" s="160">
        <f t="shared" si="21"/>
        <v>0</v>
      </c>
      <c r="D143" s="160">
        <f t="shared" si="22"/>
        <v>0</v>
      </c>
      <c r="E143" s="160">
        <f t="shared" si="23"/>
        <v>0</v>
      </c>
      <c r="F143" s="169"/>
    </row>
    <row r="144" spans="2:6">
      <c r="B144" s="168" t="str">
        <f>IF(E143&gt;0.005,"November","")</f>
        <v/>
      </c>
      <c r="C144" s="160">
        <f t="shared" si="21"/>
        <v>0</v>
      </c>
      <c r="D144" s="160">
        <f t="shared" si="22"/>
        <v>0</v>
      </c>
      <c r="E144" s="160">
        <f t="shared" si="23"/>
        <v>0</v>
      </c>
      <c r="F144" s="169"/>
    </row>
    <row r="145" spans="2:6">
      <c r="B145" s="168" t="str">
        <f>IF(E144&gt;0.005,"December","")</f>
        <v/>
      </c>
      <c r="C145" s="160">
        <f t="shared" si="21"/>
        <v>0</v>
      </c>
      <c r="D145" s="160">
        <f t="shared" si="22"/>
        <v>0</v>
      </c>
      <c r="E145" s="160">
        <f t="shared" si="23"/>
        <v>0</v>
      </c>
      <c r="F145" s="169"/>
    </row>
    <row r="146" spans="2:6">
      <c r="B146" s="304" t="str">
        <f>"Total "&amp;YEAR($B$11)+8</f>
        <v>Total 2025</v>
      </c>
      <c r="C146" s="305">
        <f>SUM(C134:C145)</f>
        <v>0</v>
      </c>
      <c r="D146" s="305">
        <f>SUM(D134:D145)</f>
        <v>0</v>
      </c>
      <c r="E146" s="306"/>
      <c r="F146" s="170"/>
    </row>
    <row r="147" spans="2:6">
      <c r="B147" s="303"/>
      <c r="C147" s="17"/>
      <c r="D147" s="17"/>
      <c r="E147" s="17"/>
      <c r="F147" s="303"/>
    </row>
    <row r="148" spans="2:6">
      <c r="B148" s="163"/>
      <c r="C148" s="171" t="s">
        <v>62</v>
      </c>
      <c r="D148" s="171" t="s">
        <v>63</v>
      </c>
      <c r="E148" s="171" t="s">
        <v>64</v>
      </c>
      <c r="F148" s="165"/>
    </row>
    <row r="149" spans="2:6">
      <c r="B149" s="168" t="str">
        <f>IF(E145&gt;0.005,"January","")</f>
        <v/>
      </c>
      <c r="C149" s="160">
        <f>IF(E145&gt;0,ROUND(E145*($E$6/1200),2),0)</f>
        <v>0</v>
      </c>
      <c r="D149" s="160">
        <f>IF(E145&lt;$C$8,E145,$C$8-C149)</f>
        <v>0</v>
      </c>
      <c r="E149" s="160">
        <f>IF(E145-D149&gt;0,E145-D149,0)</f>
        <v>0</v>
      </c>
      <c r="F149" s="169"/>
    </row>
    <row r="150" spans="2:6">
      <c r="B150" s="168" t="str">
        <f>IF(E149&gt;0.005,"February","")</f>
        <v/>
      </c>
      <c r="C150" s="160">
        <f t="shared" ref="C150:C160" si="24">IF(E149&gt;0,ROUND(E149*($E$6/1200),2),0)</f>
        <v>0</v>
      </c>
      <c r="D150" s="160">
        <f t="shared" ref="D150:D160" si="25">IF(E149&lt;$C$8,E149,$C$8-C150)</f>
        <v>0</v>
      </c>
      <c r="E150" s="160">
        <f t="shared" ref="E150:E160" si="26">IF(E149-D150&gt;0,E149-D150,0)</f>
        <v>0</v>
      </c>
      <c r="F150" s="169"/>
    </row>
    <row r="151" spans="2:6">
      <c r="B151" s="168" t="str">
        <f>IF(E150&gt;0.005,"March","")</f>
        <v/>
      </c>
      <c r="C151" s="160">
        <f t="shared" si="24"/>
        <v>0</v>
      </c>
      <c r="D151" s="160">
        <f t="shared" si="25"/>
        <v>0</v>
      </c>
      <c r="E151" s="160">
        <f t="shared" si="26"/>
        <v>0</v>
      </c>
      <c r="F151" s="169"/>
    </row>
    <row r="152" spans="2:6">
      <c r="B152" s="168" t="str">
        <f>IF(E151&gt;0.005,"April","")</f>
        <v/>
      </c>
      <c r="C152" s="160">
        <f t="shared" si="24"/>
        <v>0</v>
      </c>
      <c r="D152" s="160">
        <f t="shared" si="25"/>
        <v>0</v>
      </c>
      <c r="E152" s="160">
        <f t="shared" si="26"/>
        <v>0</v>
      </c>
      <c r="F152" s="169"/>
    </row>
    <row r="153" spans="2:6">
      <c r="B153" s="168" t="str">
        <f>IF(E152&gt;0.005,"May","")</f>
        <v/>
      </c>
      <c r="C153" s="160">
        <f t="shared" si="24"/>
        <v>0</v>
      </c>
      <c r="D153" s="160">
        <f t="shared" si="25"/>
        <v>0</v>
      </c>
      <c r="E153" s="160">
        <f t="shared" si="26"/>
        <v>0</v>
      </c>
      <c r="F153" s="169"/>
    </row>
    <row r="154" spans="2:6">
      <c r="B154" s="168" t="str">
        <f>IF(E153&gt;0.005,"June","")</f>
        <v/>
      </c>
      <c r="C154" s="160">
        <f t="shared" si="24"/>
        <v>0</v>
      </c>
      <c r="D154" s="160">
        <f t="shared" si="25"/>
        <v>0</v>
      </c>
      <c r="E154" s="160">
        <f t="shared" si="26"/>
        <v>0</v>
      </c>
      <c r="F154" s="169"/>
    </row>
    <row r="155" spans="2:6">
      <c r="B155" s="168" t="str">
        <f>IF(E154&gt;0.005,"July","")</f>
        <v/>
      </c>
      <c r="C155" s="160">
        <f t="shared" si="24"/>
        <v>0</v>
      </c>
      <c r="D155" s="160">
        <f t="shared" si="25"/>
        <v>0</v>
      </c>
      <c r="E155" s="160">
        <f t="shared" si="26"/>
        <v>0</v>
      </c>
      <c r="F155" s="169"/>
    </row>
    <row r="156" spans="2:6">
      <c r="B156" s="168" t="str">
        <f>IF(E155&gt;0.005,"August","")</f>
        <v/>
      </c>
      <c r="C156" s="160">
        <f t="shared" si="24"/>
        <v>0</v>
      </c>
      <c r="D156" s="160">
        <f t="shared" si="25"/>
        <v>0</v>
      </c>
      <c r="E156" s="160">
        <f t="shared" si="26"/>
        <v>0</v>
      </c>
      <c r="F156" s="169"/>
    </row>
    <row r="157" spans="2:6">
      <c r="B157" s="168" t="str">
        <f>IF(E156&gt;0.005,"September","")</f>
        <v/>
      </c>
      <c r="C157" s="160">
        <f t="shared" si="24"/>
        <v>0</v>
      </c>
      <c r="D157" s="160">
        <f t="shared" si="25"/>
        <v>0</v>
      </c>
      <c r="E157" s="160">
        <f t="shared" si="26"/>
        <v>0</v>
      </c>
      <c r="F157" s="169"/>
    </row>
    <row r="158" spans="2:6">
      <c r="B158" s="168" t="str">
        <f>IF(E157&gt;0.005,"October","")</f>
        <v/>
      </c>
      <c r="C158" s="160">
        <f t="shared" si="24"/>
        <v>0</v>
      </c>
      <c r="D158" s="160">
        <f t="shared" si="25"/>
        <v>0</v>
      </c>
      <c r="E158" s="160">
        <f t="shared" si="26"/>
        <v>0</v>
      </c>
      <c r="F158" s="169"/>
    </row>
    <row r="159" spans="2:6">
      <c r="B159" s="168" t="str">
        <f>IF(E158&gt;0.005,"November","")</f>
        <v/>
      </c>
      <c r="C159" s="160">
        <f t="shared" si="24"/>
        <v>0</v>
      </c>
      <c r="D159" s="160">
        <f t="shared" si="25"/>
        <v>0</v>
      </c>
      <c r="E159" s="160">
        <f t="shared" si="26"/>
        <v>0</v>
      </c>
      <c r="F159" s="169"/>
    </row>
    <row r="160" spans="2:6">
      <c r="B160" s="168" t="str">
        <f>IF(E159&gt;0.005,"December","")</f>
        <v/>
      </c>
      <c r="C160" s="160">
        <f t="shared" si="24"/>
        <v>0</v>
      </c>
      <c r="D160" s="160">
        <f t="shared" si="25"/>
        <v>0</v>
      </c>
      <c r="E160" s="160">
        <f t="shared" si="26"/>
        <v>0</v>
      </c>
      <c r="F160" s="169"/>
    </row>
    <row r="161" spans="2:6">
      <c r="B161" s="304" t="str">
        <f>"Total "&amp;YEAR($B$11)+9</f>
        <v>Total 2026</v>
      </c>
      <c r="C161" s="305">
        <f>SUM(C149:C160)</f>
        <v>0</v>
      </c>
      <c r="D161" s="305">
        <f>SUM(D149:D160)</f>
        <v>0</v>
      </c>
      <c r="E161" s="306"/>
      <c r="F161" s="170"/>
    </row>
    <row r="162" spans="2:6">
      <c r="B162" s="303"/>
      <c r="C162" s="17"/>
      <c r="D162" s="17"/>
      <c r="E162" s="17"/>
      <c r="F162" s="303"/>
    </row>
    <row r="163" spans="2:6">
      <c r="B163" s="163"/>
      <c r="C163" s="171" t="s">
        <v>62</v>
      </c>
      <c r="D163" s="171" t="s">
        <v>63</v>
      </c>
      <c r="E163" s="171" t="s">
        <v>64</v>
      </c>
      <c r="F163" s="165"/>
    </row>
    <row r="164" spans="2:6">
      <c r="B164" s="168" t="str">
        <f>IF(E160&gt;0.005,"January","")</f>
        <v/>
      </c>
      <c r="C164" s="160">
        <f>IF(E160&gt;0,ROUND(E160*($E$6/1200),2),0)</f>
        <v>0</v>
      </c>
      <c r="D164" s="160">
        <f>IF(E160&lt;$C$8,E160,$C$8-C164)</f>
        <v>0</v>
      </c>
      <c r="E164" s="160">
        <f>IF(E160-D164&gt;0,E160-D164,0)</f>
        <v>0</v>
      </c>
      <c r="F164" s="169"/>
    </row>
    <row r="165" spans="2:6">
      <c r="B165" s="168" t="str">
        <f>IF(E164&gt;0.005,"February","")</f>
        <v/>
      </c>
      <c r="C165" s="160">
        <f t="shared" ref="C165:C175" si="27">IF(E164&gt;0,ROUND(E164*($E$6/1200),2),0)</f>
        <v>0</v>
      </c>
      <c r="D165" s="160">
        <f t="shared" ref="D165:D175" si="28">IF(E164&lt;$C$8,E164,$C$8-C165)</f>
        <v>0</v>
      </c>
      <c r="E165" s="160">
        <f t="shared" ref="E165:E175" si="29">IF(E164-D165&gt;0,E164-D165,0)</f>
        <v>0</v>
      </c>
      <c r="F165" s="169"/>
    </row>
    <row r="166" spans="2:6">
      <c r="B166" s="168" t="str">
        <f>IF(E165&gt;0.005,"March","")</f>
        <v/>
      </c>
      <c r="C166" s="160">
        <f t="shared" si="27"/>
        <v>0</v>
      </c>
      <c r="D166" s="160">
        <f t="shared" si="28"/>
        <v>0</v>
      </c>
      <c r="E166" s="160">
        <f t="shared" si="29"/>
        <v>0</v>
      </c>
      <c r="F166" s="169"/>
    </row>
    <row r="167" spans="2:6">
      <c r="B167" s="168" t="str">
        <f>IF(E166&gt;0.005,"April","")</f>
        <v/>
      </c>
      <c r="C167" s="160">
        <f t="shared" si="27"/>
        <v>0</v>
      </c>
      <c r="D167" s="160">
        <f t="shared" si="28"/>
        <v>0</v>
      </c>
      <c r="E167" s="160">
        <f t="shared" si="29"/>
        <v>0</v>
      </c>
      <c r="F167" s="169"/>
    </row>
    <row r="168" spans="2:6">
      <c r="B168" s="168" t="str">
        <f>IF(E167&gt;0.005,"May","")</f>
        <v/>
      </c>
      <c r="C168" s="160">
        <f t="shared" si="27"/>
        <v>0</v>
      </c>
      <c r="D168" s="160">
        <f t="shared" si="28"/>
        <v>0</v>
      </c>
      <c r="E168" s="160">
        <f t="shared" si="29"/>
        <v>0</v>
      </c>
      <c r="F168" s="169"/>
    </row>
    <row r="169" spans="2:6">
      <c r="B169" s="168" t="str">
        <f>IF(E168&gt;0.005,"June","")</f>
        <v/>
      </c>
      <c r="C169" s="160">
        <f t="shared" si="27"/>
        <v>0</v>
      </c>
      <c r="D169" s="160">
        <f t="shared" si="28"/>
        <v>0</v>
      </c>
      <c r="E169" s="160">
        <f t="shared" si="29"/>
        <v>0</v>
      </c>
      <c r="F169" s="169"/>
    </row>
    <row r="170" spans="2:6">
      <c r="B170" s="168" t="str">
        <f>IF(E169&gt;0.005,"July","")</f>
        <v/>
      </c>
      <c r="C170" s="160">
        <f t="shared" si="27"/>
        <v>0</v>
      </c>
      <c r="D170" s="160">
        <f t="shared" si="28"/>
        <v>0</v>
      </c>
      <c r="E170" s="160">
        <f t="shared" si="29"/>
        <v>0</v>
      </c>
      <c r="F170" s="169"/>
    </row>
    <row r="171" spans="2:6">
      <c r="B171" s="168" t="str">
        <f>IF(E170&gt;0.005,"August","")</f>
        <v/>
      </c>
      <c r="C171" s="160">
        <f t="shared" si="27"/>
        <v>0</v>
      </c>
      <c r="D171" s="160">
        <f t="shared" si="28"/>
        <v>0</v>
      </c>
      <c r="E171" s="160">
        <f t="shared" si="29"/>
        <v>0</v>
      </c>
      <c r="F171" s="169"/>
    </row>
    <row r="172" spans="2:6">
      <c r="B172" s="168" t="str">
        <f>IF(E171&gt;0.005,"September","")</f>
        <v/>
      </c>
      <c r="C172" s="160">
        <f t="shared" si="27"/>
        <v>0</v>
      </c>
      <c r="D172" s="160">
        <f t="shared" si="28"/>
        <v>0</v>
      </c>
      <c r="E172" s="160">
        <f t="shared" si="29"/>
        <v>0</v>
      </c>
      <c r="F172" s="169"/>
    </row>
    <row r="173" spans="2:6">
      <c r="B173" s="168" t="str">
        <f>IF(E172&gt;0.005,"October","")</f>
        <v/>
      </c>
      <c r="C173" s="160">
        <f t="shared" si="27"/>
        <v>0</v>
      </c>
      <c r="D173" s="160">
        <f t="shared" si="28"/>
        <v>0</v>
      </c>
      <c r="E173" s="160">
        <f t="shared" si="29"/>
        <v>0</v>
      </c>
      <c r="F173" s="169"/>
    </row>
    <row r="174" spans="2:6">
      <c r="B174" s="168" t="str">
        <f>IF(E173&gt;0.005,"November","")</f>
        <v/>
      </c>
      <c r="C174" s="160">
        <f t="shared" si="27"/>
        <v>0</v>
      </c>
      <c r="D174" s="160">
        <f t="shared" si="28"/>
        <v>0</v>
      </c>
      <c r="E174" s="160">
        <f t="shared" si="29"/>
        <v>0</v>
      </c>
      <c r="F174" s="169"/>
    </row>
    <row r="175" spans="2:6">
      <c r="B175" s="168" t="str">
        <f>IF(E174&gt;0.005,"December","")</f>
        <v/>
      </c>
      <c r="C175" s="160">
        <f t="shared" si="27"/>
        <v>0</v>
      </c>
      <c r="D175" s="160">
        <f t="shared" si="28"/>
        <v>0</v>
      </c>
      <c r="E175" s="160">
        <f t="shared" si="29"/>
        <v>0</v>
      </c>
      <c r="F175" s="169"/>
    </row>
    <row r="176" spans="2:6">
      <c r="B176" s="304" t="str">
        <f>"Total "&amp;YEAR($B$11)+10</f>
        <v>Total 2027</v>
      </c>
      <c r="C176" s="305">
        <f>SUM(C164:C175)</f>
        <v>0</v>
      </c>
      <c r="D176" s="305">
        <f>SUM(D164:D175)</f>
        <v>0</v>
      </c>
      <c r="E176" s="306"/>
      <c r="F176" s="170"/>
    </row>
    <row r="177" spans="2:6">
      <c r="B177" s="9"/>
      <c r="C177" s="18"/>
      <c r="D177" s="18"/>
      <c r="E177" s="17"/>
      <c r="F177" s="303"/>
    </row>
    <row r="178" spans="2:6">
      <c r="B178" s="163"/>
      <c r="C178" s="171" t="s">
        <v>62</v>
      </c>
      <c r="D178" s="171" t="s">
        <v>63</v>
      </c>
      <c r="E178" s="171" t="s">
        <v>64</v>
      </c>
      <c r="F178" s="165"/>
    </row>
    <row r="179" spans="2:6">
      <c r="B179" s="168" t="str">
        <f>IF(E175&gt;0.005,"January","")</f>
        <v/>
      </c>
      <c r="C179" s="160">
        <f>IF(E175&gt;0,ROUND(E175*($E$6/1200),2),0)</f>
        <v>0</v>
      </c>
      <c r="D179" s="160">
        <f>IF(E175&lt;$C$8,E175,$C$8-C179)</f>
        <v>0</v>
      </c>
      <c r="E179" s="160">
        <f>IF(E175-D179&gt;0,E175-D179,0)</f>
        <v>0</v>
      </c>
      <c r="F179" s="169"/>
    </row>
    <row r="180" spans="2:6">
      <c r="B180" s="168" t="str">
        <f>IF(E179&gt;0.005,"February","")</f>
        <v/>
      </c>
      <c r="C180" s="160">
        <f t="shared" ref="C180:C190" si="30">IF(E179&gt;0,ROUND(E179*($E$6/1200),2),0)</f>
        <v>0</v>
      </c>
      <c r="D180" s="160">
        <f t="shared" ref="D180:D190" si="31">IF(E179&lt;$C$8,E179,$C$8-C180)</f>
        <v>0</v>
      </c>
      <c r="E180" s="160">
        <f t="shared" ref="E180:E190" si="32">IF(E179-D180&gt;0,E179-D180,0)</f>
        <v>0</v>
      </c>
      <c r="F180" s="169"/>
    </row>
    <row r="181" spans="2:6">
      <c r="B181" s="168" t="str">
        <f>IF(E180&gt;0.005,"March","")</f>
        <v/>
      </c>
      <c r="C181" s="160">
        <f t="shared" si="30"/>
        <v>0</v>
      </c>
      <c r="D181" s="160">
        <f t="shared" si="31"/>
        <v>0</v>
      </c>
      <c r="E181" s="160">
        <f t="shared" si="32"/>
        <v>0</v>
      </c>
      <c r="F181" s="169"/>
    </row>
    <row r="182" spans="2:6">
      <c r="B182" s="168" t="str">
        <f>IF(E181&gt;0.005,"April","")</f>
        <v/>
      </c>
      <c r="C182" s="160">
        <f t="shared" si="30"/>
        <v>0</v>
      </c>
      <c r="D182" s="160">
        <f t="shared" si="31"/>
        <v>0</v>
      </c>
      <c r="E182" s="160">
        <f t="shared" si="32"/>
        <v>0</v>
      </c>
      <c r="F182" s="169"/>
    </row>
    <row r="183" spans="2:6">
      <c r="B183" s="168" t="str">
        <f>IF(E182&gt;0.005,"May","")</f>
        <v/>
      </c>
      <c r="C183" s="160">
        <f t="shared" si="30"/>
        <v>0</v>
      </c>
      <c r="D183" s="160">
        <f t="shared" si="31"/>
        <v>0</v>
      </c>
      <c r="E183" s="160">
        <f t="shared" si="32"/>
        <v>0</v>
      </c>
      <c r="F183" s="169"/>
    </row>
    <row r="184" spans="2:6">
      <c r="B184" s="168" t="str">
        <f>IF(E183&gt;0.005,"June","")</f>
        <v/>
      </c>
      <c r="C184" s="160">
        <f t="shared" si="30"/>
        <v>0</v>
      </c>
      <c r="D184" s="160">
        <f t="shared" si="31"/>
        <v>0</v>
      </c>
      <c r="E184" s="160">
        <f t="shared" si="32"/>
        <v>0</v>
      </c>
      <c r="F184" s="169"/>
    </row>
    <row r="185" spans="2:6">
      <c r="B185" s="168" t="str">
        <f>IF(E184&gt;0.005,"July","")</f>
        <v/>
      </c>
      <c r="C185" s="160">
        <f t="shared" si="30"/>
        <v>0</v>
      </c>
      <c r="D185" s="160">
        <f t="shared" si="31"/>
        <v>0</v>
      </c>
      <c r="E185" s="160">
        <f t="shared" si="32"/>
        <v>0</v>
      </c>
      <c r="F185" s="169"/>
    </row>
    <row r="186" spans="2:6">
      <c r="B186" s="168" t="str">
        <f>IF(E185&gt;0.005,"August","")</f>
        <v/>
      </c>
      <c r="C186" s="160">
        <f t="shared" si="30"/>
        <v>0</v>
      </c>
      <c r="D186" s="160">
        <f t="shared" si="31"/>
        <v>0</v>
      </c>
      <c r="E186" s="160">
        <f t="shared" si="32"/>
        <v>0</v>
      </c>
      <c r="F186" s="169"/>
    </row>
    <row r="187" spans="2:6">
      <c r="B187" s="168" t="str">
        <f>IF(E186&gt;0.005,"September","")</f>
        <v/>
      </c>
      <c r="C187" s="160">
        <f t="shared" si="30"/>
        <v>0</v>
      </c>
      <c r="D187" s="160">
        <f t="shared" si="31"/>
        <v>0</v>
      </c>
      <c r="E187" s="160">
        <f t="shared" si="32"/>
        <v>0</v>
      </c>
      <c r="F187" s="169"/>
    </row>
    <row r="188" spans="2:6">
      <c r="B188" s="168" t="str">
        <f>IF(E187&gt;0.005,"October","")</f>
        <v/>
      </c>
      <c r="C188" s="160">
        <f t="shared" si="30"/>
        <v>0</v>
      </c>
      <c r="D188" s="160">
        <f t="shared" si="31"/>
        <v>0</v>
      </c>
      <c r="E188" s="160">
        <f t="shared" si="32"/>
        <v>0</v>
      </c>
      <c r="F188" s="169"/>
    </row>
    <row r="189" spans="2:6">
      <c r="B189" s="168" t="str">
        <f>IF(E188&gt;0.005,"November","")</f>
        <v/>
      </c>
      <c r="C189" s="160">
        <f t="shared" si="30"/>
        <v>0</v>
      </c>
      <c r="D189" s="160">
        <f t="shared" si="31"/>
        <v>0</v>
      </c>
      <c r="E189" s="160">
        <f t="shared" si="32"/>
        <v>0</v>
      </c>
      <c r="F189" s="169"/>
    </row>
    <row r="190" spans="2:6">
      <c r="B190" s="168" t="str">
        <f>IF(E189&gt;0.005,"December","")</f>
        <v/>
      </c>
      <c r="C190" s="160">
        <f t="shared" si="30"/>
        <v>0</v>
      </c>
      <c r="D190" s="160">
        <f t="shared" si="31"/>
        <v>0</v>
      </c>
      <c r="E190" s="160">
        <f t="shared" si="32"/>
        <v>0</v>
      </c>
      <c r="F190" s="169"/>
    </row>
    <row r="191" spans="2:6">
      <c r="B191" s="304" t="str">
        <f>"Total "&amp;YEAR($B$11)+11</f>
        <v>Total 2028</v>
      </c>
      <c r="C191" s="305">
        <f>SUM(C179:C190)</f>
        <v>0</v>
      </c>
      <c r="D191" s="305">
        <f>SUM(D179:D190)</f>
        <v>0</v>
      </c>
      <c r="E191" s="306"/>
      <c r="F191" s="170"/>
    </row>
    <row r="192" spans="2:6">
      <c r="B192" s="303"/>
      <c r="C192" s="17"/>
      <c r="D192" s="17"/>
      <c r="E192" s="17"/>
      <c r="F192" s="303"/>
    </row>
    <row r="193" spans="2:6">
      <c r="B193" s="163"/>
      <c r="C193" s="171" t="s">
        <v>62</v>
      </c>
      <c r="D193" s="171" t="s">
        <v>63</v>
      </c>
      <c r="E193" s="171" t="s">
        <v>64</v>
      </c>
      <c r="F193" s="165"/>
    </row>
    <row r="194" spans="2:6">
      <c r="B194" s="168" t="str">
        <f>IF(E190&gt;0.005,"January","")</f>
        <v/>
      </c>
      <c r="C194" s="160">
        <f>IF(E190&gt;0,ROUND(E190*($E$6/1200),2),0)</f>
        <v>0</v>
      </c>
      <c r="D194" s="160">
        <f>IF(E190&lt;$C$8,E190,$C$8-C194)</f>
        <v>0</v>
      </c>
      <c r="E194" s="160">
        <f>IF(E190-D194&gt;0,E190-D194,0)</f>
        <v>0</v>
      </c>
      <c r="F194" s="169"/>
    </row>
    <row r="195" spans="2:6">
      <c r="B195" s="168" t="str">
        <f>IF(E194&gt;0.005,"February","")</f>
        <v/>
      </c>
      <c r="C195" s="160">
        <f t="shared" ref="C195:C205" si="33">IF(E194&gt;0,ROUND(E194*($E$6/1200),2),0)</f>
        <v>0</v>
      </c>
      <c r="D195" s="160">
        <f t="shared" ref="D195:D205" si="34">IF(E194&lt;$C$8,E194,$C$8-C195)</f>
        <v>0</v>
      </c>
      <c r="E195" s="160">
        <f t="shared" ref="E195:E205" si="35">IF(E194-D195&gt;0,E194-D195,0)</f>
        <v>0</v>
      </c>
      <c r="F195" s="169"/>
    </row>
    <row r="196" spans="2:6">
      <c r="B196" s="168" t="str">
        <f>IF(E195&gt;0.005,"March","")</f>
        <v/>
      </c>
      <c r="C196" s="160">
        <f t="shared" si="33"/>
        <v>0</v>
      </c>
      <c r="D196" s="160">
        <f t="shared" si="34"/>
        <v>0</v>
      </c>
      <c r="E196" s="160">
        <f t="shared" si="35"/>
        <v>0</v>
      </c>
      <c r="F196" s="169"/>
    </row>
    <row r="197" spans="2:6">
      <c r="B197" s="168" t="str">
        <f>IF(E196&gt;0.005,"April","")</f>
        <v/>
      </c>
      <c r="C197" s="160">
        <f t="shared" si="33"/>
        <v>0</v>
      </c>
      <c r="D197" s="160">
        <f t="shared" si="34"/>
        <v>0</v>
      </c>
      <c r="E197" s="160">
        <f t="shared" si="35"/>
        <v>0</v>
      </c>
      <c r="F197" s="169"/>
    </row>
    <row r="198" spans="2:6">
      <c r="B198" s="168" t="str">
        <f>IF(E197&gt;0.005,"May","")</f>
        <v/>
      </c>
      <c r="C198" s="160">
        <f t="shared" si="33"/>
        <v>0</v>
      </c>
      <c r="D198" s="160">
        <f t="shared" si="34"/>
        <v>0</v>
      </c>
      <c r="E198" s="160">
        <f t="shared" si="35"/>
        <v>0</v>
      </c>
      <c r="F198" s="169"/>
    </row>
    <row r="199" spans="2:6">
      <c r="B199" s="168" t="str">
        <f>IF(E198&gt;0.005,"June","")</f>
        <v/>
      </c>
      <c r="C199" s="160">
        <f t="shared" si="33"/>
        <v>0</v>
      </c>
      <c r="D199" s="160">
        <f t="shared" si="34"/>
        <v>0</v>
      </c>
      <c r="E199" s="160">
        <f t="shared" si="35"/>
        <v>0</v>
      </c>
      <c r="F199" s="169"/>
    </row>
    <row r="200" spans="2:6">
      <c r="B200" s="168" t="str">
        <f>IF(E199&gt;0.005,"July","")</f>
        <v/>
      </c>
      <c r="C200" s="160">
        <f t="shared" si="33"/>
        <v>0</v>
      </c>
      <c r="D200" s="160">
        <f t="shared" si="34"/>
        <v>0</v>
      </c>
      <c r="E200" s="160">
        <f t="shared" si="35"/>
        <v>0</v>
      </c>
      <c r="F200" s="169"/>
    </row>
    <row r="201" spans="2:6">
      <c r="B201" s="168" t="str">
        <f>IF(E200&gt;0.005,"August","")</f>
        <v/>
      </c>
      <c r="C201" s="160">
        <f t="shared" si="33"/>
        <v>0</v>
      </c>
      <c r="D201" s="160">
        <f t="shared" si="34"/>
        <v>0</v>
      </c>
      <c r="E201" s="160">
        <f t="shared" si="35"/>
        <v>0</v>
      </c>
      <c r="F201" s="169"/>
    </row>
    <row r="202" spans="2:6">
      <c r="B202" s="168" t="str">
        <f>IF(E201&gt;0.005,"September","")</f>
        <v/>
      </c>
      <c r="C202" s="160">
        <f t="shared" si="33"/>
        <v>0</v>
      </c>
      <c r="D202" s="160">
        <f t="shared" si="34"/>
        <v>0</v>
      </c>
      <c r="E202" s="160">
        <f t="shared" si="35"/>
        <v>0</v>
      </c>
      <c r="F202" s="169"/>
    </row>
    <row r="203" spans="2:6">
      <c r="B203" s="168" t="str">
        <f>IF(E202&gt;0.005,"October","")</f>
        <v/>
      </c>
      <c r="C203" s="160">
        <f t="shared" si="33"/>
        <v>0</v>
      </c>
      <c r="D203" s="160">
        <f t="shared" si="34"/>
        <v>0</v>
      </c>
      <c r="E203" s="160">
        <f t="shared" si="35"/>
        <v>0</v>
      </c>
      <c r="F203" s="169"/>
    </row>
    <row r="204" spans="2:6">
      <c r="B204" s="168" t="str">
        <f>IF(E203&gt;0.005,"November","")</f>
        <v/>
      </c>
      <c r="C204" s="160">
        <f t="shared" si="33"/>
        <v>0</v>
      </c>
      <c r="D204" s="160">
        <f t="shared" si="34"/>
        <v>0</v>
      </c>
      <c r="E204" s="160">
        <f t="shared" si="35"/>
        <v>0</v>
      </c>
      <c r="F204" s="169"/>
    </row>
    <row r="205" spans="2:6">
      <c r="B205" s="168" t="str">
        <f>IF(E204&gt;0.005,"December","")</f>
        <v/>
      </c>
      <c r="C205" s="160">
        <f t="shared" si="33"/>
        <v>0</v>
      </c>
      <c r="D205" s="160">
        <f t="shared" si="34"/>
        <v>0</v>
      </c>
      <c r="E205" s="160">
        <f t="shared" si="35"/>
        <v>0</v>
      </c>
      <c r="F205" s="169"/>
    </row>
    <row r="206" spans="2:6">
      <c r="B206" s="304" t="str">
        <f>"Total "&amp;YEAR($B$11)+12</f>
        <v>Total 2029</v>
      </c>
      <c r="C206" s="305">
        <f>SUM(C194:C205)</f>
        <v>0</v>
      </c>
      <c r="D206" s="305">
        <f>SUM(D194:D205)</f>
        <v>0</v>
      </c>
      <c r="E206" s="306"/>
      <c r="F206" s="170"/>
    </row>
    <row r="207" spans="2:6">
      <c r="B207" s="303"/>
      <c r="C207" s="17"/>
      <c r="D207" s="17"/>
      <c r="E207" s="17"/>
      <c r="F207" s="303"/>
    </row>
    <row r="208" spans="2:6">
      <c r="B208" s="163"/>
      <c r="C208" s="171" t="s">
        <v>62</v>
      </c>
      <c r="D208" s="171" t="s">
        <v>63</v>
      </c>
      <c r="E208" s="171" t="s">
        <v>64</v>
      </c>
      <c r="F208" s="165"/>
    </row>
    <row r="209" spans="2:6">
      <c r="B209" s="168" t="str">
        <f>IF(E205&gt;0.005,"January","")</f>
        <v/>
      </c>
      <c r="C209" s="160">
        <f>IF(E205&gt;0,ROUND(E205*($E$6/1200),2),0)</f>
        <v>0</v>
      </c>
      <c r="D209" s="160">
        <f>IF(E205&lt;$C$8,E205,$C$8-C209)</f>
        <v>0</v>
      </c>
      <c r="E209" s="160">
        <f>IF(E205-D209&gt;0,E205-D209,0)</f>
        <v>0</v>
      </c>
      <c r="F209" s="169"/>
    </row>
    <row r="210" spans="2:6">
      <c r="B210" s="168" t="str">
        <f>IF(E209&gt;0.005,"February","")</f>
        <v/>
      </c>
      <c r="C210" s="160">
        <f t="shared" ref="C210:C220" si="36">IF(E209&gt;0,ROUND(E209*($E$6/1200),2),0)</f>
        <v>0</v>
      </c>
      <c r="D210" s="160">
        <f t="shared" ref="D210:D220" si="37">IF(E209&lt;$C$8,E209,$C$8-C210)</f>
        <v>0</v>
      </c>
      <c r="E210" s="160">
        <f t="shared" ref="E210:E220" si="38">IF(E209-D210&gt;0,E209-D210,0)</f>
        <v>0</v>
      </c>
      <c r="F210" s="169"/>
    </row>
    <row r="211" spans="2:6">
      <c r="B211" s="168" t="str">
        <f>IF(E210&gt;0.005,"March","")</f>
        <v/>
      </c>
      <c r="C211" s="160">
        <f t="shared" si="36"/>
        <v>0</v>
      </c>
      <c r="D211" s="160">
        <f t="shared" si="37"/>
        <v>0</v>
      </c>
      <c r="E211" s="160">
        <f t="shared" si="38"/>
        <v>0</v>
      </c>
      <c r="F211" s="169"/>
    </row>
    <row r="212" spans="2:6">
      <c r="B212" s="168" t="str">
        <f>IF(E211&gt;0.005,"April","")</f>
        <v/>
      </c>
      <c r="C212" s="160">
        <f t="shared" si="36"/>
        <v>0</v>
      </c>
      <c r="D212" s="160">
        <f t="shared" si="37"/>
        <v>0</v>
      </c>
      <c r="E212" s="160">
        <f t="shared" si="38"/>
        <v>0</v>
      </c>
      <c r="F212" s="169"/>
    </row>
    <row r="213" spans="2:6">
      <c r="B213" s="168" t="str">
        <f>IF(E212&gt;0.005,"May","")</f>
        <v/>
      </c>
      <c r="C213" s="160">
        <f t="shared" si="36"/>
        <v>0</v>
      </c>
      <c r="D213" s="160">
        <f t="shared" si="37"/>
        <v>0</v>
      </c>
      <c r="E213" s="160">
        <f t="shared" si="38"/>
        <v>0</v>
      </c>
      <c r="F213" s="169"/>
    </row>
    <row r="214" spans="2:6">
      <c r="B214" s="168" t="str">
        <f>IF(E213&gt;0.005,"June","")</f>
        <v/>
      </c>
      <c r="C214" s="160">
        <f t="shared" si="36"/>
        <v>0</v>
      </c>
      <c r="D214" s="160">
        <f t="shared" si="37"/>
        <v>0</v>
      </c>
      <c r="E214" s="160">
        <f t="shared" si="38"/>
        <v>0</v>
      </c>
      <c r="F214" s="169"/>
    </row>
    <row r="215" spans="2:6">
      <c r="B215" s="168" t="str">
        <f>IF(E214&gt;0.005,"July","")</f>
        <v/>
      </c>
      <c r="C215" s="160">
        <f t="shared" si="36"/>
        <v>0</v>
      </c>
      <c r="D215" s="160">
        <f t="shared" si="37"/>
        <v>0</v>
      </c>
      <c r="E215" s="160">
        <f t="shared" si="38"/>
        <v>0</v>
      </c>
      <c r="F215" s="169"/>
    </row>
    <row r="216" spans="2:6">
      <c r="B216" s="168" t="str">
        <f>IF(E215&gt;0.005,"August","")</f>
        <v/>
      </c>
      <c r="C216" s="160">
        <f t="shared" si="36"/>
        <v>0</v>
      </c>
      <c r="D216" s="160">
        <f t="shared" si="37"/>
        <v>0</v>
      </c>
      <c r="E216" s="160">
        <f t="shared" si="38"/>
        <v>0</v>
      </c>
      <c r="F216" s="169"/>
    </row>
    <row r="217" spans="2:6">
      <c r="B217" s="168" t="str">
        <f>IF(E216&gt;0.005,"September","")</f>
        <v/>
      </c>
      <c r="C217" s="160">
        <f t="shared" si="36"/>
        <v>0</v>
      </c>
      <c r="D217" s="160">
        <f t="shared" si="37"/>
        <v>0</v>
      </c>
      <c r="E217" s="160">
        <f t="shared" si="38"/>
        <v>0</v>
      </c>
      <c r="F217" s="169"/>
    </row>
    <row r="218" spans="2:6">
      <c r="B218" s="168" t="str">
        <f>IF(E217&gt;0.005,"October","")</f>
        <v/>
      </c>
      <c r="C218" s="160">
        <f t="shared" si="36"/>
        <v>0</v>
      </c>
      <c r="D218" s="160">
        <f t="shared" si="37"/>
        <v>0</v>
      </c>
      <c r="E218" s="160">
        <f t="shared" si="38"/>
        <v>0</v>
      </c>
      <c r="F218" s="169"/>
    </row>
    <row r="219" spans="2:6">
      <c r="B219" s="168" t="str">
        <f>IF(E218&gt;0.005,"November","")</f>
        <v/>
      </c>
      <c r="C219" s="160">
        <f t="shared" si="36"/>
        <v>0</v>
      </c>
      <c r="D219" s="160">
        <f t="shared" si="37"/>
        <v>0</v>
      </c>
      <c r="E219" s="160">
        <f t="shared" si="38"/>
        <v>0</v>
      </c>
      <c r="F219" s="169"/>
    </row>
    <row r="220" spans="2:6">
      <c r="B220" s="168" t="str">
        <f>IF(E219&gt;0.005,"December","")</f>
        <v/>
      </c>
      <c r="C220" s="160">
        <f t="shared" si="36"/>
        <v>0</v>
      </c>
      <c r="D220" s="160">
        <f t="shared" si="37"/>
        <v>0</v>
      </c>
      <c r="E220" s="160">
        <f t="shared" si="38"/>
        <v>0</v>
      </c>
      <c r="F220" s="169"/>
    </row>
    <row r="221" spans="2:6">
      <c r="B221" s="304" t="str">
        <f>"Total "&amp;YEAR($B$11)+13</f>
        <v>Total 2030</v>
      </c>
      <c r="C221" s="305">
        <f>SUM(C209:C220)</f>
        <v>0</v>
      </c>
      <c r="D221" s="305">
        <f>SUM(D209:D220)</f>
        <v>0</v>
      </c>
      <c r="E221" s="306"/>
      <c r="F221" s="170"/>
    </row>
    <row r="222" spans="2:6">
      <c r="B222" s="9"/>
      <c r="C222" s="18"/>
      <c r="D222" s="18"/>
      <c r="E222" s="17"/>
      <c r="F222" s="303"/>
    </row>
    <row r="223" spans="2:6">
      <c r="B223" s="163"/>
      <c r="C223" s="171" t="s">
        <v>62</v>
      </c>
      <c r="D223" s="171" t="s">
        <v>63</v>
      </c>
      <c r="E223" s="171" t="s">
        <v>64</v>
      </c>
      <c r="F223" s="165"/>
    </row>
    <row r="224" spans="2:6">
      <c r="B224" s="168" t="str">
        <f>IF(E220&gt;0.005,"January","")</f>
        <v/>
      </c>
      <c r="C224" s="160">
        <f>IF(E220&gt;0,ROUND(E220*($E$6/1200),2),0)</f>
        <v>0</v>
      </c>
      <c r="D224" s="160">
        <f>IF(E220&lt;$C$8,E220,$C$8-C224)</f>
        <v>0</v>
      </c>
      <c r="E224" s="160">
        <f>IF(E220-D224&gt;0,E220-D224,0)</f>
        <v>0</v>
      </c>
      <c r="F224" s="169"/>
    </row>
    <row r="225" spans="2:6">
      <c r="B225" s="168" t="str">
        <f>IF(E224&gt;0.005,"February","")</f>
        <v/>
      </c>
      <c r="C225" s="160">
        <f t="shared" ref="C225:C235" si="39">IF(E224&gt;0,ROUND(E224*($E$6/1200),2),0)</f>
        <v>0</v>
      </c>
      <c r="D225" s="160">
        <f t="shared" ref="D225:D235" si="40">IF(E224&lt;$C$8,E224,$C$8-C225)</f>
        <v>0</v>
      </c>
      <c r="E225" s="160">
        <f t="shared" ref="E225:E235" si="41">IF(E224-D225&gt;0,E224-D225,0)</f>
        <v>0</v>
      </c>
      <c r="F225" s="169"/>
    </row>
    <row r="226" spans="2:6">
      <c r="B226" s="168" t="str">
        <f>IF(E225&gt;0.005,"March","")</f>
        <v/>
      </c>
      <c r="C226" s="160">
        <f t="shared" si="39"/>
        <v>0</v>
      </c>
      <c r="D226" s="160">
        <f t="shared" si="40"/>
        <v>0</v>
      </c>
      <c r="E226" s="160">
        <f t="shared" si="41"/>
        <v>0</v>
      </c>
      <c r="F226" s="169"/>
    </row>
    <row r="227" spans="2:6">
      <c r="B227" s="168" t="str">
        <f>IF(E226&gt;0.005,"April","")</f>
        <v/>
      </c>
      <c r="C227" s="160">
        <f t="shared" si="39"/>
        <v>0</v>
      </c>
      <c r="D227" s="160">
        <f t="shared" si="40"/>
        <v>0</v>
      </c>
      <c r="E227" s="160">
        <f t="shared" si="41"/>
        <v>0</v>
      </c>
      <c r="F227" s="169"/>
    </row>
    <row r="228" spans="2:6">
      <c r="B228" s="168" t="str">
        <f>IF(E227&gt;0.005,"May","")</f>
        <v/>
      </c>
      <c r="C228" s="160">
        <f t="shared" si="39"/>
        <v>0</v>
      </c>
      <c r="D228" s="160">
        <f t="shared" si="40"/>
        <v>0</v>
      </c>
      <c r="E228" s="160">
        <f t="shared" si="41"/>
        <v>0</v>
      </c>
      <c r="F228" s="169"/>
    </row>
    <row r="229" spans="2:6">
      <c r="B229" s="168" t="str">
        <f>IF(E228&gt;0.005,"June","")</f>
        <v/>
      </c>
      <c r="C229" s="160">
        <f t="shared" si="39"/>
        <v>0</v>
      </c>
      <c r="D229" s="160">
        <f t="shared" si="40"/>
        <v>0</v>
      </c>
      <c r="E229" s="160">
        <f t="shared" si="41"/>
        <v>0</v>
      </c>
      <c r="F229" s="169"/>
    </row>
    <row r="230" spans="2:6">
      <c r="B230" s="168" t="str">
        <f>IF(E229&gt;0.005,"July","")</f>
        <v/>
      </c>
      <c r="C230" s="160">
        <f t="shared" si="39"/>
        <v>0</v>
      </c>
      <c r="D230" s="160">
        <f t="shared" si="40"/>
        <v>0</v>
      </c>
      <c r="E230" s="160">
        <f t="shared" si="41"/>
        <v>0</v>
      </c>
      <c r="F230" s="169"/>
    </row>
    <row r="231" spans="2:6">
      <c r="B231" s="168" t="str">
        <f>IF(E230&gt;0.005,"August","")</f>
        <v/>
      </c>
      <c r="C231" s="160">
        <f t="shared" si="39"/>
        <v>0</v>
      </c>
      <c r="D231" s="160">
        <f t="shared" si="40"/>
        <v>0</v>
      </c>
      <c r="E231" s="160">
        <f t="shared" si="41"/>
        <v>0</v>
      </c>
      <c r="F231" s="169"/>
    </row>
    <row r="232" spans="2:6">
      <c r="B232" s="168" t="str">
        <f>IF(E231&gt;0.005,"September","")</f>
        <v/>
      </c>
      <c r="C232" s="160">
        <f t="shared" si="39"/>
        <v>0</v>
      </c>
      <c r="D232" s="160">
        <f t="shared" si="40"/>
        <v>0</v>
      </c>
      <c r="E232" s="160">
        <f t="shared" si="41"/>
        <v>0</v>
      </c>
      <c r="F232" s="169"/>
    </row>
    <row r="233" spans="2:6">
      <c r="B233" s="168" t="str">
        <f>IF(E232&gt;0.005,"October","")</f>
        <v/>
      </c>
      <c r="C233" s="160">
        <f t="shared" si="39"/>
        <v>0</v>
      </c>
      <c r="D233" s="160">
        <f t="shared" si="40"/>
        <v>0</v>
      </c>
      <c r="E233" s="160">
        <f t="shared" si="41"/>
        <v>0</v>
      </c>
      <c r="F233" s="169"/>
    </row>
    <row r="234" spans="2:6">
      <c r="B234" s="168" t="str">
        <f>IF(E233&gt;0.005,"November","")</f>
        <v/>
      </c>
      <c r="C234" s="160">
        <f t="shared" si="39"/>
        <v>0</v>
      </c>
      <c r="D234" s="160">
        <f t="shared" si="40"/>
        <v>0</v>
      </c>
      <c r="E234" s="160">
        <f t="shared" si="41"/>
        <v>0</v>
      </c>
      <c r="F234" s="169"/>
    </row>
    <row r="235" spans="2:6">
      <c r="B235" s="168" t="str">
        <f>IF(E234&gt;0.005,"December","")</f>
        <v/>
      </c>
      <c r="C235" s="160">
        <f t="shared" si="39"/>
        <v>0</v>
      </c>
      <c r="D235" s="160">
        <f t="shared" si="40"/>
        <v>0</v>
      </c>
      <c r="E235" s="160">
        <f t="shared" si="41"/>
        <v>0</v>
      </c>
      <c r="F235" s="169"/>
    </row>
    <row r="236" spans="2:6">
      <c r="B236" s="304" t="str">
        <f>"Total "&amp;YEAR($B$11)+14</f>
        <v>Total 2031</v>
      </c>
      <c r="C236" s="305">
        <f>SUM(C224:C235)</f>
        <v>0</v>
      </c>
      <c r="D236" s="305">
        <f>SUM(D224:D235)</f>
        <v>0</v>
      </c>
      <c r="E236" s="306"/>
      <c r="F236" s="170"/>
    </row>
    <row r="237" spans="2:6">
      <c r="B237" s="303"/>
      <c r="C237" s="17"/>
      <c r="D237" s="17"/>
      <c r="E237" s="17"/>
      <c r="F237" s="303"/>
    </row>
    <row r="238" spans="2:6">
      <c r="B238" s="163"/>
      <c r="C238" s="171" t="s">
        <v>62</v>
      </c>
      <c r="D238" s="171" t="s">
        <v>63</v>
      </c>
      <c r="E238" s="171" t="s">
        <v>64</v>
      </c>
      <c r="F238" s="165"/>
    </row>
    <row r="239" spans="2:6">
      <c r="B239" s="168" t="str">
        <f>IF(E235&gt;0.005,"January","")</f>
        <v/>
      </c>
      <c r="C239" s="160">
        <f>IF(E235&gt;0,ROUND(E235*($E$6/1200),2),0)</f>
        <v>0</v>
      </c>
      <c r="D239" s="160">
        <f>IF(E235&lt;$C$8,E235,$C$8-C239)</f>
        <v>0</v>
      </c>
      <c r="E239" s="160">
        <f>IF(E235-D239&gt;0,E235-D239,0)</f>
        <v>0</v>
      </c>
      <c r="F239" s="169"/>
    </row>
    <row r="240" spans="2:6">
      <c r="B240" s="168" t="str">
        <f>IF(E239&gt;0.005,"February","")</f>
        <v/>
      </c>
      <c r="C240" s="160">
        <f t="shared" ref="C240:C250" si="42">IF(E239&gt;0,ROUND(E239*($E$6/1200),2),0)</f>
        <v>0</v>
      </c>
      <c r="D240" s="160">
        <f t="shared" ref="D240:D250" si="43">IF(E239&lt;$C$8,E239,$C$8-C240)</f>
        <v>0</v>
      </c>
      <c r="E240" s="160">
        <f t="shared" ref="E240:E250" si="44">IF(E239-D240&gt;0,E239-D240,0)</f>
        <v>0</v>
      </c>
      <c r="F240" s="169"/>
    </row>
    <row r="241" spans="2:6">
      <c r="B241" s="168" t="str">
        <f>IF(E240&gt;0.005,"March","")</f>
        <v/>
      </c>
      <c r="C241" s="160">
        <f t="shared" si="42"/>
        <v>0</v>
      </c>
      <c r="D241" s="160">
        <f t="shared" si="43"/>
        <v>0</v>
      </c>
      <c r="E241" s="160">
        <f t="shared" si="44"/>
        <v>0</v>
      </c>
      <c r="F241" s="169"/>
    </row>
    <row r="242" spans="2:6">
      <c r="B242" s="168" t="str">
        <f>IF(E241&gt;0.005,"April","")</f>
        <v/>
      </c>
      <c r="C242" s="160">
        <f t="shared" si="42"/>
        <v>0</v>
      </c>
      <c r="D242" s="160">
        <f t="shared" si="43"/>
        <v>0</v>
      </c>
      <c r="E242" s="160">
        <f t="shared" si="44"/>
        <v>0</v>
      </c>
      <c r="F242" s="169"/>
    </row>
    <row r="243" spans="2:6">
      <c r="B243" s="168" t="str">
        <f>IF(E242&gt;0.005,"May","")</f>
        <v/>
      </c>
      <c r="C243" s="160">
        <f t="shared" si="42"/>
        <v>0</v>
      </c>
      <c r="D243" s="160">
        <f t="shared" si="43"/>
        <v>0</v>
      </c>
      <c r="E243" s="160">
        <f t="shared" si="44"/>
        <v>0</v>
      </c>
      <c r="F243" s="169"/>
    </row>
    <row r="244" spans="2:6">
      <c r="B244" s="168" t="str">
        <f>IF(E243&gt;0.005,"June","")</f>
        <v/>
      </c>
      <c r="C244" s="160">
        <f t="shared" si="42"/>
        <v>0</v>
      </c>
      <c r="D244" s="160">
        <f t="shared" si="43"/>
        <v>0</v>
      </c>
      <c r="E244" s="160">
        <f t="shared" si="44"/>
        <v>0</v>
      </c>
      <c r="F244" s="169"/>
    </row>
    <row r="245" spans="2:6">
      <c r="B245" s="168" t="str">
        <f>IF(E244&gt;0.005,"July","")</f>
        <v/>
      </c>
      <c r="C245" s="160">
        <f t="shared" si="42"/>
        <v>0</v>
      </c>
      <c r="D245" s="160">
        <f t="shared" si="43"/>
        <v>0</v>
      </c>
      <c r="E245" s="160">
        <f t="shared" si="44"/>
        <v>0</v>
      </c>
      <c r="F245" s="169"/>
    </row>
    <row r="246" spans="2:6">
      <c r="B246" s="168" t="str">
        <f>IF(E245&gt;0.005,"August","")</f>
        <v/>
      </c>
      <c r="C246" s="160">
        <f t="shared" si="42"/>
        <v>0</v>
      </c>
      <c r="D246" s="160">
        <f t="shared" si="43"/>
        <v>0</v>
      </c>
      <c r="E246" s="160">
        <f t="shared" si="44"/>
        <v>0</v>
      </c>
      <c r="F246" s="169"/>
    </row>
    <row r="247" spans="2:6">
      <c r="B247" s="168" t="str">
        <f>IF(E246&gt;0.005,"September","")</f>
        <v/>
      </c>
      <c r="C247" s="160">
        <f t="shared" si="42"/>
        <v>0</v>
      </c>
      <c r="D247" s="160">
        <f t="shared" si="43"/>
        <v>0</v>
      </c>
      <c r="E247" s="160">
        <f t="shared" si="44"/>
        <v>0</v>
      </c>
      <c r="F247" s="169"/>
    </row>
    <row r="248" spans="2:6">
      <c r="B248" s="168" t="str">
        <f>IF(E247&gt;0.005,"October","")</f>
        <v/>
      </c>
      <c r="C248" s="160">
        <f t="shared" si="42"/>
        <v>0</v>
      </c>
      <c r="D248" s="160">
        <f t="shared" si="43"/>
        <v>0</v>
      </c>
      <c r="E248" s="160">
        <f t="shared" si="44"/>
        <v>0</v>
      </c>
      <c r="F248" s="169"/>
    </row>
    <row r="249" spans="2:6">
      <c r="B249" s="168" t="str">
        <f>IF(E248&gt;0.005,"November","")</f>
        <v/>
      </c>
      <c r="C249" s="160">
        <f t="shared" si="42"/>
        <v>0</v>
      </c>
      <c r="D249" s="160">
        <f t="shared" si="43"/>
        <v>0</v>
      </c>
      <c r="E249" s="160">
        <f t="shared" si="44"/>
        <v>0</v>
      </c>
      <c r="F249" s="169"/>
    </row>
    <row r="250" spans="2:6">
      <c r="B250" s="168" t="str">
        <f>IF(E249&gt;0.005,"December","")</f>
        <v/>
      </c>
      <c r="C250" s="160">
        <f t="shared" si="42"/>
        <v>0</v>
      </c>
      <c r="D250" s="160">
        <f t="shared" si="43"/>
        <v>0</v>
      </c>
      <c r="E250" s="160">
        <f t="shared" si="44"/>
        <v>0</v>
      </c>
      <c r="F250" s="169"/>
    </row>
    <row r="251" spans="2:6">
      <c r="B251" s="304" t="str">
        <f>"Total "&amp;YEAR($B$11)+15</f>
        <v>Total 2032</v>
      </c>
      <c r="C251" s="305">
        <f>SUM(C239:C250)</f>
        <v>0</v>
      </c>
      <c r="D251" s="305">
        <f>SUM(D239:D250)</f>
        <v>0</v>
      </c>
      <c r="E251" s="306"/>
      <c r="F251" s="170"/>
    </row>
    <row r="252" spans="2:6">
      <c r="B252" s="303"/>
      <c r="C252" s="17"/>
      <c r="D252" s="17"/>
      <c r="E252" s="17"/>
      <c r="F252" s="303"/>
    </row>
    <row r="253" spans="2:6">
      <c r="B253" s="163"/>
      <c r="C253" s="171" t="s">
        <v>62</v>
      </c>
      <c r="D253" s="171" t="s">
        <v>63</v>
      </c>
      <c r="E253" s="171" t="s">
        <v>64</v>
      </c>
      <c r="F253" s="165"/>
    </row>
    <row r="254" spans="2:6">
      <c r="B254" s="168" t="str">
        <f>IF(E250&gt;0.005,"January","")</f>
        <v/>
      </c>
      <c r="C254" s="160">
        <f>IF(E250&gt;0,ROUND(E250*($E$6/1200),2),0)</f>
        <v>0</v>
      </c>
      <c r="D254" s="160">
        <f>IF(E250&lt;$C$8,E250,$C$8-C254)</f>
        <v>0</v>
      </c>
      <c r="E254" s="160">
        <f>IF(E250-D254&gt;0,E250-D254,0)</f>
        <v>0</v>
      </c>
      <c r="F254" s="169"/>
    </row>
    <row r="255" spans="2:6">
      <c r="B255" s="168" t="str">
        <f>IF(E254&gt;0.005,"February","")</f>
        <v/>
      </c>
      <c r="C255" s="160">
        <f t="shared" ref="C255:C265" si="45">IF(E254&gt;0,ROUND(E254*($E$6/1200),2),0)</f>
        <v>0</v>
      </c>
      <c r="D255" s="160">
        <f t="shared" ref="D255:D265" si="46">IF(E254&lt;$C$8,E254,$C$8-C255)</f>
        <v>0</v>
      </c>
      <c r="E255" s="160">
        <f t="shared" ref="E255:E265" si="47">IF(E254-D255&gt;0,E254-D255,0)</f>
        <v>0</v>
      </c>
      <c r="F255" s="169"/>
    </row>
    <row r="256" spans="2:6">
      <c r="B256" s="168" t="str">
        <f>IF(E255&gt;0.005,"March","")</f>
        <v/>
      </c>
      <c r="C256" s="160">
        <f t="shared" si="45"/>
        <v>0</v>
      </c>
      <c r="D256" s="160">
        <f t="shared" si="46"/>
        <v>0</v>
      </c>
      <c r="E256" s="160">
        <f t="shared" si="47"/>
        <v>0</v>
      </c>
      <c r="F256" s="169"/>
    </row>
    <row r="257" spans="2:6">
      <c r="B257" s="168" t="str">
        <f>IF(E256&gt;0.005,"April","")</f>
        <v/>
      </c>
      <c r="C257" s="160">
        <f t="shared" si="45"/>
        <v>0</v>
      </c>
      <c r="D257" s="160">
        <f t="shared" si="46"/>
        <v>0</v>
      </c>
      <c r="E257" s="160">
        <f t="shared" si="47"/>
        <v>0</v>
      </c>
      <c r="F257" s="169"/>
    </row>
    <row r="258" spans="2:6">
      <c r="B258" s="168" t="str">
        <f>IF(E257&gt;0.005,"May","")</f>
        <v/>
      </c>
      <c r="C258" s="160">
        <f t="shared" si="45"/>
        <v>0</v>
      </c>
      <c r="D258" s="160">
        <f t="shared" si="46"/>
        <v>0</v>
      </c>
      <c r="E258" s="160">
        <f t="shared" si="47"/>
        <v>0</v>
      </c>
      <c r="F258" s="169"/>
    </row>
    <row r="259" spans="2:6">
      <c r="B259" s="168" t="str">
        <f>IF(E258&gt;0.005,"June","")</f>
        <v/>
      </c>
      <c r="C259" s="160">
        <f t="shared" si="45"/>
        <v>0</v>
      </c>
      <c r="D259" s="160">
        <f t="shared" si="46"/>
        <v>0</v>
      </c>
      <c r="E259" s="160">
        <f t="shared" si="47"/>
        <v>0</v>
      </c>
      <c r="F259" s="169"/>
    </row>
    <row r="260" spans="2:6">
      <c r="B260" s="168" t="str">
        <f>IF(E259&gt;0.005,"July","")</f>
        <v/>
      </c>
      <c r="C260" s="160">
        <f t="shared" si="45"/>
        <v>0</v>
      </c>
      <c r="D260" s="160">
        <f t="shared" si="46"/>
        <v>0</v>
      </c>
      <c r="E260" s="160">
        <f t="shared" si="47"/>
        <v>0</v>
      </c>
      <c r="F260" s="169"/>
    </row>
    <row r="261" spans="2:6">
      <c r="B261" s="168" t="str">
        <f>IF(E260&gt;0.005,"August","")</f>
        <v/>
      </c>
      <c r="C261" s="160">
        <f t="shared" si="45"/>
        <v>0</v>
      </c>
      <c r="D261" s="160">
        <f t="shared" si="46"/>
        <v>0</v>
      </c>
      <c r="E261" s="160">
        <f t="shared" si="47"/>
        <v>0</v>
      </c>
      <c r="F261" s="169"/>
    </row>
    <row r="262" spans="2:6">
      <c r="B262" s="168" t="str">
        <f>IF(E261&gt;0.005,"September","")</f>
        <v/>
      </c>
      <c r="C262" s="160">
        <f t="shared" si="45"/>
        <v>0</v>
      </c>
      <c r="D262" s="160">
        <f t="shared" si="46"/>
        <v>0</v>
      </c>
      <c r="E262" s="160">
        <f t="shared" si="47"/>
        <v>0</v>
      </c>
      <c r="F262" s="169"/>
    </row>
    <row r="263" spans="2:6">
      <c r="B263" s="168" t="str">
        <f>IF(E262&gt;0.005,"October","")</f>
        <v/>
      </c>
      <c r="C263" s="160">
        <f t="shared" si="45"/>
        <v>0</v>
      </c>
      <c r="D263" s="160">
        <f t="shared" si="46"/>
        <v>0</v>
      </c>
      <c r="E263" s="160">
        <f t="shared" si="47"/>
        <v>0</v>
      </c>
      <c r="F263" s="169"/>
    </row>
    <row r="264" spans="2:6">
      <c r="B264" s="168" t="str">
        <f>IF(E263&gt;0.005,"November","")</f>
        <v/>
      </c>
      <c r="C264" s="160">
        <f t="shared" si="45"/>
        <v>0</v>
      </c>
      <c r="D264" s="160">
        <f t="shared" si="46"/>
        <v>0</v>
      </c>
      <c r="E264" s="160">
        <f t="shared" si="47"/>
        <v>0</v>
      </c>
      <c r="F264" s="169"/>
    </row>
    <row r="265" spans="2:6">
      <c r="B265" s="168" t="str">
        <f>IF(E264&gt;0.005,"December","")</f>
        <v/>
      </c>
      <c r="C265" s="160">
        <f t="shared" si="45"/>
        <v>0</v>
      </c>
      <c r="D265" s="160">
        <f t="shared" si="46"/>
        <v>0</v>
      </c>
      <c r="E265" s="160">
        <f t="shared" si="47"/>
        <v>0</v>
      </c>
      <c r="F265" s="169"/>
    </row>
    <row r="266" spans="2:6">
      <c r="B266" s="304" t="str">
        <f>"Total "&amp;YEAR($B$11)+16</f>
        <v>Total 2033</v>
      </c>
      <c r="C266" s="305">
        <f>SUM(C254:C265)</f>
        <v>0</v>
      </c>
      <c r="D266" s="305">
        <f>SUM(D254:D265)</f>
        <v>0</v>
      </c>
      <c r="E266" s="306"/>
      <c r="F266" s="170"/>
    </row>
    <row r="267" spans="2:6">
      <c r="B267" s="9"/>
      <c r="C267" s="18"/>
      <c r="D267" s="18"/>
      <c r="E267" s="17"/>
      <c r="F267" s="303"/>
    </row>
    <row r="268" spans="2:6">
      <c r="B268" s="163"/>
      <c r="C268" s="171" t="s">
        <v>62</v>
      </c>
      <c r="D268" s="171" t="s">
        <v>63</v>
      </c>
      <c r="E268" s="171" t="s">
        <v>64</v>
      </c>
      <c r="F268" s="165"/>
    </row>
    <row r="269" spans="2:6">
      <c r="B269" s="168" t="str">
        <f>IF(E265&gt;0.005,"January","")</f>
        <v/>
      </c>
      <c r="C269" s="160">
        <f>IF(E265&gt;0,ROUND(E265*($E$6/1200),2),0)</f>
        <v>0</v>
      </c>
      <c r="D269" s="160">
        <f>IF(E265&lt;$C$8,E265,$C$8-C269)</f>
        <v>0</v>
      </c>
      <c r="E269" s="160">
        <f>IF(E265-D269&gt;0,E265-D269,0)</f>
        <v>0</v>
      </c>
      <c r="F269" s="169"/>
    </row>
    <row r="270" spans="2:6">
      <c r="B270" s="168" t="str">
        <f>IF(E269&gt;0.005,"February","")</f>
        <v/>
      </c>
      <c r="C270" s="160">
        <f t="shared" ref="C270:C280" si="48">IF(E269&gt;0,ROUND(E269*($E$6/1200),2),0)</f>
        <v>0</v>
      </c>
      <c r="D270" s="160">
        <f t="shared" ref="D270:D280" si="49">IF(E269&lt;$C$8,E269,$C$8-C270)</f>
        <v>0</v>
      </c>
      <c r="E270" s="160">
        <f t="shared" ref="E270:E280" si="50">IF(E269-D270&gt;0,E269-D270,0)</f>
        <v>0</v>
      </c>
      <c r="F270" s="169"/>
    </row>
    <row r="271" spans="2:6">
      <c r="B271" s="168" t="str">
        <f>IF(E270&gt;0.005,"March","")</f>
        <v/>
      </c>
      <c r="C271" s="160">
        <f t="shared" si="48"/>
        <v>0</v>
      </c>
      <c r="D271" s="160">
        <f t="shared" si="49"/>
        <v>0</v>
      </c>
      <c r="E271" s="160">
        <f t="shared" si="50"/>
        <v>0</v>
      </c>
      <c r="F271" s="169"/>
    </row>
    <row r="272" spans="2:6">
      <c r="B272" s="168" t="str">
        <f>IF(E271&gt;0.005,"April","")</f>
        <v/>
      </c>
      <c r="C272" s="160">
        <f t="shared" si="48"/>
        <v>0</v>
      </c>
      <c r="D272" s="160">
        <f t="shared" si="49"/>
        <v>0</v>
      </c>
      <c r="E272" s="160">
        <f t="shared" si="50"/>
        <v>0</v>
      </c>
      <c r="F272" s="169"/>
    </row>
    <row r="273" spans="2:6">
      <c r="B273" s="168" t="str">
        <f>IF(E272&gt;0.005,"May","")</f>
        <v/>
      </c>
      <c r="C273" s="160">
        <f t="shared" si="48"/>
        <v>0</v>
      </c>
      <c r="D273" s="160">
        <f t="shared" si="49"/>
        <v>0</v>
      </c>
      <c r="E273" s="160">
        <f t="shared" si="50"/>
        <v>0</v>
      </c>
      <c r="F273" s="169"/>
    </row>
    <row r="274" spans="2:6">
      <c r="B274" s="168" t="str">
        <f>IF(E273&gt;0.005,"June","")</f>
        <v/>
      </c>
      <c r="C274" s="160">
        <f t="shared" si="48"/>
        <v>0</v>
      </c>
      <c r="D274" s="160">
        <f t="shared" si="49"/>
        <v>0</v>
      </c>
      <c r="E274" s="160">
        <f t="shared" si="50"/>
        <v>0</v>
      </c>
      <c r="F274" s="169"/>
    </row>
    <row r="275" spans="2:6">
      <c r="B275" s="168" t="str">
        <f>IF(E274&gt;0.005,"July","")</f>
        <v/>
      </c>
      <c r="C275" s="160">
        <f t="shared" si="48"/>
        <v>0</v>
      </c>
      <c r="D275" s="160">
        <f t="shared" si="49"/>
        <v>0</v>
      </c>
      <c r="E275" s="160">
        <f t="shared" si="50"/>
        <v>0</v>
      </c>
      <c r="F275" s="169"/>
    </row>
    <row r="276" spans="2:6">
      <c r="B276" s="168" t="str">
        <f>IF(E275&gt;0.005,"August","")</f>
        <v/>
      </c>
      <c r="C276" s="160">
        <f t="shared" si="48"/>
        <v>0</v>
      </c>
      <c r="D276" s="160">
        <f t="shared" si="49"/>
        <v>0</v>
      </c>
      <c r="E276" s="160">
        <f t="shared" si="50"/>
        <v>0</v>
      </c>
      <c r="F276" s="169"/>
    </row>
    <row r="277" spans="2:6">
      <c r="B277" s="168" t="str">
        <f>IF(E276&gt;0.005,"September","")</f>
        <v/>
      </c>
      <c r="C277" s="160">
        <f t="shared" si="48"/>
        <v>0</v>
      </c>
      <c r="D277" s="160">
        <f t="shared" si="49"/>
        <v>0</v>
      </c>
      <c r="E277" s="160">
        <f t="shared" si="50"/>
        <v>0</v>
      </c>
      <c r="F277" s="169"/>
    </row>
    <row r="278" spans="2:6">
      <c r="B278" s="168" t="str">
        <f>IF(E277&gt;0.005,"October","")</f>
        <v/>
      </c>
      <c r="C278" s="160">
        <f t="shared" si="48"/>
        <v>0</v>
      </c>
      <c r="D278" s="160">
        <f t="shared" si="49"/>
        <v>0</v>
      </c>
      <c r="E278" s="160">
        <f t="shared" si="50"/>
        <v>0</v>
      </c>
      <c r="F278" s="169"/>
    </row>
    <row r="279" spans="2:6">
      <c r="B279" s="168" t="str">
        <f>IF(E278&gt;0.005,"November","")</f>
        <v/>
      </c>
      <c r="C279" s="160">
        <f t="shared" si="48"/>
        <v>0</v>
      </c>
      <c r="D279" s="160">
        <f t="shared" si="49"/>
        <v>0</v>
      </c>
      <c r="E279" s="160">
        <f t="shared" si="50"/>
        <v>0</v>
      </c>
      <c r="F279" s="169"/>
    </row>
    <row r="280" spans="2:6">
      <c r="B280" s="168" t="str">
        <f>IF(E279&gt;0.005,"December","")</f>
        <v/>
      </c>
      <c r="C280" s="160">
        <f t="shared" si="48"/>
        <v>0</v>
      </c>
      <c r="D280" s="160">
        <f t="shared" si="49"/>
        <v>0</v>
      </c>
      <c r="E280" s="160">
        <f t="shared" si="50"/>
        <v>0</v>
      </c>
      <c r="F280" s="169"/>
    </row>
    <row r="281" spans="2:6">
      <c r="B281" s="304" t="str">
        <f>"Total "&amp;YEAR($B$11)+17</f>
        <v>Total 2034</v>
      </c>
      <c r="C281" s="305">
        <f>SUM(C269:C280)</f>
        <v>0</v>
      </c>
      <c r="D281" s="305">
        <f>SUM(D269:D280)</f>
        <v>0</v>
      </c>
      <c r="E281" s="306"/>
      <c r="F281" s="170"/>
    </row>
    <row r="282" spans="2:6">
      <c r="B282" s="303"/>
      <c r="C282" s="17"/>
      <c r="D282" s="17"/>
      <c r="E282" s="17"/>
      <c r="F282" s="303"/>
    </row>
    <row r="283" spans="2:6">
      <c r="B283" s="163"/>
      <c r="C283" s="171" t="s">
        <v>62</v>
      </c>
      <c r="D283" s="171" t="s">
        <v>63</v>
      </c>
      <c r="E283" s="171" t="s">
        <v>64</v>
      </c>
      <c r="F283" s="165"/>
    </row>
    <row r="284" spans="2:6">
      <c r="B284" s="168" t="str">
        <f>IF(E280&gt;0.005,"January","")</f>
        <v/>
      </c>
      <c r="C284" s="160">
        <f>IF(E280&gt;0,ROUND(E280*($E$6/1200),2),0)</f>
        <v>0</v>
      </c>
      <c r="D284" s="160">
        <f>IF(E280&lt;$C$8,E280,$C$8-C284)</f>
        <v>0</v>
      </c>
      <c r="E284" s="160">
        <f>IF(E280-D284&gt;0,E280-D284,0)</f>
        <v>0</v>
      </c>
      <c r="F284" s="169"/>
    </row>
    <row r="285" spans="2:6">
      <c r="B285" s="168" t="str">
        <f>IF(E284&gt;0.005,"February","")</f>
        <v/>
      </c>
      <c r="C285" s="160">
        <f t="shared" ref="C285:C295" si="51">IF(E284&gt;0,ROUND(E284*($E$6/1200),2),0)</f>
        <v>0</v>
      </c>
      <c r="D285" s="160">
        <f t="shared" ref="D285:D295" si="52">IF(E284&lt;$C$8,E284,$C$8-C285)</f>
        <v>0</v>
      </c>
      <c r="E285" s="160">
        <f t="shared" ref="E285:E295" si="53">IF(E284-D285&gt;0,E284-D285,0)</f>
        <v>0</v>
      </c>
      <c r="F285" s="169"/>
    </row>
    <row r="286" spans="2:6">
      <c r="B286" s="168" t="str">
        <f>IF(E285&gt;0.005,"March","")</f>
        <v/>
      </c>
      <c r="C286" s="160">
        <f t="shared" si="51"/>
        <v>0</v>
      </c>
      <c r="D286" s="160">
        <f t="shared" si="52"/>
        <v>0</v>
      </c>
      <c r="E286" s="160">
        <f t="shared" si="53"/>
        <v>0</v>
      </c>
      <c r="F286" s="169"/>
    </row>
    <row r="287" spans="2:6">
      <c r="B287" s="168" t="str">
        <f>IF(E286&gt;0.005,"April","")</f>
        <v/>
      </c>
      <c r="C287" s="160">
        <f t="shared" si="51"/>
        <v>0</v>
      </c>
      <c r="D287" s="160">
        <f t="shared" si="52"/>
        <v>0</v>
      </c>
      <c r="E287" s="160">
        <f t="shared" si="53"/>
        <v>0</v>
      </c>
      <c r="F287" s="169"/>
    </row>
    <row r="288" spans="2:6">
      <c r="B288" s="168" t="str">
        <f>IF(E287&gt;0.005,"May","")</f>
        <v/>
      </c>
      <c r="C288" s="160">
        <f t="shared" si="51"/>
        <v>0</v>
      </c>
      <c r="D288" s="160">
        <f t="shared" si="52"/>
        <v>0</v>
      </c>
      <c r="E288" s="160">
        <f t="shared" si="53"/>
        <v>0</v>
      </c>
      <c r="F288" s="169"/>
    </row>
    <row r="289" spans="2:6">
      <c r="B289" s="168" t="str">
        <f>IF(E288&gt;0.005,"June","")</f>
        <v/>
      </c>
      <c r="C289" s="160">
        <f t="shared" si="51"/>
        <v>0</v>
      </c>
      <c r="D289" s="160">
        <f t="shared" si="52"/>
        <v>0</v>
      </c>
      <c r="E289" s="160">
        <f t="shared" si="53"/>
        <v>0</v>
      </c>
      <c r="F289" s="169"/>
    </row>
    <row r="290" spans="2:6">
      <c r="B290" s="168" t="str">
        <f>IF(E289&gt;0.005,"July","")</f>
        <v/>
      </c>
      <c r="C290" s="160">
        <f t="shared" si="51"/>
        <v>0</v>
      </c>
      <c r="D290" s="160">
        <f t="shared" si="52"/>
        <v>0</v>
      </c>
      <c r="E290" s="160">
        <f t="shared" si="53"/>
        <v>0</v>
      </c>
      <c r="F290" s="169"/>
    </row>
    <row r="291" spans="2:6">
      <c r="B291" s="168" t="str">
        <f>IF(E290&gt;0.005,"August","")</f>
        <v/>
      </c>
      <c r="C291" s="160">
        <f t="shared" si="51"/>
        <v>0</v>
      </c>
      <c r="D291" s="160">
        <f t="shared" si="52"/>
        <v>0</v>
      </c>
      <c r="E291" s="160">
        <f t="shared" si="53"/>
        <v>0</v>
      </c>
      <c r="F291" s="169"/>
    </row>
    <row r="292" spans="2:6">
      <c r="B292" s="168" t="str">
        <f>IF(E291&gt;0.005,"September","")</f>
        <v/>
      </c>
      <c r="C292" s="160">
        <f t="shared" si="51"/>
        <v>0</v>
      </c>
      <c r="D292" s="160">
        <f t="shared" si="52"/>
        <v>0</v>
      </c>
      <c r="E292" s="160">
        <f t="shared" si="53"/>
        <v>0</v>
      </c>
      <c r="F292" s="169"/>
    </row>
    <row r="293" spans="2:6">
      <c r="B293" s="168" t="str">
        <f>IF(E292&gt;0.005,"October","")</f>
        <v/>
      </c>
      <c r="C293" s="160">
        <f t="shared" si="51"/>
        <v>0</v>
      </c>
      <c r="D293" s="160">
        <f t="shared" si="52"/>
        <v>0</v>
      </c>
      <c r="E293" s="160">
        <f t="shared" si="53"/>
        <v>0</v>
      </c>
      <c r="F293" s="169"/>
    </row>
    <row r="294" spans="2:6">
      <c r="B294" s="168" t="str">
        <f>IF(E293&gt;0.005,"November","")</f>
        <v/>
      </c>
      <c r="C294" s="160">
        <f t="shared" si="51"/>
        <v>0</v>
      </c>
      <c r="D294" s="160">
        <f t="shared" si="52"/>
        <v>0</v>
      </c>
      <c r="E294" s="160">
        <f t="shared" si="53"/>
        <v>0</v>
      </c>
      <c r="F294" s="169"/>
    </row>
    <row r="295" spans="2:6">
      <c r="B295" s="168" t="str">
        <f>IF(E294&gt;0.005,"December","")</f>
        <v/>
      </c>
      <c r="C295" s="160">
        <f t="shared" si="51"/>
        <v>0</v>
      </c>
      <c r="D295" s="160">
        <f t="shared" si="52"/>
        <v>0</v>
      </c>
      <c r="E295" s="160">
        <f t="shared" si="53"/>
        <v>0</v>
      </c>
      <c r="F295" s="169"/>
    </row>
    <row r="296" spans="2:6">
      <c r="B296" s="304" t="str">
        <f>"Total "&amp;YEAR($B$11)+18</f>
        <v>Total 2035</v>
      </c>
      <c r="C296" s="305">
        <f>SUM(C284:C295)</f>
        <v>0</v>
      </c>
      <c r="D296" s="305">
        <f>SUM(D284:D295)</f>
        <v>0</v>
      </c>
      <c r="E296" s="306"/>
      <c r="F296" s="170"/>
    </row>
    <row r="297" spans="2:6">
      <c r="B297" s="303"/>
      <c r="C297" s="17"/>
      <c r="D297" s="17"/>
      <c r="E297" s="17"/>
      <c r="F297" s="303"/>
    </row>
    <row r="298" spans="2:6">
      <c r="B298" s="163"/>
      <c r="C298" s="171" t="s">
        <v>62</v>
      </c>
      <c r="D298" s="171" t="s">
        <v>63</v>
      </c>
      <c r="E298" s="171" t="s">
        <v>64</v>
      </c>
      <c r="F298" s="165"/>
    </row>
    <row r="299" spans="2:6">
      <c r="B299" s="168" t="str">
        <f>IF(E295&gt;0.005,"January","")</f>
        <v/>
      </c>
      <c r="C299" s="160">
        <f>IF(E295&gt;0,ROUND(E295*($E$6/1200),2),0)</f>
        <v>0</v>
      </c>
      <c r="D299" s="160">
        <f>IF(E295&lt;$C$8,E295,$C$8-C299)</f>
        <v>0</v>
      </c>
      <c r="E299" s="160">
        <f>IF(E295-D299&gt;0,E295-D299,0)</f>
        <v>0</v>
      </c>
      <c r="F299" s="169"/>
    </row>
    <row r="300" spans="2:6">
      <c r="B300" s="168" t="str">
        <f>IF(E299&gt;0.005,"February","")</f>
        <v/>
      </c>
      <c r="C300" s="160">
        <f t="shared" ref="C300:C310" si="54">IF(E299&gt;0,ROUND(E299*($E$6/1200),2),0)</f>
        <v>0</v>
      </c>
      <c r="D300" s="160">
        <f t="shared" ref="D300:D310" si="55">IF(E299&lt;$C$8,E299,$C$8-C300)</f>
        <v>0</v>
      </c>
      <c r="E300" s="160">
        <f t="shared" ref="E300:E310" si="56">IF(E299-D300&gt;0,E299-D300,0)</f>
        <v>0</v>
      </c>
      <c r="F300" s="169"/>
    </row>
    <row r="301" spans="2:6">
      <c r="B301" s="168" t="str">
        <f>IF(E300&gt;0.005,"March","")</f>
        <v/>
      </c>
      <c r="C301" s="160">
        <f t="shared" si="54"/>
        <v>0</v>
      </c>
      <c r="D301" s="160">
        <f t="shared" si="55"/>
        <v>0</v>
      </c>
      <c r="E301" s="160">
        <f t="shared" si="56"/>
        <v>0</v>
      </c>
      <c r="F301" s="169"/>
    </row>
    <row r="302" spans="2:6">
      <c r="B302" s="168" t="str">
        <f>IF(E301&gt;0.005,"April","")</f>
        <v/>
      </c>
      <c r="C302" s="160">
        <f t="shared" si="54"/>
        <v>0</v>
      </c>
      <c r="D302" s="160">
        <f t="shared" si="55"/>
        <v>0</v>
      </c>
      <c r="E302" s="160">
        <f t="shared" si="56"/>
        <v>0</v>
      </c>
      <c r="F302" s="169"/>
    </row>
    <row r="303" spans="2:6">
      <c r="B303" s="168" t="str">
        <f>IF(E302&gt;0.005,"May","")</f>
        <v/>
      </c>
      <c r="C303" s="160">
        <f t="shared" si="54"/>
        <v>0</v>
      </c>
      <c r="D303" s="160">
        <f t="shared" si="55"/>
        <v>0</v>
      </c>
      <c r="E303" s="160">
        <f t="shared" si="56"/>
        <v>0</v>
      </c>
      <c r="F303" s="169"/>
    </row>
    <row r="304" spans="2:6">
      <c r="B304" s="168" t="str">
        <f>IF(E303&gt;0.005,"June","")</f>
        <v/>
      </c>
      <c r="C304" s="160">
        <f t="shared" si="54"/>
        <v>0</v>
      </c>
      <c r="D304" s="160">
        <f t="shared" si="55"/>
        <v>0</v>
      </c>
      <c r="E304" s="160">
        <f t="shared" si="56"/>
        <v>0</v>
      </c>
      <c r="F304" s="169"/>
    </row>
    <row r="305" spans="2:6">
      <c r="B305" s="168" t="str">
        <f>IF(E304&gt;0.005,"July","")</f>
        <v/>
      </c>
      <c r="C305" s="160">
        <f t="shared" si="54"/>
        <v>0</v>
      </c>
      <c r="D305" s="160">
        <f t="shared" si="55"/>
        <v>0</v>
      </c>
      <c r="E305" s="160">
        <f t="shared" si="56"/>
        <v>0</v>
      </c>
      <c r="F305" s="169"/>
    </row>
    <row r="306" spans="2:6">
      <c r="B306" s="168" t="str">
        <f>IF(E305&gt;0.005,"August","")</f>
        <v/>
      </c>
      <c r="C306" s="160">
        <f t="shared" si="54"/>
        <v>0</v>
      </c>
      <c r="D306" s="160">
        <f t="shared" si="55"/>
        <v>0</v>
      </c>
      <c r="E306" s="160">
        <f t="shared" si="56"/>
        <v>0</v>
      </c>
      <c r="F306" s="169"/>
    </row>
    <row r="307" spans="2:6">
      <c r="B307" s="168" t="str">
        <f>IF(E306&gt;0.005,"September","")</f>
        <v/>
      </c>
      <c r="C307" s="160">
        <f t="shared" si="54"/>
        <v>0</v>
      </c>
      <c r="D307" s="160">
        <f t="shared" si="55"/>
        <v>0</v>
      </c>
      <c r="E307" s="160">
        <f t="shared" si="56"/>
        <v>0</v>
      </c>
      <c r="F307" s="169"/>
    </row>
    <row r="308" spans="2:6">
      <c r="B308" s="168" t="str">
        <f>IF(E307&gt;0.005,"October","")</f>
        <v/>
      </c>
      <c r="C308" s="160">
        <f t="shared" si="54"/>
        <v>0</v>
      </c>
      <c r="D308" s="160">
        <f t="shared" si="55"/>
        <v>0</v>
      </c>
      <c r="E308" s="160">
        <f t="shared" si="56"/>
        <v>0</v>
      </c>
      <c r="F308" s="169"/>
    </row>
    <row r="309" spans="2:6">
      <c r="B309" s="168" t="str">
        <f>IF(E308&gt;0.005,"November","")</f>
        <v/>
      </c>
      <c r="C309" s="160">
        <f t="shared" si="54"/>
        <v>0</v>
      </c>
      <c r="D309" s="160">
        <f t="shared" si="55"/>
        <v>0</v>
      </c>
      <c r="E309" s="160">
        <f t="shared" si="56"/>
        <v>0</v>
      </c>
      <c r="F309" s="169"/>
    </row>
    <row r="310" spans="2:6">
      <c r="B310" s="168" t="str">
        <f>IF(E309&gt;0.005,"December","")</f>
        <v/>
      </c>
      <c r="C310" s="160">
        <f t="shared" si="54"/>
        <v>0</v>
      </c>
      <c r="D310" s="160">
        <f t="shared" si="55"/>
        <v>0</v>
      </c>
      <c r="E310" s="160">
        <f t="shared" si="56"/>
        <v>0</v>
      </c>
      <c r="F310" s="169"/>
    </row>
    <row r="311" spans="2:6">
      <c r="B311" s="304" t="str">
        <f>"Total "&amp;YEAR($B$11)+19</f>
        <v>Total 2036</v>
      </c>
      <c r="C311" s="305">
        <f>SUM(C299:C310)</f>
        <v>0</v>
      </c>
      <c r="D311" s="305">
        <f>SUM(D299:D310)</f>
        <v>0</v>
      </c>
      <c r="E311" s="306"/>
      <c r="F311" s="170"/>
    </row>
    <row r="312" spans="2:6">
      <c r="B312" s="9"/>
      <c r="C312" s="18"/>
      <c r="D312" s="18"/>
      <c r="E312" s="17"/>
      <c r="F312" s="303"/>
    </row>
    <row r="313" spans="2:6">
      <c r="B313" s="163"/>
      <c r="C313" s="171" t="s">
        <v>62</v>
      </c>
      <c r="D313" s="171" t="s">
        <v>63</v>
      </c>
      <c r="E313" s="171" t="s">
        <v>64</v>
      </c>
      <c r="F313" s="165"/>
    </row>
    <row r="314" spans="2:6">
      <c r="B314" s="168" t="str">
        <f>IF(E310&gt;0.005,"January","")</f>
        <v/>
      </c>
      <c r="C314" s="160">
        <f>IF(E310&gt;0,ROUND(E310*($E$6/1200),2),0)</f>
        <v>0</v>
      </c>
      <c r="D314" s="160">
        <f>IF(E310&lt;$C$8,E310,$C$8-C314)</f>
        <v>0</v>
      </c>
      <c r="E314" s="160">
        <f>IF(E310-D314&gt;0,E310-D314,0)</f>
        <v>0</v>
      </c>
      <c r="F314" s="169"/>
    </row>
    <row r="315" spans="2:6">
      <c r="B315" s="168" t="str">
        <f>IF(E314&gt;0.005,"February","")</f>
        <v/>
      </c>
      <c r="C315" s="160">
        <f t="shared" ref="C315:C325" si="57">IF(E314&gt;0,ROUND(E314*($E$6/1200),2),0)</f>
        <v>0</v>
      </c>
      <c r="D315" s="160">
        <f t="shared" ref="D315:D325" si="58">IF(E314&lt;$C$8,E314,$C$8-C315)</f>
        <v>0</v>
      </c>
      <c r="E315" s="160">
        <f t="shared" ref="E315:E325" si="59">IF(E314-D315&gt;0,E314-D315,0)</f>
        <v>0</v>
      </c>
      <c r="F315" s="169"/>
    </row>
    <row r="316" spans="2:6">
      <c r="B316" s="168" t="str">
        <f>IF(E315&gt;0.005,"March","")</f>
        <v/>
      </c>
      <c r="C316" s="160">
        <f t="shared" si="57"/>
        <v>0</v>
      </c>
      <c r="D316" s="160">
        <f t="shared" si="58"/>
        <v>0</v>
      </c>
      <c r="E316" s="160">
        <f t="shared" si="59"/>
        <v>0</v>
      </c>
      <c r="F316" s="169"/>
    </row>
    <row r="317" spans="2:6">
      <c r="B317" s="168" t="str">
        <f>IF(E316&gt;0.005,"April","")</f>
        <v/>
      </c>
      <c r="C317" s="160">
        <f t="shared" si="57"/>
        <v>0</v>
      </c>
      <c r="D317" s="160">
        <f t="shared" si="58"/>
        <v>0</v>
      </c>
      <c r="E317" s="160">
        <f t="shared" si="59"/>
        <v>0</v>
      </c>
      <c r="F317" s="169"/>
    </row>
    <row r="318" spans="2:6">
      <c r="B318" s="168" t="str">
        <f>IF(E317&gt;0.005,"May","")</f>
        <v/>
      </c>
      <c r="C318" s="160">
        <f t="shared" si="57"/>
        <v>0</v>
      </c>
      <c r="D318" s="160">
        <f t="shared" si="58"/>
        <v>0</v>
      </c>
      <c r="E318" s="160">
        <f t="shared" si="59"/>
        <v>0</v>
      </c>
      <c r="F318" s="169"/>
    </row>
    <row r="319" spans="2:6">
      <c r="B319" s="168" t="str">
        <f>IF(E318&gt;0.005,"June","")</f>
        <v/>
      </c>
      <c r="C319" s="160">
        <f t="shared" si="57"/>
        <v>0</v>
      </c>
      <c r="D319" s="160">
        <f t="shared" si="58"/>
        <v>0</v>
      </c>
      <c r="E319" s="160">
        <f t="shared" si="59"/>
        <v>0</v>
      </c>
      <c r="F319" s="169"/>
    </row>
    <row r="320" spans="2:6">
      <c r="B320" s="168" t="str">
        <f>IF(E319&gt;0.005,"July","")</f>
        <v/>
      </c>
      <c r="C320" s="160">
        <f t="shared" si="57"/>
        <v>0</v>
      </c>
      <c r="D320" s="160">
        <f t="shared" si="58"/>
        <v>0</v>
      </c>
      <c r="E320" s="160">
        <f t="shared" si="59"/>
        <v>0</v>
      </c>
      <c r="F320" s="169"/>
    </row>
    <row r="321" spans="2:6">
      <c r="B321" s="168" t="str">
        <f>IF(E320&gt;0.005,"August","")</f>
        <v/>
      </c>
      <c r="C321" s="160">
        <f t="shared" si="57"/>
        <v>0</v>
      </c>
      <c r="D321" s="160">
        <f t="shared" si="58"/>
        <v>0</v>
      </c>
      <c r="E321" s="160">
        <f t="shared" si="59"/>
        <v>0</v>
      </c>
      <c r="F321" s="169"/>
    </row>
    <row r="322" spans="2:6">
      <c r="B322" s="168" t="str">
        <f>IF(E321&gt;0.005,"September","")</f>
        <v/>
      </c>
      <c r="C322" s="160">
        <f t="shared" si="57"/>
        <v>0</v>
      </c>
      <c r="D322" s="160">
        <f t="shared" si="58"/>
        <v>0</v>
      </c>
      <c r="E322" s="160">
        <f t="shared" si="59"/>
        <v>0</v>
      </c>
      <c r="F322" s="169"/>
    </row>
    <row r="323" spans="2:6">
      <c r="B323" s="168" t="str">
        <f>IF(E322&gt;0.005,"October","")</f>
        <v/>
      </c>
      <c r="C323" s="160">
        <f t="shared" si="57"/>
        <v>0</v>
      </c>
      <c r="D323" s="160">
        <f t="shared" si="58"/>
        <v>0</v>
      </c>
      <c r="E323" s="160">
        <f t="shared" si="59"/>
        <v>0</v>
      </c>
      <c r="F323" s="169"/>
    </row>
    <row r="324" spans="2:6">
      <c r="B324" s="168" t="str">
        <f>IF(E323&gt;0.005,"November","")</f>
        <v/>
      </c>
      <c r="C324" s="160">
        <f t="shared" si="57"/>
        <v>0</v>
      </c>
      <c r="D324" s="160">
        <f t="shared" si="58"/>
        <v>0</v>
      </c>
      <c r="E324" s="160">
        <f t="shared" si="59"/>
        <v>0</v>
      </c>
      <c r="F324" s="169"/>
    </row>
    <row r="325" spans="2:6">
      <c r="B325" s="168" t="str">
        <f>IF(E324&gt;0.005,"December","")</f>
        <v/>
      </c>
      <c r="C325" s="160">
        <f t="shared" si="57"/>
        <v>0</v>
      </c>
      <c r="D325" s="160">
        <f t="shared" si="58"/>
        <v>0</v>
      </c>
      <c r="E325" s="160">
        <f t="shared" si="59"/>
        <v>0</v>
      </c>
      <c r="F325" s="169"/>
    </row>
    <row r="326" spans="2:6">
      <c r="B326" s="304" t="str">
        <f>"Total "&amp;YEAR($B$11)+20</f>
        <v>Total 2037</v>
      </c>
      <c r="C326" s="305">
        <f>SUM(C314:C325)</f>
        <v>0</v>
      </c>
      <c r="D326" s="305">
        <f>SUM(D314:D325)</f>
        <v>0</v>
      </c>
      <c r="E326" s="306"/>
      <c r="F326" s="170"/>
    </row>
    <row r="327" spans="2:6">
      <c r="B327" s="303"/>
      <c r="C327" s="17"/>
      <c r="D327" s="17"/>
      <c r="E327" s="17"/>
      <c r="F327" s="303"/>
    </row>
    <row r="328" spans="2:6">
      <c r="B328" s="163"/>
      <c r="C328" s="171" t="s">
        <v>62</v>
      </c>
      <c r="D328" s="171" t="s">
        <v>63</v>
      </c>
      <c r="E328" s="171" t="s">
        <v>64</v>
      </c>
      <c r="F328" s="165"/>
    </row>
    <row r="329" spans="2:6">
      <c r="B329" s="168" t="str">
        <f>IF(E325&gt;0.005,"January","")</f>
        <v/>
      </c>
      <c r="C329" s="160">
        <f>IF(E325&gt;0,ROUND(E325*($E$6/1200),2),0)</f>
        <v>0</v>
      </c>
      <c r="D329" s="160">
        <f>IF(E325&lt;$C$8,E325,$C$8-C329)</f>
        <v>0</v>
      </c>
      <c r="E329" s="160">
        <f>IF(E325-D329&gt;0,E325-D329,0)</f>
        <v>0</v>
      </c>
      <c r="F329" s="169"/>
    </row>
    <row r="330" spans="2:6">
      <c r="B330" s="168" t="str">
        <f>IF(E329&gt;0.005,"February","")</f>
        <v/>
      </c>
      <c r="C330" s="160">
        <f t="shared" ref="C330:C340" si="60">IF(E329&gt;0,ROUND(E329*($E$6/1200),2),0)</f>
        <v>0</v>
      </c>
      <c r="D330" s="160">
        <f t="shared" ref="D330:D340" si="61">IF(E329&lt;$C$8,E329,$C$8-C330)</f>
        <v>0</v>
      </c>
      <c r="E330" s="160">
        <f t="shared" ref="E330:E340" si="62">IF(E329-D330&gt;0,E329-D330,0)</f>
        <v>0</v>
      </c>
      <c r="F330" s="169"/>
    </row>
    <row r="331" spans="2:6">
      <c r="B331" s="168" t="str">
        <f>IF(E330&gt;0.005,"March","")</f>
        <v/>
      </c>
      <c r="C331" s="160">
        <f t="shared" si="60"/>
        <v>0</v>
      </c>
      <c r="D331" s="160">
        <f t="shared" si="61"/>
        <v>0</v>
      </c>
      <c r="E331" s="160">
        <f t="shared" si="62"/>
        <v>0</v>
      </c>
      <c r="F331" s="169"/>
    </row>
    <row r="332" spans="2:6">
      <c r="B332" s="168" t="str">
        <f>IF(E331&gt;0.005,"April","")</f>
        <v/>
      </c>
      <c r="C332" s="160">
        <f t="shared" si="60"/>
        <v>0</v>
      </c>
      <c r="D332" s="160">
        <f t="shared" si="61"/>
        <v>0</v>
      </c>
      <c r="E332" s="160">
        <f t="shared" si="62"/>
        <v>0</v>
      </c>
      <c r="F332" s="169"/>
    </row>
    <row r="333" spans="2:6">
      <c r="B333" s="168" t="str">
        <f>IF(E332&gt;0.005,"May","")</f>
        <v/>
      </c>
      <c r="C333" s="160">
        <f t="shared" si="60"/>
        <v>0</v>
      </c>
      <c r="D333" s="160">
        <f t="shared" si="61"/>
        <v>0</v>
      </c>
      <c r="E333" s="160">
        <f t="shared" si="62"/>
        <v>0</v>
      </c>
      <c r="F333" s="169"/>
    </row>
    <row r="334" spans="2:6">
      <c r="B334" s="168" t="str">
        <f>IF(E333&gt;0.005,"June","")</f>
        <v/>
      </c>
      <c r="C334" s="160">
        <f t="shared" si="60"/>
        <v>0</v>
      </c>
      <c r="D334" s="160">
        <f t="shared" si="61"/>
        <v>0</v>
      </c>
      <c r="E334" s="160">
        <f t="shared" si="62"/>
        <v>0</v>
      </c>
      <c r="F334" s="169"/>
    </row>
    <row r="335" spans="2:6">
      <c r="B335" s="168" t="str">
        <f>IF(E334&gt;0.005,"July","")</f>
        <v/>
      </c>
      <c r="C335" s="160">
        <f t="shared" si="60"/>
        <v>0</v>
      </c>
      <c r="D335" s="160">
        <f t="shared" si="61"/>
        <v>0</v>
      </c>
      <c r="E335" s="160">
        <f t="shared" si="62"/>
        <v>0</v>
      </c>
      <c r="F335" s="169"/>
    </row>
    <row r="336" spans="2:6">
      <c r="B336" s="168" t="str">
        <f>IF(E335&gt;0.005,"August","")</f>
        <v/>
      </c>
      <c r="C336" s="160">
        <f t="shared" si="60"/>
        <v>0</v>
      </c>
      <c r="D336" s="160">
        <f t="shared" si="61"/>
        <v>0</v>
      </c>
      <c r="E336" s="160">
        <f t="shared" si="62"/>
        <v>0</v>
      </c>
      <c r="F336" s="169"/>
    </row>
    <row r="337" spans="2:6">
      <c r="B337" s="168" t="str">
        <f>IF(E336&gt;0.005,"September","")</f>
        <v/>
      </c>
      <c r="C337" s="160">
        <f t="shared" si="60"/>
        <v>0</v>
      </c>
      <c r="D337" s="160">
        <f t="shared" si="61"/>
        <v>0</v>
      </c>
      <c r="E337" s="160">
        <f t="shared" si="62"/>
        <v>0</v>
      </c>
      <c r="F337" s="169"/>
    </row>
    <row r="338" spans="2:6">
      <c r="B338" s="168" t="str">
        <f>IF(E337&gt;0.005,"October","")</f>
        <v/>
      </c>
      <c r="C338" s="160">
        <f t="shared" si="60"/>
        <v>0</v>
      </c>
      <c r="D338" s="160">
        <f t="shared" si="61"/>
        <v>0</v>
      </c>
      <c r="E338" s="160">
        <f t="shared" si="62"/>
        <v>0</v>
      </c>
      <c r="F338" s="169"/>
    </row>
    <row r="339" spans="2:6">
      <c r="B339" s="168" t="str">
        <f>IF(E338&gt;0.005,"November","")</f>
        <v/>
      </c>
      <c r="C339" s="160">
        <f t="shared" si="60"/>
        <v>0</v>
      </c>
      <c r="D339" s="160">
        <f t="shared" si="61"/>
        <v>0</v>
      </c>
      <c r="E339" s="160">
        <f t="shared" si="62"/>
        <v>0</v>
      </c>
      <c r="F339" s="169"/>
    </row>
    <row r="340" spans="2:6">
      <c r="B340" s="168" t="str">
        <f>IF(E339&gt;0.005,"December","")</f>
        <v/>
      </c>
      <c r="C340" s="160">
        <f t="shared" si="60"/>
        <v>0</v>
      </c>
      <c r="D340" s="160">
        <f t="shared" si="61"/>
        <v>0</v>
      </c>
      <c r="E340" s="160">
        <f t="shared" si="62"/>
        <v>0</v>
      </c>
      <c r="F340" s="169"/>
    </row>
    <row r="341" spans="2:6">
      <c r="B341" s="304" t="str">
        <f>"Total "&amp;YEAR($B$11)+21</f>
        <v>Total 2038</v>
      </c>
      <c r="C341" s="305">
        <f>SUM(C329:C340)</f>
        <v>0</v>
      </c>
      <c r="D341" s="305">
        <f>SUM(D329:D340)</f>
        <v>0</v>
      </c>
      <c r="E341" s="306"/>
      <c r="F341" s="170"/>
    </row>
    <row r="342" spans="2:6">
      <c r="B342" s="303"/>
      <c r="C342" s="17"/>
      <c r="D342" s="17"/>
      <c r="E342" s="17"/>
      <c r="F342" s="303"/>
    </row>
    <row r="343" spans="2:6">
      <c r="B343" s="163"/>
      <c r="C343" s="171" t="s">
        <v>62</v>
      </c>
      <c r="D343" s="171" t="s">
        <v>63</v>
      </c>
      <c r="E343" s="171" t="s">
        <v>64</v>
      </c>
      <c r="F343" s="165"/>
    </row>
    <row r="344" spans="2:6">
      <c r="B344" s="168" t="str">
        <f>IF(E340&gt;0.005,"January","")</f>
        <v/>
      </c>
      <c r="C344" s="160">
        <f>IF(E340&gt;0,ROUND(E340*($E$6/1200),2),0)</f>
        <v>0</v>
      </c>
      <c r="D344" s="160">
        <f>IF(E340&lt;$C$8,E340,$C$8-C344)</f>
        <v>0</v>
      </c>
      <c r="E344" s="160">
        <f>IF(E340-D344&gt;0,E340-D344,0)</f>
        <v>0</v>
      </c>
      <c r="F344" s="169"/>
    </row>
    <row r="345" spans="2:6">
      <c r="B345" s="168" t="str">
        <f>IF(E344&gt;0.005,"February","")</f>
        <v/>
      </c>
      <c r="C345" s="160">
        <f t="shared" ref="C345:C355" si="63">IF(E344&gt;0,ROUND(E344*($E$6/1200),2),0)</f>
        <v>0</v>
      </c>
      <c r="D345" s="160">
        <f t="shared" ref="D345:D355" si="64">IF(E344&lt;$C$8,E344,$C$8-C345)</f>
        <v>0</v>
      </c>
      <c r="E345" s="160">
        <f t="shared" ref="E345:E355" si="65">IF(E344-D345&gt;0,E344-D345,0)</f>
        <v>0</v>
      </c>
      <c r="F345" s="169"/>
    </row>
    <row r="346" spans="2:6">
      <c r="B346" s="168" t="str">
        <f>IF(E345&gt;0.005,"March","")</f>
        <v/>
      </c>
      <c r="C346" s="160">
        <f t="shared" si="63"/>
        <v>0</v>
      </c>
      <c r="D346" s="160">
        <f t="shared" si="64"/>
        <v>0</v>
      </c>
      <c r="E346" s="160">
        <f t="shared" si="65"/>
        <v>0</v>
      </c>
      <c r="F346" s="169"/>
    </row>
    <row r="347" spans="2:6">
      <c r="B347" s="168" t="str">
        <f>IF(E346&gt;0.005,"April","")</f>
        <v/>
      </c>
      <c r="C347" s="160">
        <f t="shared" si="63"/>
        <v>0</v>
      </c>
      <c r="D347" s="160">
        <f t="shared" si="64"/>
        <v>0</v>
      </c>
      <c r="E347" s="160">
        <f t="shared" si="65"/>
        <v>0</v>
      </c>
      <c r="F347" s="169"/>
    </row>
    <row r="348" spans="2:6">
      <c r="B348" s="168" t="str">
        <f>IF(E347&gt;0.005,"May","")</f>
        <v/>
      </c>
      <c r="C348" s="160">
        <f t="shared" si="63"/>
        <v>0</v>
      </c>
      <c r="D348" s="160">
        <f t="shared" si="64"/>
        <v>0</v>
      </c>
      <c r="E348" s="160">
        <f t="shared" si="65"/>
        <v>0</v>
      </c>
      <c r="F348" s="169"/>
    </row>
    <row r="349" spans="2:6">
      <c r="B349" s="168" t="str">
        <f>IF(E348&gt;0.005,"June","")</f>
        <v/>
      </c>
      <c r="C349" s="160">
        <f t="shared" si="63"/>
        <v>0</v>
      </c>
      <c r="D349" s="160">
        <f t="shared" si="64"/>
        <v>0</v>
      </c>
      <c r="E349" s="160">
        <f t="shared" si="65"/>
        <v>0</v>
      </c>
      <c r="F349" s="169"/>
    </row>
    <row r="350" spans="2:6">
      <c r="B350" s="168" t="str">
        <f>IF(E349&gt;0.005,"July","")</f>
        <v/>
      </c>
      <c r="C350" s="160">
        <f t="shared" si="63"/>
        <v>0</v>
      </c>
      <c r="D350" s="160">
        <f t="shared" si="64"/>
        <v>0</v>
      </c>
      <c r="E350" s="160">
        <f t="shared" si="65"/>
        <v>0</v>
      </c>
      <c r="F350" s="169"/>
    </row>
    <row r="351" spans="2:6">
      <c r="B351" s="168" t="str">
        <f>IF(E350&gt;0.005,"August","")</f>
        <v/>
      </c>
      <c r="C351" s="160">
        <f t="shared" si="63"/>
        <v>0</v>
      </c>
      <c r="D351" s="160">
        <f t="shared" si="64"/>
        <v>0</v>
      </c>
      <c r="E351" s="160">
        <f t="shared" si="65"/>
        <v>0</v>
      </c>
      <c r="F351" s="169"/>
    </row>
    <row r="352" spans="2:6">
      <c r="B352" s="168" t="str">
        <f>IF(E351&gt;0.005,"September","")</f>
        <v/>
      </c>
      <c r="C352" s="160">
        <f t="shared" si="63"/>
        <v>0</v>
      </c>
      <c r="D352" s="160">
        <f t="shared" si="64"/>
        <v>0</v>
      </c>
      <c r="E352" s="160">
        <f t="shared" si="65"/>
        <v>0</v>
      </c>
      <c r="F352" s="169"/>
    </row>
    <row r="353" spans="2:6">
      <c r="B353" s="168" t="str">
        <f>IF(E352&gt;0.005,"October","")</f>
        <v/>
      </c>
      <c r="C353" s="160">
        <f t="shared" si="63"/>
        <v>0</v>
      </c>
      <c r="D353" s="160">
        <f t="shared" si="64"/>
        <v>0</v>
      </c>
      <c r="E353" s="160">
        <f t="shared" si="65"/>
        <v>0</v>
      </c>
      <c r="F353" s="169"/>
    </row>
    <row r="354" spans="2:6">
      <c r="B354" s="168" t="str">
        <f>IF(E353&gt;0.005,"November","")</f>
        <v/>
      </c>
      <c r="C354" s="160">
        <f t="shared" si="63"/>
        <v>0</v>
      </c>
      <c r="D354" s="160">
        <f t="shared" si="64"/>
        <v>0</v>
      </c>
      <c r="E354" s="160">
        <f t="shared" si="65"/>
        <v>0</v>
      </c>
      <c r="F354" s="169"/>
    </row>
    <row r="355" spans="2:6">
      <c r="B355" s="168" t="str">
        <f>IF(E354&gt;0.005,"December","")</f>
        <v/>
      </c>
      <c r="C355" s="160">
        <f t="shared" si="63"/>
        <v>0</v>
      </c>
      <c r="D355" s="160">
        <f t="shared" si="64"/>
        <v>0</v>
      </c>
      <c r="E355" s="160">
        <f t="shared" si="65"/>
        <v>0</v>
      </c>
      <c r="F355" s="169"/>
    </row>
    <row r="356" spans="2:6">
      <c r="B356" s="304" t="str">
        <f>"Total "&amp;YEAR($B$11)+22</f>
        <v>Total 2039</v>
      </c>
      <c r="C356" s="305">
        <f>SUM(C344:C355)</f>
        <v>0</v>
      </c>
      <c r="D356" s="305">
        <f>SUM(D344:D355)</f>
        <v>0</v>
      </c>
      <c r="E356" s="306"/>
      <c r="F356" s="170"/>
    </row>
    <row r="357" spans="2:6">
      <c r="B357" s="9"/>
      <c r="C357" s="18"/>
      <c r="D357" s="18"/>
      <c r="E357" s="17"/>
      <c r="F357" s="303"/>
    </row>
    <row r="358" spans="2:6">
      <c r="B358" s="163"/>
      <c r="C358" s="171" t="s">
        <v>62</v>
      </c>
      <c r="D358" s="171" t="s">
        <v>63</v>
      </c>
      <c r="E358" s="171" t="s">
        <v>64</v>
      </c>
      <c r="F358" s="165"/>
    </row>
    <row r="359" spans="2:6">
      <c r="B359" s="168" t="str">
        <f>IF(E355&gt;0.005,"January","")</f>
        <v/>
      </c>
      <c r="C359" s="160">
        <f>IF(E355&gt;0,ROUND(E355*($E$6/1200),2),0)</f>
        <v>0</v>
      </c>
      <c r="D359" s="160">
        <f>IF(E355&lt;$C$8,E355,$C$8-C359)</f>
        <v>0</v>
      </c>
      <c r="E359" s="160">
        <f>IF(E355-D359&gt;0,E355-D359,0)</f>
        <v>0</v>
      </c>
      <c r="F359" s="169"/>
    </row>
    <row r="360" spans="2:6">
      <c r="B360" s="168" t="str">
        <f>IF(E359&gt;0.005,"February","")</f>
        <v/>
      </c>
      <c r="C360" s="160">
        <f t="shared" ref="C360:C370" si="66">IF(E359&gt;0,ROUND(E359*($E$6/1200),2),0)</f>
        <v>0</v>
      </c>
      <c r="D360" s="160">
        <f t="shared" ref="D360:D370" si="67">IF(E359&lt;$C$8,E359,$C$8-C360)</f>
        <v>0</v>
      </c>
      <c r="E360" s="160">
        <f t="shared" ref="E360:E370" si="68">IF(E359-D360&gt;0,E359-D360,0)</f>
        <v>0</v>
      </c>
      <c r="F360" s="169"/>
    </row>
    <row r="361" spans="2:6">
      <c r="B361" s="168" t="str">
        <f>IF(E360&gt;0.005,"March","")</f>
        <v/>
      </c>
      <c r="C361" s="160">
        <f t="shared" si="66"/>
        <v>0</v>
      </c>
      <c r="D361" s="160">
        <f t="shared" si="67"/>
        <v>0</v>
      </c>
      <c r="E361" s="160">
        <f t="shared" si="68"/>
        <v>0</v>
      </c>
      <c r="F361" s="169"/>
    </row>
    <row r="362" spans="2:6">
      <c r="B362" s="168" t="str">
        <f>IF(E361&gt;0.005,"April","")</f>
        <v/>
      </c>
      <c r="C362" s="160">
        <f t="shared" si="66"/>
        <v>0</v>
      </c>
      <c r="D362" s="160">
        <f t="shared" si="67"/>
        <v>0</v>
      </c>
      <c r="E362" s="160">
        <f t="shared" si="68"/>
        <v>0</v>
      </c>
      <c r="F362" s="169"/>
    </row>
    <row r="363" spans="2:6">
      <c r="B363" s="168" t="str">
        <f>IF(E362&gt;0.005,"May","")</f>
        <v/>
      </c>
      <c r="C363" s="160">
        <f t="shared" si="66"/>
        <v>0</v>
      </c>
      <c r="D363" s="160">
        <f t="shared" si="67"/>
        <v>0</v>
      </c>
      <c r="E363" s="160">
        <f t="shared" si="68"/>
        <v>0</v>
      </c>
      <c r="F363" s="169"/>
    </row>
    <row r="364" spans="2:6">
      <c r="B364" s="168" t="str">
        <f>IF(E363&gt;0.005,"June","")</f>
        <v/>
      </c>
      <c r="C364" s="160">
        <f t="shared" si="66"/>
        <v>0</v>
      </c>
      <c r="D364" s="160">
        <f t="shared" si="67"/>
        <v>0</v>
      </c>
      <c r="E364" s="160">
        <f t="shared" si="68"/>
        <v>0</v>
      </c>
      <c r="F364" s="169"/>
    </row>
    <row r="365" spans="2:6">
      <c r="B365" s="168" t="str">
        <f>IF(E364&gt;0.005,"July","")</f>
        <v/>
      </c>
      <c r="C365" s="160">
        <f t="shared" si="66"/>
        <v>0</v>
      </c>
      <c r="D365" s="160">
        <f t="shared" si="67"/>
        <v>0</v>
      </c>
      <c r="E365" s="160">
        <f t="shared" si="68"/>
        <v>0</v>
      </c>
      <c r="F365" s="169"/>
    </row>
    <row r="366" spans="2:6">
      <c r="B366" s="168" t="str">
        <f>IF(E365&gt;0.005,"August","")</f>
        <v/>
      </c>
      <c r="C366" s="160">
        <f t="shared" si="66"/>
        <v>0</v>
      </c>
      <c r="D366" s="160">
        <f t="shared" si="67"/>
        <v>0</v>
      </c>
      <c r="E366" s="160">
        <f t="shared" si="68"/>
        <v>0</v>
      </c>
      <c r="F366" s="169"/>
    </row>
    <row r="367" spans="2:6">
      <c r="B367" s="168" t="str">
        <f>IF(E366&gt;0.005,"September","")</f>
        <v/>
      </c>
      <c r="C367" s="160">
        <f t="shared" si="66"/>
        <v>0</v>
      </c>
      <c r="D367" s="160">
        <f t="shared" si="67"/>
        <v>0</v>
      </c>
      <c r="E367" s="160">
        <f t="shared" si="68"/>
        <v>0</v>
      </c>
      <c r="F367" s="169"/>
    </row>
    <row r="368" spans="2:6">
      <c r="B368" s="168" t="str">
        <f>IF(E367&gt;0.005,"October","")</f>
        <v/>
      </c>
      <c r="C368" s="160">
        <f t="shared" si="66"/>
        <v>0</v>
      </c>
      <c r="D368" s="160">
        <f t="shared" si="67"/>
        <v>0</v>
      </c>
      <c r="E368" s="160">
        <f t="shared" si="68"/>
        <v>0</v>
      </c>
      <c r="F368" s="169"/>
    </row>
    <row r="369" spans="1:7">
      <c r="B369" s="168" t="str">
        <f>IF(E368&gt;0.005,"November","")</f>
        <v/>
      </c>
      <c r="C369" s="160">
        <f t="shared" si="66"/>
        <v>0</v>
      </c>
      <c r="D369" s="160">
        <f t="shared" si="67"/>
        <v>0</v>
      </c>
      <c r="E369" s="160">
        <f t="shared" si="68"/>
        <v>0</v>
      </c>
      <c r="F369" s="169"/>
    </row>
    <row r="370" spans="1:7">
      <c r="B370" s="168" t="str">
        <f>IF(E369&gt;0.005,"December","")</f>
        <v/>
      </c>
      <c r="C370" s="160">
        <f t="shared" si="66"/>
        <v>0</v>
      </c>
      <c r="D370" s="160">
        <f t="shared" si="67"/>
        <v>0</v>
      </c>
      <c r="E370" s="160">
        <f t="shared" si="68"/>
        <v>0</v>
      </c>
      <c r="F370" s="169"/>
    </row>
    <row r="371" spans="1:7">
      <c r="B371" s="304" t="str">
        <f>"Total "&amp;YEAR($B$11)+23</f>
        <v>Total 2040</v>
      </c>
      <c r="C371" s="305">
        <f>SUM(C359:C370)</f>
        <v>0</v>
      </c>
      <c r="D371" s="305">
        <f>SUM(D359:D370)</f>
        <v>0</v>
      </c>
      <c r="E371" s="306"/>
      <c r="F371" s="170"/>
    </row>
    <row r="372" spans="1:7">
      <c r="A372" s="307"/>
      <c r="B372" s="303"/>
      <c r="C372" s="17"/>
      <c r="D372" s="17"/>
      <c r="E372" s="17"/>
      <c r="F372" s="303"/>
      <c r="G372" s="307"/>
    </row>
    <row r="373" spans="1:7">
      <c r="A373" s="307"/>
      <c r="B373" s="163"/>
      <c r="C373" s="171" t="s">
        <v>62</v>
      </c>
      <c r="D373" s="171" t="s">
        <v>63</v>
      </c>
      <c r="E373" s="171" t="s">
        <v>64</v>
      </c>
      <c r="F373" s="165"/>
    </row>
    <row r="374" spans="1:7">
      <c r="B374" s="168" t="str">
        <f>IF(E370&gt;0.005,"January","")</f>
        <v/>
      </c>
      <c r="C374" s="160">
        <f>IF(E370&gt;0,ROUND(E370*($E$6/1200),2),0)</f>
        <v>0</v>
      </c>
      <c r="D374" s="160">
        <f>IF(E370&lt;$C$8,E370,$C$8-C374)</f>
        <v>0</v>
      </c>
      <c r="E374" s="160">
        <f>IF(E370-D374&gt;0,E370-D374,0)</f>
        <v>0</v>
      </c>
      <c r="F374" s="169"/>
    </row>
    <row r="375" spans="1:7">
      <c r="B375" s="168" t="str">
        <f>IF(E374&gt;0.005,"February","")</f>
        <v/>
      </c>
      <c r="C375" s="160">
        <f t="shared" ref="C375:C385" si="69">IF(E374&gt;0,ROUND(E374*($E$6/1200),2),0)</f>
        <v>0</v>
      </c>
      <c r="D375" s="160">
        <f t="shared" ref="D375:D385" si="70">IF(E374&lt;$C$8,E374,$C$8-C375)</f>
        <v>0</v>
      </c>
      <c r="E375" s="160">
        <f t="shared" ref="E375:E385" si="71">IF(E374-D375&gt;0,E374-D375,0)</f>
        <v>0</v>
      </c>
      <c r="F375" s="169"/>
    </row>
    <row r="376" spans="1:7">
      <c r="B376" s="168" t="str">
        <f>IF(E375&gt;0.005,"March","")</f>
        <v/>
      </c>
      <c r="C376" s="160">
        <f t="shared" si="69"/>
        <v>0</v>
      </c>
      <c r="D376" s="160">
        <f t="shared" si="70"/>
        <v>0</v>
      </c>
      <c r="E376" s="160">
        <f t="shared" si="71"/>
        <v>0</v>
      </c>
      <c r="F376" s="169"/>
    </row>
    <row r="377" spans="1:7">
      <c r="B377" s="168" t="str">
        <f>IF(E376&gt;0.005,"April","")</f>
        <v/>
      </c>
      <c r="C377" s="160">
        <f t="shared" si="69"/>
        <v>0</v>
      </c>
      <c r="D377" s="160">
        <f t="shared" si="70"/>
        <v>0</v>
      </c>
      <c r="E377" s="160">
        <f t="shared" si="71"/>
        <v>0</v>
      </c>
      <c r="F377" s="169"/>
    </row>
    <row r="378" spans="1:7">
      <c r="B378" s="168" t="str">
        <f>IF(E377&gt;0.005,"May","")</f>
        <v/>
      </c>
      <c r="C378" s="160">
        <f t="shared" si="69"/>
        <v>0</v>
      </c>
      <c r="D378" s="160">
        <f t="shared" si="70"/>
        <v>0</v>
      </c>
      <c r="E378" s="160">
        <f t="shared" si="71"/>
        <v>0</v>
      </c>
      <c r="F378" s="169"/>
    </row>
    <row r="379" spans="1:7">
      <c r="B379" s="168" t="str">
        <f>IF(E378&gt;0.005,"June","")</f>
        <v/>
      </c>
      <c r="C379" s="160">
        <f t="shared" si="69"/>
        <v>0</v>
      </c>
      <c r="D379" s="160">
        <f t="shared" si="70"/>
        <v>0</v>
      </c>
      <c r="E379" s="160">
        <f t="shared" si="71"/>
        <v>0</v>
      </c>
      <c r="F379" s="169"/>
    </row>
    <row r="380" spans="1:7">
      <c r="B380" s="168" t="str">
        <f>IF(E379&gt;0.005,"July","")</f>
        <v/>
      </c>
      <c r="C380" s="160">
        <f t="shared" si="69"/>
        <v>0</v>
      </c>
      <c r="D380" s="160">
        <f t="shared" si="70"/>
        <v>0</v>
      </c>
      <c r="E380" s="160">
        <f t="shared" si="71"/>
        <v>0</v>
      </c>
      <c r="F380" s="169"/>
    </row>
    <row r="381" spans="1:7">
      <c r="B381" s="168" t="str">
        <f>IF(E380&gt;0.005,"August","")</f>
        <v/>
      </c>
      <c r="C381" s="160">
        <f t="shared" si="69"/>
        <v>0</v>
      </c>
      <c r="D381" s="160">
        <f t="shared" si="70"/>
        <v>0</v>
      </c>
      <c r="E381" s="160">
        <f t="shared" si="71"/>
        <v>0</v>
      </c>
      <c r="F381" s="169"/>
    </row>
    <row r="382" spans="1:7">
      <c r="B382" s="168" t="str">
        <f>IF(E381&gt;0.005,"September","")</f>
        <v/>
      </c>
      <c r="C382" s="160">
        <f t="shared" si="69"/>
        <v>0</v>
      </c>
      <c r="D382" s="160">
        <f t="shared" si="70"/>
        <v>0</v>
      </c>
      <c r="E382" s="160">
        <f t="shared" si="71"/>
        <v>0</v>
      </c>
      <c r="F382" s="169"/>
    </row>
    <row r="383" spans="1:7">
      <c r="B383" s="168" t="str">
        <f>IF(E382&gt;0.005,"October","")</f>
        <v/>
      </c>
      <c r="C383" s="160">
        <f t="shared" si="69"/>
        <v>0</v>
      </c>
      <c r="D383" s="160">
        <f t="shared" si="70"/>
        <v>0</v>
      </c>
      <c r="E383" s="160">
        <f t="shared" si="71"/>
        <v>0</v>
      </c>
      <c r="F383" s="169"/>
    </row>
    <row r="384" spans="1:7">
      <c r="B384" s="168" t="str">
        <f>IF(E383&gt;0.005,"November","")</f>
        <v/>
      </c>
      <c r="C384" s="160">
        <f t="shared" si="69"/>
        <v>0</v>
      </c>
      <c r="D384" s="160">
        <f t="shared" si="70"/>
        <v>0</v>
      </c>
      <c r="E384" s="160">
        <f t="shared" si="71"/>
        <v>0</v>
      </c>
      <c r="F384" s="169"/>
    </row>
    <row r="385" spans="2:6">
      <c r="B385" s="168" t="str">
        <f>IF(E384&gt;0.005,"December","")</f>
        <v/>
      </c>
      <c r="C385" s="160">
        <f t="shared" si="69"/>
        <v>0</v>
      </c>
      <c r="D385" s="160">
        <f t="shared" si="70"/>
        <v>0</v>
      </c>
      <c r="E385" s="160">
        <f t="shared" si="71"/>
        <v>0</v>
      </c>
      <c r="F385" s="169"/>
    </row>
    <row r="386" spans="2:6">
      <c r="B386" s="304" t="str">
        <f>"Total "&amp;YEAR($B$11)+24</f>
        <v>Total 2041</v>
      </c>
      <c r="C386" s="305">
        <f>SUM(C374:C385)</f>
        <v>0</v>
      </c>
      <c r="D386" s="305">
        <f>SUM(D374:D385)</f>
        <v>0</v>
      </c>
      <c r="E386" s="306"/>
      <c r="F386" s="170"/>
    </row>
    <row r="387" spans="2:6">
      <c r="B387" s="303"/>
      <c r="C387" s="17"/>
      <c r="D387" s="17"/>
      <c r="E387" s="17"/>
      <c r="F387" s="303"/>
    </row>
    <row r="388" spans="2:6">
      <c r="B388" s="163"/>
      <c r="C388" s="171" t="s">
        <v>62</v>
      </c>
      <c r="D388" s="171" t="s">
        <v>63</v>
      </c>
      <c r="E388" s="171" t="s">
        <v>64</v>
      </c>
      <c r="F388" s="165"/>
    </row>
    <row r="389" spans="2:6">
      <c r="B389" s="168" t="str">
        <f>IF(E385&gt;0.005,"January","")</f>
        <v/>
      </c>
      <c r="C389" s="160">
        <f>IF(E385&gt;0,ROUND(E385*($E$6/1200),2),0)</f>
        <v>0</v>
      </c>
      <c r="D389" s="160">
        <f>IF(E385&lt;$C$8,E385,$C$8-C389)</f>
        <v>0</v>
      </c>
      <c r="E389" s="160">
        <f>IF(E385-D389&gt;0,E385-D389,0)</f>
        <v>0</v>
      </c>
      <c r="F389" s="169"/>
    </row>
    <row r="390" spans="2:6">
      <c r="B390" s="168" t="str">
        <f>IF(E389&gt;0.005,"February","")</f>
        <v/>
      </c>
      <c r="C390" s="160">
        <f t="shared" ref="C390:C400" si="72">IF(E389&gt;0,ROUND(E389*($E$6/1200),2),0)</f>
        <v>0</v>
      </c>
      <c r="D390" s="160">
        <f t="shared" ref="D390:D400" si="73">IF(E389&lt;$C$8,E389,$C$8-C390)</f>
        <v>0</v>
      </c>
      <c r="E390" s="160">
        <f t="shared" ref="E390:E400" si="74">IF(E389-D390&gt;0,E389-D390,0)</f>
        <v>0</v>
      </c>
      <c r="F390" s="169"/>
    </row>
    <row r="391" spans="2:6">
      <c r="B391" s="168" t="str">
        <f>IF(E390&gt;0.005,"March","")</f>
        <v/>
      </c>
      <c r="C391" s="160">
        <f t="shared" si="72"/>
        <v>0</v>
      </c>
      <c r="D391" s="160">
        <f t="shared" si="73"/>
        <v>0</v>
      </c>
      <c r="E391" s="160">
        <f t="shared" si="74"/>
        <v>0</v>
      </c>
      <c r="F391" s="169"/>
    </row>
    <row r="392" spans="2:6">
      <c r="B392" s="168" t="str">
        <f>IF(E391&gt;0.005,"April","")</f>
        <v/>
      </c>
      <c r="C392" s="160">
        <f t="shared" si="72"/>
        <v>0</v>
      </c>
      <c r="D392" s="160">
        <f t="shared" si="73"/>
        <v>0</v>
      </c>
      <c r="E392" s="160">
        <f t="shared" si="74"/>
        <v>0</v>
      </c>
      <c r="F392" s="169"/>
    </row>
    <row r="393" spans="2:6">
      <c r="B393" s="168" t="str">
        <f>IF(E392&gt;0.005,"May","")</f>
        <v/>
      </c>
      <c r="C393" s="160">
        <f t="shared" si="72"/>
        <v>0</v>
      </c>
      <c r="D393" s="160">
        <f t="shared" si="73"/>
        <v>0</v>
      </c>
      <c r="E393" s="160">
        <f t="shared" si="74"/>
        <v>0</v>
      </c>
      <c r="F393" s="169"/>
    </row>
    <row r="394" spans="2:6">
      <c r="B394" s="168" t="str">
        <f>IF(E393&gt;0.005,"June","")</f>
        <v/>
      </c>
      <c r="C394" s="160">
        <f t="shared" si="72"/>
        <v>0</v>
      </c>
      <c r="D394" s="160">
        <f t="shared" si="73"/>
        <v>0</v>
      </c>
      <c r="E394" s="160">
        <f t="shared" si="74"/>
        <v>0</v>
      </c>
      <c r="F394" s="169"/>
    </row>
    <row r="395" spans="2:6">
      <c r="B395" s="168" t="str">
        <f>IF(E394&gt;0.005,"July","")</f>
        <v/>
      </c>
      <c r="C395" s="160">
        <f t="shared" si="72"/>
        <v>0</v>
      </c>
      <c r="D395" s="160">
        <f t="shared" si="73"/>
        <v>0</v>
      </c>
      <c r="E395" s="160">
        <f t="shared" si="74"/>
        <v>0</v>
      </c>
      <c r="F395" s="169"/>
    </row>
    <row r="396" spans="2:6">
      <c r="B396" s="168" t="str">
        <f>IF(E395&gt;0.005,"August","")</f>
        <v/>
      </c>
      <c r="C396" s="160">
        <f t="shared" si="72"/>
        <v>0</v>
      </c>
      <c r="D396" s="160">
        <f t="shared" si="73"/>
        <v>0</v>
      </c>
      <c r="E396" s="160">
        <f t="shared" si="74"/>
        <v>0</v>
      </c>
      <c r="F396" s="169"/>
    </row>
    <row r="397" spans="2:6">
      <c r="B397" s="168" t="str">
        <f>IF(E396&gt;0.005,"September","")</f>
        <v/>
      </c>
      <c r="C397" s="160">
        <f t="shared" si="72"/>
        <v>0</v>
      </c>
      <c r="D397" s="160">
        <f t="shared" si="73"/>
        <v>0</v>
      </c>
      <c r="E397" s="160">
        <f t="shared" si="74"/>
        <v>0</v>
      </c>
      <c r="F397" s="169"/>
    </row>
    <row r="398" spans="2:6">
      <c r="B398" s="168" t="str">
        <f>IF(E397&gt;0.005,"October","")</f>
        <v/>
      </c>
      <c r="C398" s="160">
        <f t="shared" si="72"/>
        <v>0</v>
      </c>
      <c r="D398" s="160">
        <f t="shared" si="73"/>
        <v>0</v>
      </c>
      <c r="E398" s="160">
        <f t="shared" si="74"/>
        <v>0</v>
      </c>
      <c r="F398" s="169"/>
    </row>
    <row r="399" spans="2:6">
      <c r="B399" s="168" t="str">
        <f>IF(E398&gt;0.005,"November","")</f>
        <v/>
      </c>
      <c r="C399" s="160">
        <f t="shared" si="72"/>
        <v>0</v>
      </c>
      <c r="D399" s="160">
        <f t="shared" si="73"/>
        <v>0</v>
      </c>
      <c r="E399" s="160">
        <f t="shared" si="74"/>
        <v>0</v>
      </c>
      <c r="F399" s="169"/>
    </row>
    <row r="400" spans="2:6">
      <c r="B400" s="168" t="str">
        <f>IF(E399&gt;0.005,"December","")</f>
        <v/>
      </c>
      <c r="C400" s="160">
        <f t="shared" si="72"/>
        <v>0</v>
      </c>
      <c r="D400" s="160">
        <f t="shared" si="73"/>
        <v>0</v>
      </c>
      <c r="E400" s="160">
        <f t="shared" si="74"/>
        <v>0</v>
      </c>
      <c r="F400" s="169"/>
    </row>
    <row r="401" spans="2:7">
      <c r="B401" s="304" t="str">
        <f>"Total "&amp;YEAR($B$11)+25</f>
        <v>Total 2042</v>
      </c>
      <c r="C401" s="305">
        <f>SUM(C389:C400)</f>
        <v>0</v>
      </c>
      <c r="D401" s="305">
        <f>SUM(D389:D400)</f>
        <v>0</v>
      </c>
      <c r="E401" s="306"/>
      <c r="F401" s="170"/>
    </row>
    <row r="402" spans="2:7">
      <c r="B402" s="9"/>
      <c r="C402" s="18"/>
      <c r="D402" s="18"/>
      <c r="E402" s="17"/>
      <c r="F402" s="303"/>
      <c r="G402" s="307"/>
    </row>
    <row r="403" spans="2:7">
      <c r="B403" s="163"/>
      <c r="C403" s="171" t="s">
        <v>62</v>
      </c>
      <c r="D403" s="171" t="s">
        <v>63</v>
      </c>
      <c r="E403" s="171" t="s">
        <v>64</v>
      </c>
      <c r="F403" s="165"/>
    </row>
    <row r="404" spans="2:7">
      <c r="B404" s="168" t="str">
        <f>IF(E400&gt;0.005,"January","")</f>
        <v/>
      </c>
      <c r="C404" s="160">
        <f>IF(E400&gt;0,ROUND(E400*($E$6/1200),2),0)</f>
        <v>0</v>
      </c>
      <c r="D404" s="160">
        <f>IF(E400&lt;$C$8,E400,$C$8-C404)</f>
        <v>0</v>
      </c>
      <c r="E404" s="160">
        <f>IF(E400-D404&gt;0,E400-D404,0)</f>
        <v>0</v>
      </c>
      <c r="F404" s="169"/>
    </row>
    <row r="405" spans="2:7">
      <c r="B405" s="168" t="str">
        <f>IF(E404&gt;0.005,"February","")</f>
        <v/>
      </c>
      <c r="C405" s="160">
        <f t="shared" ref="C405:C415" si="75">IF(E404&gt;0,ROUND(E404*($E$6/1200),2),0)</f>
        <v>0</v>
      </c>
      <c r="D405" s="160">
        <f t="shared" ref="D405:D415" si="76">IF(E404&lt;$C$8,E404,$C$8-C405)</f>
        <v>0</v>
      </c>
      <c r="E405" s="160">
        <f t="shared" ref="E405:E415" si="77">IF(E404-D405&gt;0,E404-D405,0)</f>
        <v>0</v>
      </c>
      <c r="F405" s="169"/>
    </row>
    <row r="406" spans="2:7">
      <c r="B406" s="168" t="str">
        <f>IF(E405&gt;0.005,"March","")</f>
        <v/>
      </c>
      <c r="C406" s="160">
        <f t="shared" si="75"/>
        <v>0</v>
      </c>
      <c r="D406" s="160">
        <f t="shared" si="76"/>
        <v>0</v>
      </c>
      <c r="E406" s="160">
        <f t="shared" si="77"/>
        <v>0</v>
      </c>
      <c r="F406" s="169"/>
    </row>
    <row r="407" spans="2:7">
      <c r="B407" s="168" t="str">
        <f>IF(E406&gt;0.005,"April","")</f>
        <v/>
      </c>
      <c r="C407" s="160">
        <f t="shared" si="75"/>
        <v>0</v>
      </c>
      <c r="D407" s="160">
        <f t="shared" si="76"/>
        <v>0</v>
      </c>
      <c r="E407" s="160">
        <f t="shared" si="77"/>
        <v>0</v>
      </c>
      <c r="F407" s="169"/>
    </row>
    <row r="408" spans="2:7">
      <c r="B408" s="168" t="str">
        <f>IF(E407&gt;0.005,"May","")</f>
        <v/>
      </c>
      <c r="C408" s="160">
        <f t="shared" si="75"/>
        <v>0</v>
      </c>
      <c r="D408" s="160">
        <f t="shared" si="76"/>
        <v>0</v>
      </c>
      <c r="E408" s="160">
        <f t="shared" si="77"/>
        <v>0</v>
      </c>
      <c r="F408" s="169"/>
    </row>
    <row r="409" spans="2:7">
      <c r="B409" s="168" t="str">
        <f>IF(E408&gt;0.005,"June","")</f>
        <v/>
      </c>
      <c r="C409" s="160">
        <f t="shared" si="75"/>
        <v>0</v>
      </c>
      <c r="D409" s="160">
        <f t="shared" si="76"/>
        <v>0</v>
      </c>
      <c r="E409" s="160">
        <f t="shared" si="77"/>
        <v>0</v>
      </c>
      <c r="F409" s="169"/>
    </row>
    <row r="410" spans="2:7">
      <c r="B410" s="168" t="str">
        <f>IF(E409&gt;0.005,"July","")</f>
        <v/>
      </c>
      <c r="C410" s="160">
        <f t="shared" si="75"/>
        <v>0</v>
      </c>
      <c r="D410" s="160">
        <f t="shared" si="76"/>
        <v>0</v>
      </c>
      <c r="E410" s="160">
        <f t="shared" si="77"/>
        <v>0</v>
      </c>
      <c r="F410" s="169"/>
    </row>
    <row r="411" spans="2:7">
      <c r="B411" s="168" t="str">
        <f>IF(E410&gt;0.005,"August","")</f>
        <v/>
      </c>
      <c r="C411" s="160">
        <f t="shared" si="75"/>
        <v>0</v>
      </c>
      <c r="D411" s="160">
        <f t="shared" si="76"/>
        <v>0</v>
      </c>
      <c r="E411" s="160">
        <f t="shared" si="77"/>
        <v>0</v>
      </c>
      <c r="F411" s="169"/>
    </row>
    <row r="412" spans="2:7">
      <c r="B412" s="168" t="str">
        <f>IF(E411&gt;0.005,"September","")</f>
        <v/>
      </c>
      <c r="C412" s="160">
        <f t="shared" si="75"/>
        <v>0</v>
      </c>
      <c r="D412" s="160">
        <f t="shared" si="76"/>
        <v>0</v>
      </c>
      <c r="E412" s="160">
        <f t="shared" si="77"/>
        <v>0</v>
      </c>
      <c r="F412" s="169"/>
    </row>
    <row r="413" spans="2:7">
      <c r="B413" s="168" t="str">
        <f>IF(E412&gt;0.005,"October","")</f>
        <v/>
      </c>
      <c r="C413" s="160">
        <f t="shared" si="75"/>
        <v>0</v>
      </c>
      <c r="D413" s="160">
        <f t="shared" si="76"/>
        <v>0</v>
      </c>
      <c r="E413" s="160">
        <f t="shared" si="77"/>
        <v>0</v>
      </c>
      <c r="F413" s="169"/>
    </row>
    <row r="414" spans="2:7">
      <c r="B414" s="168" t="str">
        <f>IF(E413&gt;0.005,"November","")</f>
        <v/>
      </c>
      <c r="C414" s="160">
        <f t="shared" si="75"/>
        <v>0</v>
      </c>
      <c r="D414" s="160">
        <f t="shared" si="76"/>
        <v>0</v>
      </c>
      <c r="E414" s="160">
        <f t="shared" si="77"/>
        <v>0</v>
      </c>
      <c r="F414" s="169"/>
    </row>
    <row r="415" spans="2:7">
      <c r="B415" s="168" t="str">
        <f>IF(E414&gt;0.005,"December","")</f>
        <v/>
      </c>
      <c r="C415" s="160">
        <f t="shared" si="75"/>
        <v>0</v>
      </c>
      <c r="D415" s="160">
        <f t="shared" si="76"/>
        <v>0</v>
      </c>
      <c r="E415" s="160">
        <f t="shared" si="77"/>
        <v>0</v>
      </c>
      <c r="F415" s="169"/>
    </row>
    <row r="416" spans="2:7">
      <c r="B416" s="304" t="str">
        <f>"Total "&amp;YEAR($B$11)+26</f>
        <v>Total 2043</v>
      </c>
      <c r="C416" s="305">
        <f>SUM(C404:C415)</f>
        <v>0</v>
      </c>
      <c r="D416" s="305">
        <f>SUM(D404:D415)</f>
        <v>0</v>
      </c>
      <c r="E416" s="306"/>
      <c r="F416" s="170"/>
    </row>
    <row r="417" spans="2:7">
      <c r="B417" s="303"/>
      <c r="C417" s="17"/>
      <c r="D417" s="17"/>
      <c r="E417" s="17"/>
      <c r="F417" s="303"/>
    </row>
    <row r="418" spans="2:7">
      <c r="B418" s="163"/>
      <c r="C418" s="171" t="s">
        <v>62</v>
      </c>
      <c r="D418" s="171" t="s">
        <v>63</v>
      </c>
      <c r="E418" s="171" t="s">
        <v>64</v>
      </c>
      <c r="F418" s="165"/>
    </row>
    <row r="419" spans="2:7">
      <c r="B419" s="168" t="str">
        <f>IF(E415&gt;0.005,"January","")</f>
        <v/>
      </c>
      <c r="C419" s="160">
        <f>IF(E415&gt;0,ROUND(E415*($E$6/1200),2),0)</f>
        <v>0</v>
      </c>
      <c r="D419" s="160">
        <f>IF(E415&lt;$C$8,E415,$C$8-C419)</f>
        <v>0</v>
      </c>
      <c r="E419" s="160">
        <f>IF(E415-D419&gt;0,E415-D419,0)</f>
        <v>0</v>
      </c>
      <c r="F419" s="169"/>
    </row>
    <row r="420" spans="2:7">
      <c r="B420" s="168" t="str">
        <f>IF(E419&gt;0.005,"February","")</f>
        <v/>
      </c>
      <c r="C420" s="160">
        <f t="shared" ref="C420:C430" si="78">IF(E419&gt;0,ROUND(E419*($E$6/1200),2),0)</f>
        <v>0</v>
      </c>
      <c r="D420" s="160">
        <f t="shared" ref="D420:D430" si="79">IF(E419&lt;$C$8,E419,$C$8-C420)</f>
        <v>0</v>
      </c>
      <c r="E420" s="160">
        <f t="shared" ref="E420:E430" si="80">IF(E419-D420&gt;0,E419-D420,0)</f>
        <v>0</v>
      </c>
      <c r="F420" s="169"/>
    </row>
    <row r="421" spans="2:7">
      <c r="B421" s="168" t="str">
        <f>IF(E420&gt;0.005,"March","")</f>
        <v/>
      </c>
      <c r="C421" s="160">
        <f t="shared" si="78"/>
        <v>0</v>
      </c>
      <c r="D421" s="160">
        <f t="shared" si="79"/>
        <v>0</v>
      </c>
      <c r="E421" s="160">
        <f t="shared" si="80"/>
        <v>0</v>
      </c>
      <c r="F421" s="169"/>
    </row>
    <row r="422" spans="2:7">
      <c r="B422" s="168" t="str">
        <f>IF(E421&gt;0.005,"April","")</f>
        <v/>
      </c>
      <c r="C422" s="160">
        <f t="shared" si="78"/>
        <v>0</v>
      </c>
      <c r="D422" s="160">
        <f t="shared" si="79"/>
        <v>0</v>
      </c>
      <c r="E422" s="160">
        <f t="shared" si="80"/>
        <v>0</v>
      </c>
      <c r="F422" s="169"/>
    </row>
    <row r="423" spans="2:7">
      <c r="B423" s="168" t="str">
        <f>IF(E422&gt;0.005,"May","")</f>
        <v/>
      </c>
      <c r="C423" s="160">
        <f t="shared" si="78"/>
        <v>0</v>
      </c>
      <c r="D423" s="160">
        <f t="shared" si="79"/>
        <v>0</v>
      </c>
      <c r="E423" s="160">
        <f t="shared" si="80"/>
        <v>0</v>
      </c>
      <c r="F423" s="169"/>
    </row>
    <row r="424" spans="2:7">
      <c r="B424" s="168" t="str">
        <f>IF(E423&gt;0.005,"June","")</f>
        <v/>
      </c>
      <c r="C424" s="160">
        <f t="shared" si="78"/>
        <v>0</v>
      </c>
      <c r="D424" s="160">
        <f t="shared" si="79"/>
        <v>0</v>
      </c>
      <c r="E424" s="160">
        <f t="shared" si="80"/>
        <v>0</v>
      </c>
      <c r="F424" s="169"/>
    </row>
    <row r="425" spans="2:7">
      <c r="B425" s="168" t="str">
        <f>IF(E424&gt;0.005,"July","")</f>
        <v/>
      </c>
      <c r="C425" s="160">
        <f t="shared" si="78"/>
        <v>0</v>
      </c>
      <c r="D425" s="160">
        <f t="shared" si="79"/>
        <v>0</v>
      </c>
      <c r="E425" s="160">
        <f t="shared" si="80"/>
        <v>0</v>
      </c>
      <c r="F425" s="169"/>
    </row>
    <row r="426" spans="2:7">
      <c r="B426" s="168" t="str">
        <f>IF(E425&gt;0.005,"August","")</f>
        <v/>
      </c>
      <c r="C426" s="160">
        <f t="shared" si="78"/>
        <v>0</v>
      </c>
      <c r="D426" s="160">
        <f t="shared" si="79"/>
        <v>0</v>
      </c>
      <c r="E426" s="160">
        <f t="shared" si="80"/>
        <v>0</v>
      </c>
      <c r="F426" s="169"/>
    </row>
    <row r="427" spans="2:7">
      <c r="B427" s="168" t="str">
        <f>IF(E426&gt;0.005,"September","")</f>
        <v/>
      </c>
      <c r="C427" s="160">
        <f t="shared" si="78"/>
        <v>0</v>
      </c>
      <c r="D427" s="160">
        <f t="shared" si="79"/>
        <v>0</v>
      </c>
      <c r="E427" s="160">
        <f t="shared" si="80"/>
        <v>0</v>
      </c>
      <c r="F427" s="169"/>
    </row>
    <row r="428" spans="2:7">
      <c r="B428" s="168" t="str">
        <f>IF(E427&gt;0.005,"October","")</f>
        <v/>
      </c>
      <c r="C428" s="160">
        <f t="shared" si="78"/>
        <v>0</v>
      </c>
      <c r="D428" s="160">
        <f t="shared" si="79"/>
        <v>0</v>
      </c>
      <c r="E428" s="160">
        <f t="shared" si="80"/>
        <v>0</v>
      </c>
      <c r="F428" s="169"/>
    </row>
    <row r="429" spans="2:7">
      <c r="B429" s="168" t="str">
        <f>IF(E428&gt;0.005,"November","")</f>
        <v/>
      </c>
      <c r="C429" s="160">
        <f t="shared" si="78"/>
        <v>0</v>
      </c>
      <c r="D429" s="160">
        <f t="shared" si="79"/>
        <v>0</v>
      </c>
      <c r="E429" s="160">
        <f t="shared" si="80"/>
        <v>0</v>
      </c>
      <c r="F429" s="169"/>
    </row>
    <row r="430" spans="2:7">
      <c r="B430" s="168" t="str">
        <f>IF(E429&gt;0.005,"December","")</f>
        <v/>
      </c>
      <c r="C430" s="160">
        <f t="shared" si="78"/>
        <v>0</v>
      </c>
      <c r="D430" s="160">
        <f t="shared" si="79"/>
        <v>0</v>
      </c>
      <c r="E430" s="160">
        <f t="shared" si="80"/>
        <v>0</v>
      </c>
      <c r="F430" s="169"/>
    </row>
    <row r="431" spans="2:7">
      <c r="B431" s="304" t="str">
        <f>"Total "&amp;YEAR($B$11)+27</f>
        <v>Total 2044</v>
      </c>
      <c r="C431" s="305">
        <f>SUM(C419:C430)</f>
        <v>0</v>
      </c>
      <c r="D431" s="305">
        <f>SUM(D419:D430)</f>
        <v>0</v>
      </c>
      <c r="E431" s="306"/>
      <c r="F431" s="170"/>
    </row>
    <row r="432" spans="2:7">
      <c r="B432" s="303"/>
      <c r="C432" s="17"/>
      <c r="D432" s="17"/>
      <c r="E432" s="17"/>
      <c r="F432" s="303"/>
      <c r="G432" s="307"/>
    </row>
    <row r="433" spans="2:7">
      <c r="B433" s="163"/>
      <c r="C433" s="171" t="s">
        <v>62</v>
      </c>
      <c r="D433" s="171" t="s">
        <v>63</v>
      </c>
      <c r="E433" s="171" t="s">
        <v>64</v>
      </c>
      <c r="F433" s="165"/>
    </row>
    <row r="434" spans="2:7">
      <c r="B434" s="168" t="str">
        <f>IF(E430&gt;0.005,"January","")</f>
        <v/>
      </c>
      <c r="C434" s="160">
        <f>IF(E430&gt;0,ROUND(E430*($E$6/1200),2),0)</f>
        <v>0</v>
      </c>
      <c r="D434" s="160">
        <f>IF(E430&lt;$C$8,E430,$C$8-C434)</f>
        <v>0</v>
      </c>
      <c r="E434" s="160">
        <f>IF(E430-D434&gt;0,E430-D434,0)</f>
        <v>0</v>
      </c>
      <c r="F434" s="169"/>
    </row>
    <row r="435" spans="2:7">
      <c r="B435" s="168" t="str">
        <f>IF(E434&gt;0.005,"February","")</f>
        <v/>
      </c>
      <c r="C435" s="160">
        <f t="shared" ref="C435:C445" si="81">IF(E434&gt;0,ROUND(E434*($E$6/1200),2),0)</f>
        <v>0</v>
      </c>
      <c r="D435" s="160">
        <f t="shared" ref="D435:D445" si="82">IF(E434&lt;$C$8,E434,$C$8-C435)</f>
        <v>0</v>
      </c>
      <c r="E435" s="160">
        <f t="shared" ref="E435:E445" si="83">IF(E434-D435&gt;0,E434-D435,0)</f>
        <v>0</v>
      </c>
      <c r="F435" s="169"/>
    </row>
    <row r="436" spans="2:7">
      <c r="B436" s="168" t="str">
        <f>IF(E435&gt;0.005,"March","")</f>
        <v/>
      </c>
      <c r="C436" s="160">
        <f t="shared" si="81"/>
        <v>0</v>
      </c>
      <c r="D436" s="160">
        <f t="shared" si="82"/>
        <v>0</v>
      </c>
      <c r="E436" s="160">
        <f t="shared" si="83"/>
        <v>0</v>
      </c>
      <c r="F436" s="169"/>
    </row>
    <row r="437" spans="2:7">
      <c r="B437" s="168" t="str">
        <f>IF(E436&gt;0.005,"April","")</f>
        <v/>
      </c>
      <c r="C437" s="160">
        <f t="shared" si="81"/>
        <v>0</v>
      </c>
      <c r="D437" s="160">
        <f t="shared" si="82"/>
        <v>0</v>
      </c>
      <c r="E437" s="160">
        <f t="shared" si="83"/>
        <v>0</v>
      </c>
      <c r="F437" s="169"/>
    </row>
    <row r="438" spans="2:7">
      <c r="B438" s="168" t="str">
        <f>IF(E437&gt;0.005,"May","")</f>
        <v/>
      </c>
      <c r="C438" s="160">
        <f t="shared" si="81"/>
        <v>0</v>
      </c>
      <c r="D438" s="160">
        <f t="shared" si="82"/>
        <v>0</v>
      </c>
      <c r="E438" s="160">
        <f t="shared" si="83"/>
        <v>0</v>
      </c>
      <c r="F438" s="169"/>
    </row>
    <row r="439" spans="2:7">
      <c r="B439" s="168" t="str">
        <f>IF(E438&gt;0.005,"June","")</f>
        <v/>
      </c>
      <c r="C439" s="160">
        <f t="shared" si="81"/>
        <v>0</v>
      </c>
      <c r="D439" s="160">
        <f t="shared" si="82"/>
        <v>0</v>
      </c>
      <c r="E439" s="160">
        <f t="shared" si="83"/>
        <v>0</v>
      </c>
      <c r="F439" s="169"/>
    </row>
    <row r="440" spans="2:7">
      <c r="B440" s="168" t="str">
        <f>IF(E439&gt;0.005,"July","")</f>
        <v/>
      </c>
      <c r="C440" s="160">
        <f t="shared" si="81"/>
        <v>0</v>
      </c>
      <c r="D440" s="160">
        <f t="shared" si="82"/>
        <v>0</v>
      </c>
      <c r="E440" s="160">
        <f t="shared" si="83"/>
        <v>0</v>
      </c>
      <c r="F440" s="169"/>
    </row>
    <row r="441" spans="2:7">
      <c r="B441" s="168" t="str">
        <f>IF(E440&gt;0.005,"August","")</f>
        <v/>
      </c>
      <c r="C441" s="160">
        <f t="shared" si="81"/>
        <v>0</v>
      </c>
      <c r="D441" s="160">
        <f t="shared" si="82"/>
        <v>0</v>
      </c>
      <c r="E441" s="160">
        <f t="shared" si="83"/>
        <v>0</v>
      </c>
      <c r="F441" s="169"/>
    </row>
    <row r="442" spans="2:7">
      <c r="B442" s="168" t="str">
        <f>IF(E441&gt;0.005,"September","")</f>
        <v/>
      </c>
      <c r="C442" s="160">
        <f t="shared" si="81"/>
        <v>0</v>
      </c>
      <c r="D442" s="160">
        <f t="shared" si="82"/>
        <v>0</v>
      </c>
      <c r="E442" s="160">
        <f t="shared" si="83"/>
        <v>0</v>
      </c>
      <c r="F442" s="169"/>
    </row>
    <row r="443" spans="2:7">
      <c r="B443" s="168" t="str">
        <f>IF(E442&gt;0.005,"October","")</f>
        <v/>
      </c>
      <c r="C443" s="160">
        <f t="shared" si="81"/>
        <v>0</v>
      </c>
      <c r="D443" s="160">
        <f t="shared" si="82"/>
        <v>0</v>
      </c>
      <c r="E443" s="160">
        <f t="shared" si="83"/>
        <v>0</v>
      </c>
      <c r="F443" s="169"/>
    </row>
    <row r="444" spans="2:7">
      <c r="B444" s="168" t="str">
        <f>IF(E443&gt;0.005,"November","")</f>
        <v/>
      </c>
      <c r="C444" s="160">
        <f t="shared" si="81"/>
        <v>0</v>
      </c>
      <c r="D444" s="160">
        <f t="shared" si="82"/>
        <v>0</v>
      </c>
      <c r="E444" s="160">
        <f t="shared" si="83"/>
        <v>0</v>
      </c>
      <c r="F444" s="169"/>
    </row>
    <row r="445" spans="2:7">
      <c r="B445" s="168" t="str">
        <f>IF(E444&gt;0.005,"December","")</f>
        <v/>
      </c>
      <c r="C445" s="160">
        <f t="shared" si="81"/>
        <v>0</v>
      </c>
      <c r="D445" s="160">
        <f t="shared" si="82"/>
        <v>0</v>
      </c>
      <c r="E445" s="160">
        <f t="shared" si="83"/>
        <v>0</v>
      </c>
      <c r="F445" s="169"/>
    </row>
    <row r="446" spans="2:7">
      <c r="B446" s="304" t="str">
        <f>"Total "&amp;YEAR($B$11)+28</f>
        <v>Total 2045</v>
      </c>
      <c r="C446" s="305">
        <f>SUM(C434:C445)</f>
        <v>0</v>
      </c>
      <c r="D446" s="305">
        <f>SUM(D434:D445)</f>
        <v>0</v>
      </c>
      <c r="E446" s="306"/>
      <c r="F446" s="170"/>
    </row>
    <row r="447" spans="2:7">
      <c r="B447" s="9"/>
      <c r="C447" s="18"/>
      <c r="D447" s="18"/>
      <c r="E447" s="17"/>
      <c r="F447" s="303"/>
      <c r="G447" s="307"/>
    </row>
    <row r="448" spans="2:7">
      <c r="B448" s="163"/>
      <c r="C448" s="171" t="s">
        <v>62</v>
      </c>
      <c r="D448" s="171" t="s">
        <v>63</v>
      </c>
      <c r="E448" s="171" t="s">
        <v>64</v>
      </c>
      <c r="F448" s="165"/>
    </row>
    <row r="449" spans="2:9">
      <c r="B449" s="168" t="str">
        <f>IF(E445&gt;0.005,"January","")</f>
        <v/>
      </c>
      <c r="C449" s="160">
        <f>IF(E445&gt;0,ROUND(E445*($E$6/1200),2),0)</f>
        <v>0</v>
      </c>
      <c r="D449" s="160">
        <f>IF(E445&lt;$C$8,E445,$C$8-C449)</f>
        <v>0</v>
      </c>
      <c r="E449" s="160">
        <f>IF(E445-D449&gt;0,E445-D449,0)</f>
        <v>0</v>
      </c>
      <c r="F449" s="169"/>
    </row>
    <row r="450" spans="2:9">
      <c r="B450" s="168" t="str">
        <f>IF(E449&gt;0.005,"February","")</f>
        <v/>
      </c>
      <c r="C450" s="160">
        <f t="shared" ref="C450:C460" si="84">IF(E449&gt;0,ROUND(E449*($E$6/1200),2),0)</f>
        <v>0</v>
      </c>
      <c r="D450" s="160">
        <f t="shared" ref="D450:D460" si="85">IF(E449&lt;$C$8,E449,$C$8-C450)</f>
        <v>0</v>
      </c>
      <c r="E450" s="160">
        <f t="shared" ref="E450:E460" si="86">IF(E449-D450&gt;0,E449-D450,0)</f>
        <v>0</v>
      </c>
      <c r="F450" s="169"/>
    </row>
    <row r="451" spans="2:9">
      <c r="B451" s="168" t="str">
        <f>IF(E450&gt;0.005,"March","")</f>
        <v/>
      </c>
      <c r="C451" s="160">
        <f t="shared" si="84"/>
        <v>0</v>
      </c>
      <c r="D451" s="160">
        <f t="shared" si="85"/>
        <v>0</v>
      </c>
      <c r="E451" s="160">
        <f t="shared" si="86"/>
        <v>0</v>
      </c>
      <c r="F451" s="169"/>
    </row>
    <row r="452" spans="2:9">
      <c r="B452" s="168" t="str">
        <f>IF(E451&gt;0.005,"April","")</f>
        <v/>
      </c>
      <c r="C452" s="160">
        <f t="shared" si="84"/>
        <v>0</v>
      </c>
      <c r="D452" s="160">
        <f t="shared" si="85"/>
        <v>0</v>
      </c>
      <c r="E452" s="160">
        <f t="shared" si="86"/>
        <v>0</v>
      </c>
      <c r="F452" s="169"/>
    </row>
    <row r="453" spans="2:9">
      <c r="B453" s="168" t="str">
        <f>IF(E452&gt;0.005,"May","")</f>
        <v/>
      </c>
      <c r="C453" s="160">
        <f t="shared" si="84"/>
        <v>0</v>
      </c>
      <c r="D453" s="160">
        <f t="shared" si="85"/>
        <v>0</v>
      </c>
      <c r="E453" s="160">
        <f t="shared" si="86"/>
        <v>0</v>
      </c>
      <c r="F453" s="169"/>
    </row>
    <row r="454" spans="2:9">
      <c r="B454" s="168" t="str">
        <f>IF(E453&gt;0.005,"June","")</f>
        <v/>
      </c>
      <c r="C454" s="160">
        <f t="shared" si="84"/>
        <v>0</v>
      </c>
      <c r="D454" s="160">
        <f t="shared" si="85"/>
        <v>0</v>
      </c>
      <c r="E454" s="160">
        <f t="shared" si="86"/>
        <v>0</v>
      </c>
      <c r="F454" s="169"/>
    </row>
    <row r="455" spans="2:9">
      <c r="B455" s="168" t="str">
        <f>IF(E454&gt;0.005,"July","")</f>
        <v/>
      </c>
      <c r="C455" s="160">
        <f t="shared" si="84"/>
        <v>0</v>
      </c>
      <c r="D455" s="160">
        <f t="shared" si="85"/>
        <v>0</v>
      </c>
      <c r="E455" s="160">
        <f t="shared" si="86"/>
        <v>0</v>
      </c>
      <c r="F455" s="169"/>
    </row>
    <row r="456" spans="2:9">
      <c r="B456" s="168" t="str">
        <f>IF(E455&gt;0.005,"August","")</f>
        <v/>
      </c>
      <c r="C456" s="160">
        <f t="shared" si="84"/>
        <v>0</v>
      </c>
      <c r="D456" s="160">
        <f t="shared" si="85"/>
        <v>0</v>
      </c>
      <c r="E456" s="160">
        <f t="shared" si="86"/>
        <v>0</v>
      </c>
      <c r="F456" s="169"/>
    </row>
    <row r="457" spans="2:9">
      <c r="B457" s="168" t="str">
        <f>IF(E456&gt;0.005,"September","")</f>
        <v/>
      </c>
      <c r="C457" s="160">
        <f t="shared" si="84"/>
        <v>0</v>
      </c>
      <c r="D457" s="160">
        <f t="shared" si="85"/>
        <v>0</v>
      </c>
      <c r="E457" s="160">
        <f t="shared" si="86"/>
        <v>0</v>
      </c>
      <c r="F457" s="169"/>
    </row>
    <row r="458" spans="2:9">
      <c r="B458" s="168" t="str">
        <f>IF(E457&gt;0.005,"October","")</f>
        <v/>
      </c>
      <c r="C458" s="160">
        <f t="shared" si="84"/>
        <v>0</v>
      </c>
      <c r="D458" s="160">
        <f t="shared" si="85"/>
        <v>0</v>
      </c>
      <c r="E458" s="160">
        <f t="shared" si="86"/>
        <v>0</v>
      </c>
      <c r="F458" s="169"/>
    </row>
    <row r="459" spans="2:9">
      <c r="B459" s="168" t="str">
        <f>IF(E458&gt;0.005,"November","")</f>
        <v/>
      </c>
      <c r="C459" s="160">
        <f t="shared" si="84"/>
        <v>0</v>
      </c>
      <c r="D459" s="160">
        <f t="shared" si="85"/>
        <v>0</v>
      </c>
      <c r="E459" s="160">
        <f t="shared" si="86"/>
        <v>0</v>
      </c>
      <c r="F459" s="169"/>
    </row>
    <row r="460" spans="2:9">
      <c r="B460" s="168" t="str">
        <f>IF(E459&gt;0.005,"December","")</f>
        <v/>
      </c>
      <c r="C460" s="160">
        <f t="shared" si="84"/>
        <v>0</v>
      </c>
      <c r="D460" s="160">
        <f t="shared" si="85"/>
        <v>0</v>
      </c>
      <c r="E460" s="160">
        <f t="shared" si="86"/>
        <v>0</v>
      </c>
      <c r="F460" s="169"/>
    </row>
    <row r="461" spans="2:9">
      <c r="B461" s="304" t="str">
        <f>"Total "&amp;YEAR($B$11)+29</f>
        <v>Total 2046</v>
      </c>
      <c r="C461" s="305">
        <f>SUM(C449:C460)</f>
        <v>0</v>
      </c>
      <c r="D461" s="305">
        <f>SUM(D449:D460)</f>
        <v>0</v>
      </c>
      <c r="E461" s="306"/>
      <c r="F461" s="170"/>
    </row>
    <row r="462" spans="2:9">
      <c r="B462" s="303"/>
      <c r="C462" s="17"/>
      <c r="D462" s="17"/>
      <c r="E462" s="17"/>
      <c r="F462" s="303"/>
      <c r="G462" s="307"/>
      <c r="H462" s="307"/>
      <c r="I462" s="307"/>
    </row>
    <row r="463" spans="2:9">
      <c r="B463" s="163"/>
      <c r="C463" s="171" t="s">
        <v>62</v>
      </c>
      <c r="D463" s="171" t="s">
        <v>63</v>
      </c>
      <c r="E463" s="171" t="s">
        <v>64</v>
      </c>
      <c r="F463" s="165"/>
    </row>
    <row r="464" spans="2:9">
      <c r="B464" s="168"/>
      <c r="C464" s="160">
        <f>IF(E460&gt;0,ROUND(E460*($E$6/1200),2),0)</f>
        <v>0</v>
      </c>
      <c r="D464" s="160">
        <f>IF(E460&lt;$C$8,E460,$C$8-C464)</f>
        <v>0</v>
      </c>
      <c r="E464" s="160">
        <f>IF(E460-D464&gt;0,E460-D464,0)</f>
        <v>0</v>
      </c>
      <c r="F464" s="169"/>
    </row>
    <row r="465" spans="2:6">
      <c r="B465" s="168"/>
      <c r="C465" s="160">
        <f t="shared" ref="C465:C475" si="87">IF(E464&gt;0,ROUND(E464*($E$6/1200),2),0)</f>
        <v>0</v>
      </c>
      <c r="D465" s="160">
        <f t="shared" ref="D465:D475" si="88">IF(E464&lt;$C$8,E464,$C$8-C465)</f>
        <v>0</v>
      </c>
      <c r="E465" s="160">
        <f t="shared" ref="E465:E475" si="89">IF(E464-D465&gt;0,E464-D465,0)</f>
        <v>0</v>
      </c>
      <c r="F465" s="169"/>
    </row>
    <row r="466" spans="2:6">
      <c r="B466" s="168"/>
      <c r="C466" s="160">
        <f t="shared" si="87"/>
        <v>0</v>
      </c>
      <c r="D466" s="160">
        <f t="shared" si="88"/>
        <v>0</v>
      </c>
      <c r="E466" s="160">
        <f t="shared" si="89"/>
        <v>0</v>
      </c>
      <c r="F466" s="169"/>
    </row>
    <row r="467" spans="2:6">
      <c r="B467" s="168"/>
      <c r="C467" s="160">
        <f t="shared" si="87"/>
        <v>0</v>
      </c>
      <c r="D467" s="160">
        <f t="shared" si="88"/>
        <v>0</v>
      </c>
      <c r="E467" s="160">
        <f t="shared" si="89"/>
        <v>0</v>
      </c>
      <c r="F467" s="169"/>
    </row>
    <row r="468" spans="2:6">
      <c r="B468" s="168"/>
      <c r="C468" s="160">
        <f t="shared" si="87"/>
        <v>0</v>
      </c>
      <c r="D468" s="160">
        <f t="shared" si="88"/>
        <v>0</v>
      </c>
      <c r="E468" s="160">
        <f t="shared" si="89"/>
        <v>0</v>
      </c>
      <c r="F468" s="169"/>
    </row>
    <row r="469" spans="2:6">
      <c r="B469" s="168"/>
      <c r="C469" s="160">
        <f t="shared" si="87"/>
        <v>0</v>
      </c>
      <c r="D469" s="160">
        <f t="shared" si="88"/>
        <v>0</v>
      </c>
      <c r="E469" s="160">
        <f t="shared" si="89"/>
        <v>0</v>
      </c>
      <c r="F469" s="169"/>
    </row>
    <row r="470" spans="2:6">
      <c r="B470" s="168"/>
      <c r="C470" s="160">
        <f t="shared" si="87"/>
        <v>0</v>
      </c>
      <c r="D470" s="160">
        <f t="shared" si="88"/>
        <v>0</v>
      </c>
      <c r="E470" s="160">
        <f t="shared" si="89"/>
        <v>0</v>
      </c>
      <c r="F470" s="169"/>
    </row>
    <row r="471" spans="2:6">
      <c r="B471" s="168"/>
      <c r="C471" s="160">
        <f t="shared" si="87"/>
        <v>0</v>
      </c>
      <c r="D471" s="160">
        <f t="shared" si="88"/>
        <v>0</v>
      </c>
      <c r="E471" s="160">
        <f t="shared" si="89"/>
        <v>0</v>
      </c>
      <c r="F471" s="169"/>
    </row>
    <row r="472" spans="2:6">
      <c r="B472" s="168"/>
      <c r="C472" s="160">
        <f t="shared" si="87"/>
        <v>0</v>
      </c>
      <c r="D472" s="160">
        <f t="shared" si="88"/>
        <v>0</v>
      </c>
      <c r="E472" s="160">
        <f t="shared" si="89"/>
        <v>0</v>
      </c>
      <c r="F472" s="169"/>
    </row>
    <row r="473" spans="2:6">
      <c r="B473" s="168"/>
      <c r="C473" s="160">
        <f t="shared" si="87"/>
        <v>0</v>
      </c>
      <c r="D473" s="160">
        <f t="shared" si="88"/>
        <v>0</v>
      </c>
      <c r="E473" s="160">
        <f t="shared" si="89"/>
        <v>0</v>
      </c>
      <c r="F473" s="169"/>
    </row>
    <row r="474" spans="2:6">
      <c r="B474" s="168"/>
      <c r="C474" s="160">
        <f t="shared" si="87"/>
        <v>0</v>
      </c>
      <c r="D474" s="160">
        <f t="shared" si="88"/>
        <v>0</v>
      </c>
      <c r="E474" s="160">
        <f t="shared" si="89"/>
        <v>0</v>
      </c>
      <c r="F474" s="169"/>
    </row>
    <row r="475" spans="2:6">
      <c r="B475" s="168"/>
      <c r="C475" s="160">
        <f t="shared" si="87"/>
        <v>0</v>
      </c>
      <c r="D475" s="160">
        <f t="shared" si="88"/>
        <v>0</v>
      </c>
      <c r="E475" s="160">
        <f t="shared" si="89"/>
        <v>0</v>
      </c>
      <c r="F475" s="169"/>
    </row>
    <row r="476" spans="2:6">
      <c r="B476" s="304" t="str">
        <f>"Total "&amp;YEAR($B$11)+30</f>
        <v>Total 2047</v>
      </c>
      <c r="C476" s="305">
        <f>SUM(C464:C475)</f>
        <v>0</v>
      </c>
      <c r="D476" s="305">
        <f>SUM(D464:D475)</f>
        <v>0</v>
      </c>
      <c r="E476" s="306"/>
      <c r="F476" s="170"/>
    </row>
    <row r="477" spans="2:6">
      <c r="B477" s="10"/>
      <c r="C477" s="17"/>
      <c r="D477" s="17"/>
      <c r="E477" s="17"/>
      <c r="F477" s="10"/>
    </row>
  </sheetData>
  <sheetProtection sheet="1" objects="1" scenarios="1"/>
  <phoneticPr fontId="13" type="noConversion"/>
  <pageMargins left="0.93" right="0.75" top="1" bottom="1" header="0.5" footer="0.5"/>
  <pageSetup scale="49" orientation="portrait" horizontalDpi="4294967292" verticalDpi="4294967292"/>
  <rowBreaks count="4" manualBreakCount="4">
    <brk id="102" min="1" max="4" man="1"/>
    <brk id="207" min="1" max="4" man="1"/>
    <brk id="312" min="1" max="4" man="1"/>
    <brk id="417" min="1" max="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43"/>
  <sheetViews>
    <sheetView showGridLines="0" tabSelected="1" showRuler="0" topLeftCell="A31" workbookViewId="0">
      <selection activeCell="D39" sqref="D39"/>
    </sheetView>
  </sheetViews>
  <sheetFormatPr defaultColWidth="8.85546875" defaultRowHeight="12.75"/>
  <cols>
    <col min="1" max="1" width="20.7109375" customWidth="1"/>
    <col min="2" max="2" width="24.85546875" customWidth="1"/>
    <col min="3" max="3" width="12.85546875" customWidth="1"/>
    <col min="4" max="4" width="15.140625" customWidth="1"/>
    <col min="5" max="5" width="2.42578125" customWidth="1"/>
  </cols>
  <sheetData>
    <row r="1" spans="1:4">
      <c r="A1" s="1"/>
      <c r="B1" s="1"/>
      <c r="C1" s="1"/>
      <c r="D1" s="1"/>
    </row>
    <row r="2" spans="1:4" ht="21.75" customHeight="1">
      <c r="A2" s="1"/>
      <c r="B2" s="172" t="s">
        <v>65</v>
      </c>
      <c r="C2" s="173"/>
      <c r="D2" s="174"/>
    </row>
    <row r="3" spans="1:4">
      <c r="A3" s="1"/>
      <c r="B3" s="175"/>
      <c r="C3" s="175"/>
      <c r="D3" s="107"/>
    </row>
    <row r="4" spans="1:4">
      <c r="A4" s="1"/>
      <c r="B4" s="135" t="s">
        <v>140</v>
      </c>
      <c r="C4" s="312">
        <v>0</v>
      </c>
      <c r="D4" s="96"/>
    </row>
    <row r="5" spans="1:4">
      <c r="A5" s="1"/>
      <c r="B5" s="130" t="s">
        <v>141</v>
      </c>
      <c r="C5" s="313">
        <v>0</v>
      </c>
      <c r="D5" s="97"/>
    </row>
    <row r="6" spans="1:4">
      <c r="A6" s="1"/>
      <c r="B6" s="131"/>
      <c r="C6" s="91"/>
      <c r="D6" s="113"/>
    </row>
    <row r="7" spans="1:4">
      <c r="A7" s="1"/>
      <c r="B7" s="184" t="s">
        <v>6</v>
      </c>
      <c r="C7" s="314">
        <f ca="1">TODAY()</f>
        <v>43073</v>
      </c>
      <c r="D7" s="96"/>
    </row>
    <row r="8" spans="1:4">
      <c r="A8" s="1"/>
      <c r="B8" s="184" t="s">
        <v>7</v>
      </c>
      <c r="C8" s="333"/>
      <c r="D8" s="90"/>
    </row>
    <row r="9" spans="1:4">
      <c r="A9" s="1"/>
      <c r="B9" s="182"/>
      <c r="C9" s="106"/>
      <c r="D9" s="113"/>
    </row>
    <row r="10" spans="1:4">
      <c r="A10" s="1"/>
      <c r="B10" s="177" t="s">
        <v>8</v>
      </c>
      <c r="C10" s="117"/>
      <c r="D10" s="125"/>
    </row>
    <row r="11" spans="1:4">
      <c r="A11" s="1"/>
      <c r="B11" s="118" t="s">
        <v>10</v>
      </c>
      <c r="C11" s="86"/>
      <c r="D11" s="190">
        <v>12000</v>
      </c>
    </row>
    <row r="12" spans="1:4">
      <c r="A12" s="1"/>
      <c r="B12" s="119" t="s">
        <v>11</v>
      </c>
      <c r="C12" s="87"/>
      <c r="D12" s="186">
        <v>0</v>
      </c>
    </row>
    <row r="13" spans="1:4">
      <c r="A13" s="1"/>
      <c r="B13" s="178" t="s">
        <v>12</v>
      </c>
      <c r="C13" s="95"/>
      <c r="D13" s="311">
        <f>SUM(D11:D12)</f>
        <v>12000</v>
      </c>
    </row>
    <row r="14" spans="1:4">
      <c r="A14" s="1"/>
      <c r="B14" s="92"/>
      <c r="C14" s="93"/>
      <c r="D14" s="289"/>
    </row>
    <row r="15" spans="1:4">
      <c r="A15" s="1"/>
      <c r="B15" s="179" t="s">
        <v>13</v>
      </c>
      <c r="C15" s="180"/>
      <c r="D15" s="189">
        <f>0.07*D11</f>
        <v>840.00000000000011</v>
      </c>
    </row>
    <row r="16" spans="1:4">
      <c r="A16" s="1"/>
      <c r="B16" s="119"/>
      <c r="C16" s="87"/>
      <c r="D16" s="188"/>
    </row>
    <row r="17" spans="1:4">
      <c r="A17" s="1"/>
      <c r="B17" s="131" t="s">
        <v>14</v>
      </c>
      <c r="C17" s="91"/>
      <c r="D17" s="188">
        <f>D13-D15</f>
        <v>11160</v>
      </c>
    </row>
    <row r="18" spans="1:4">
      <c r="A18" s="1"/>
      <c r="B18" s="92"/>
      <c r="C18" s="93"/>
      <c r="D18" s="289"/>
    </row>
    <row r="19" spans="1:4">
      <c r="A19" s="1"/>
      <c r="B19" s="128" t="s">
        <v>15</v>
      </c>
      <c r="C19" s="88"/>
      <c r="D19" s="188"/>
    </row>
    <row r="20" spans="1:4">
      <c r="A20" s="1"/>
      <c r="B20" s="119" t="s">
        <v>18</v>
      </c>
      <c r="C20" s="87"/>
      <c r="D20" s="190">
        <v>500</v>
      </c>
    </row>
    <row r="21" spans="1:4">
      <c r="A21" s="1"/>
      <c r="B21" s="119" t="s">
        <v>66</v>
      </c>
      <c r="C21" s="87"/>
      <c r="D21" s="185">
        <v>1200</v>
      </c>
    </row>
    <row r="22" spans="1:4">
      <c r="A22" s="1"/>
      <c r="B22" s="119" t="s">
        <v>25</v>
      </c>
      <c r="C22" s="87"/>
      <c r="D22" s="185">
        <f>0.1*D13</f>
        <v>1200</v>
      </c>
    </row>
    <row r="23" spans="1:4">
      <c r="A23" s="1"/>
      <c r="B23" s="119" t="s">
        <v>67</v>
      </c>
      <c r="C23" s="87"/>
      <c r="D23" s="185">
        <v>200</v>
      </c>
    </row>
    <row r="24" spans="1:4">
      <c r="A24" s="1"/>
      <c r="B24" s="119" t="s">
        <v>34</v>
      </c>
      <c r="C24" s="87"/>
      <c r="D24" s="185">
        <v>0</v>
      </c>
    </row>
    <row r="25" spans="1:4">
      <c r="A25" s="1"/>
      <c r="B25" s="119" t="s">
        <v>68</v>
      </c>
      <c r="C25" s="87"/>
      <c r="D25" s="186">
        <v>0</v>
      </c>
    </row>
    <row r="26" spans="1:4">
      <c r="A26" s="1"/>
      <c r="B26" s="178" t="s">
        <v>40</v>
      </c>
      <c r="C26" s="95"/>
      <c r="D26" s="311">
        <f>SUM(D20:D22)+SUM(D23:D23)+SUM(D24:D25)</f>
        <v>3100</v>
      </c>
    </row>
    <row r="27" spans="1:4">
      <c r="A27" s="1"/>
      <c r="B27" s="119"/>
      <c r="C27" s="87"/>
      <c r="D27" s="188"/>
    </row>
    <row r="28" spans="1:4">
      <c r="A28" s="1"/>
      <c r="B28" s="131" t="s">
        <v>41</v>
      </c>
      <c r="C28" s="91"/>
      <c r="D28" s="188">
        <f>D17-D26</f>
        <v>8060</v>
      </c>
    </row>
    <row r="29" spans="1:4">
      <c r="A29" s="1"/>
      <c r="B29" s="181"/>
      <c r="C29" s="62"/>
      <c r="D29" s="64"/>
    </row>
    <row r="30" spans="1:4">
      <c r="A30" s="1"/>
      <c r="B30" s="182" t="s">
        <v>69</v>
      </c>
      <c r="C30" s="106"/>
      <c r="D30" s="190">
        <f>600*12</f>
        <v>7200</v>
      </c>
    </row>
    <row r="31" spans="1:4">
      <c r="A31" s="1"/>
      <c r="B31" s="182" t="s">
        <v>70</v>
      </c>
      <c r="C31" s="106"/>
      <c r="D31" s="185">
        <v>0</v>
      </c>
    </row>
    <row r="32" spans="1:4">
      <c r="A32" s="1"/>
      <c r="B32" s="182" t="s">
        <v>71</v>
      </c>
      <c r="C32" s="106"/>
      <c r="D32" s="185">
        <v>0</v>
      </c>
    </row>
    <row r="33" spans="1:5">
      <c r="A33" s="1"/>
      <c r="B33" s="182" t="s">
        <v>72</v>
      </c>
      <c r="C33" s="106"/>
      <c r="D33" s="185">
        <v>0</v>
      </c>
    </row>
    <row r="34" spans="1:5">
      <c r="A34" s="1"/>
      <c r="B34" s="182" t="s">
        <v>73</v>
      </c>
      <c r="C34" s="106"/>
      <c r="D34" s="186">
        <v>0</v>
      </c>
    </row>
    <row r="35" spans="1:5">
      <c r="A35" s="1"/>
      <c r="B35" s="182"/>
      <c r="C35" s="106"/>
      <c r="D35" s="113"/>
    </row>
    <row r="36" spans="1:5">
      <c r="A36" s="1"/>
      <c r="B36" s="183" t="s">
        <v>74</v>
      </c>
      <c r="C36" s="69"/>
      <c r="D36" s="311">
        <f>D28-D30-D31-D32+D33+D34</f>
        <v>860</v>
      </c>
    </row>
    <row r="37" spans="1:5">
      <c r="A37" s="1"/>
      <c r="B37" s="182"/>
      <c r="C37" s="106"/>
      <c r="D37" s="113"/>
    </row>
    <row r="38" spans="1:5">
      <c r="A38" s="1"/>
      <c r="B38" s="182" t="s">
        <v>75</v>
      </c>
      <c r="C38" s="106"/>
      <c r="D38" s="189">
        <v>300</v>
      </c>
    </row>
    <row r="39" spans="1:5">
      <c r="A39" s="1"/>
      <c r="B39" s="182"/>
      <c r="C39" s="106"/>
      <c r="D39" s="113"/>
    </row>
    <row r="40" spans="1:5">
      <c r="A40" s="1"/>
      <c r="B40" s="183" t="s">
        <v>76</v>
      </c>
      <c r="C40" s="69"/>
      <c r="D40" s="311">
        <f>D36-D38</f>
        <v>560</v>
      </c>
    </row>
    <row r="42" spans="1:5">
      <c r="A42" s="2"/>
      <c r="B42" s="4"/>
      <c r="C42" s="5"/>
      <c r="D42" s="4"/>
      <c r="E42" s="4"/>
    </row>
    <row r="43" spans="1:5">
      <c r="B43" s="54" t="str">
        <f>"   " &amp; copyright &amp; " RealData, Inc. Southport, CT All Rights Reserved"</f>
        <v xml:space="preserve">   © Copyright 1982-2016 RealData, Inc. Southport, CT All Rights Reserved</v>
      </c>
    </row>
  </sheetData>
  <sheetProtection sheet="1" objects="1" scenarios="1"/>
  <phoneticPr fontId="0" type="noConversion"/>
  <pageMargins left="0.75" right="0.75" top="1" bottom="1" header="0.5" footer="0.5"/>
  <pageSetup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2"/>
  <sheetViews>
    <sheetView showGridLines="0" showRuler="0" workbookViewId="0">
      <selection activeCell="C5" sqref="C5"/>
    </sheetView>
  </sheetViews>
  <sheetFormatPr defaultColWidth="8.85546875" defaultRowHeight="12.75"/>
  <cols>
    <col min="1" max="1" width="20.7109375" customWidth="1"/>
    <col min="2" max="2" width="25.85546875" customWidth="1"/>
    <col min="3" max="3" width="12.140625" customWidth="1"/>
    <col min="4" max="4" width="15.140625" customWidth="1"/>
    <col min="5" max="5" width="1.85546875" customWidth="1"/>
  </cols>
  <sheetData>
    <row r="1" spans="1:5">
      <c r="A1" s="1"/>
      <c r="B1" s="1"/>
      <c r="C1" s="1"/>
      <c r="D1" s="1"/>
    </row>
    <row r="2" spans="1:5" ht="21.75" customHeight="1">
      <c r="A2" s="1"/>
      <c r="B2" s="172" t="s">
        <v>77</v>
      </c>
      <c r="C2" s="173"/>
      <c r="D2" s="193"/>
      <c r="E2" s="194"/>
    </row>
    <row r="3" spans="1:5" ht="21.75" customHeight="1">
      <c r="A3" s="1"/>
      <c r="B3" s="191"/>
      <c r="C3" s="191"/>
      <c r="D3" s="192"/>
    </row>
    <row r="4" spans="1:5">
      <c r="A4" s="1"/>
      <c r="B4" s="131"/>
      <c r="C4" s="91"/>
      <c r="D4" s="199"/>
      <c r="E4" s="151"/>
    </row>
    <row r="5" spans="1:5">
      <c r="A5" s="1"/>
      <c r="B5" s="130" t="s">
        <v>138</v>
      </c>
      <c r="C5" s="334"/>
      <c r="D5" s="315"/>
      <c r="E5" s="196"/>
    </row>
    <row r="6" spans="1:5">
      <c r="A6" s="1"/>
      <c r="B6" s="130" t="s">
        <v>139</v>
      </c>
      <c r="C6" s="335"/>
      <c r="D6" s="316"/>
      <c r="E6" s="196"/>
    </row>
    <row r="7" spans="1:5">
      <c r="A7" s="1"/>
      <c r="B7" s="131"/>
      <c r="C7" s="91"/>
      <c r="D7" s="199"/>
      <c r="E7" s="65"/>
    </row>
    <row r="8" spans="1:5">
      <c r="A8" s="1"/>
      <c r="B8" s="132" t="s">
        <v>6</v>
      </c>
      <c r="C8" s="317">
        <f ca="1">TODAY()</f>
        <v>43073</v>
      </c>
      <c r="D8" s="318"/>
      <c r="E8" s="196"/>
    </row>
    <row r="9" spans="1:5">
      <c r="A9" s="1"/>
      <c r="B9" s="132" t="s">
        <v>7</v>
      </c>
      <c r="C9" s="336"/>
      <c r="D9" s="319"/>
      <c r="E9" s="196"/>
    </row>
    <row r="10" spans="1:5">
      <c r="A10" s="1"/>
      <c r="B10" s="182"/>
      <c r="C10" s="106"/>
      <c r="D10" s="199"/>
      <c r="E10" s="65"/>
    </row>
    <row r="11" spans="1:5">
      <c r="A11" s="1"/>
      <c r="B11" s="129" t="s">
        <v>78</v>
      </c>
      <c r="C11" s="200"/>
      <c r="D11" s="190">
        <v>0</v>
      </c>
      <c r="E11" s="196"/>
    </row>
    <row r="12" spans="1:5">
      <c r="A12" s="1"/>
      <c r="B12" s="119" t="s">
        <v>79</v>
      </c>
      <c r="C12" s="187"/>
      <c r="D12" s="185">
        <v>0</v>
      </c>
      <c r="E12" s="196"/>
    </row>
    <row r="13" spans="1:5">
      <c r="A13" s="1"/>
      <c r="B13" s="119" t="s">
        <v>80</v>
      </c>
      <c r="C13" s="187"/>
      <c r="D13" s="185">
        <v>0</v>
      </c>
      <c r="E13" s="196"/>
    </row>
    <row r="14" spans="1:5">
      <c r="A14" s="1"/>
      <c r="B14" s="119" t="s">
        <v>81</v>
      </c>
      <c r="C14" s="187"/>
      <c r="D14" s="186">
        <v>0</v>
      </c>
      <c r="E14" s="196"/>
    </row>
    <row r="15" spans="1:5">
      <c r="A15" s="1"/>
      <c r="B15" s="129" t="s">
        <v>82</v>
      </c>
      <c r="C15" s="87"/>
      <c r="D15" s="198">
        <f>D11-D12-D13-D14</f>
        <v>0</v>
      </c>
      <c r="E15" s="65"/>
    </row>
    <row r="16" spans="1:5">
      <c r="A16" s="1"/>
      <c r="B16" s="119" t="s">
        <v>83</v>
      </c>
      <c r="C16" s="187"/>
      <c r="D16" s="189">
        <v>0</v>
      </c>
      <c r="E16" s="196"/>
    </row>
    <row r="17" spans="1:5">
      <c r="A17" s="1"/>
      <c r="B17" s="94" t="s">
        <v>84</v>
      </c>
      <c r="C17" s="95"/>
      <c r="D17" s="198">
        <f>D15-D16</f>
        <v>0</v>
      </c>
      <c r="E17" s="150"/>
    </row>
    <row r="19" spans="1:5">
      <c r="B19" s="2"/>
      <c r="C19" s="2"/>
      <c r="D19" s="2"/>
    </row>
    <row r="20" spans="1:5">
      <c r="B20" s="54" t="str">
        <f>"   " &amp; copyright &amp; " RealData, Inc. Southport, CT All Rights Reserved"</f>
        <v xml:space="preserve">   © Copyright 1982-2016 RealData, Inc. Southport, CT All Rights Reserved</v>
      </c>
    </row>
    <row r="22" spans="1:5">
      <c r="E22" s="19"/>
    </row>
  </sheetData>
  <sheetProtection sheet="1" objects="1" scenarios="1"/>
  <phoneticPr fontId="0" type="noConversion"/>
  <pageMargins left="0.75" right="0.75" top="1" bottom="1" header="0.5" footer="0.5"/>
  <pageSetup orientation="portrait"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B2:P17"/>
  <sheetViews>
    <sheetView showGridLines="0" showRuler="0" workbookViewId="0">
      <selection activeCell="C4" sqref="C4"/>
    </sheetView>
  </sheetViews>
  <sheetFormatPr defaultColWidth="8.85546875" defaultRowHeight="12.75"/>
  <cols>
    <col min="1" max="1" width="20.7109375" customWidth="1"/>
    <col min="3" max="15" width="8.85546875" customWidth="1"/>
    <col min="16" max="16" width="2" customWidth="1"/>
  </cols>
  <sheetData>
    <row r="2" spans="2:16" ht="20.25">
      <c r="B2" s="152" t="s">
        <v>130</v>
      </c>
      <c r="C2" s="153"/>
      <c r="D2" s="153"/>
      <c r="E2" s="153"/>
      <c r="F2" s="153"/>
      <c r="G2" s="153"/>
      <c r="H2" s="153"/>
      <c r="I2" s="153"/>
      <c r="J2" s="153"/>
      <c r="K2" s="153"/>
      <c r="L2" s="153"/>
      <c r="M2" s="153"/>
      <c r="N2" s="153"/>
      <c r="O2" s="201"/>
    </row>
    <row r="4" spans="2:16">
      <c r="B4" s="216" t="s">
        <v>85</v>
      </c>
      <c r="C4" s="194"/>
      <c r="D4" s="215">
        <v>0</v>
      </c>
    </row>
    <row r="6" spans="2:16">
      <c r="B6" s="61"/>
      <c r="C6" s="209" t="s">
        <v>86</v>
      </c>
      <c r="D6" s="140"/>
      <c r="E6" s="140"/>
      <c r="F6" s="140"/>
      <c r="G6" s="140"/>
      <c r="H6" s="140"/>
      <c r="I6" s="209" t="s">
        <v>87</v>
      </c>
      <c r="J6" s="140"/>
      <c r="K6" s="140"/>
      <c r="L6" s="140"/>
      <c r="M6" s="140"/>
      <c r="N6" s="140"/>
      <c r="O6" s="151"/>
    </row>
    <row r="7" spans="2:16">
      <c r="B7" s="142"/>
      <c r="C7" s="210" t="s">
        <v>88</v>
      </c>
      <c r="D7" s="210">
        <v>1</v>
      </c>
      <c r="E7" s="210">
        <v>2</v>
      </c>
      <c r="F7" s="210">
        <v>3</v>
      </c>
      <c r="G7" s="210">
        <v>4</v>
      </c>
      <c r="H7" s="210">
        <v>5</v>
      </c>
      <c r="I7" s="210">
        <v>6</v>
      </c>
      <c r="J7" s="210">
        <v>7</v>
      </c>
      <c r="K7" s="210">
        <v>8</v>
      </c>
      <c r="L7" s="210">
        <v>9</v>
      </c>
      <c r="M7" s="210">
        <v>10</v>
      </c>
      <c r="N7" s="210">
        <v>11</v>
      </c>
      <c r="O7" s="211">
        <v>12</v>
      </c>
    </row>
    <row r="8" spans="2:16">
      <c r="B8" s="196" t="s">
        <v>89</v>
      </c>
      <c r="C8" s="202">
        <v>0</v>
      </c>
      <c r="D8" s="203">
        <f t="shared" ref="D8:O8" si="0">C8</f>
        <v>0</v>
      </c>
      <c r="E8" s="203">
        <f t="shared" si="0"/>
        <v>0</v>
      </c>
      <c r="F8" s="203">
        <f t="shared" si="0"/>
        <v>0</v>
      </c>
      <c r="G8" s="203">
        <f t="shared" si="0"/>
        <v>0</v>
      </c>
      <c r="H8" s="203">
        <f t="shared" si="0"/>
        <v>0</v>
      </c>
      <c r="I8" s="203">
        <f t="shared" si="0"/>
        <v>0</v>
      </c>
      <c r="J8" s="203">
        <f t="shared" si="0"/>
        <v>0</v>
      </c>
      <c r="K8" s="203">
        <f t="shared" si="0"/>
        <v>0</v>
      </c>
      <c r="L8" s="203">
        <f t="shared" si="0"/>
        <v>0</v>
      </c>
      <c r="M8" s="203">
        <f t="shared" si="0"/>
        <v>0</v>
      </c>
      <c r="N8" s="203">
        <f t="shared" si="0"/>
        <v>0</v>
      </c>
      <c r="O8" s="203">
        <f t="shared" si="0"/>
        <v>0</v>
      </c>
      <c r="P8" s="204"/>
    </row>
    <row r="9" spans="2:16">
      <c r="B9" s="196" t="s">
        <v>90</v>
      </c>
      <c r="C9" s="205">
        <v>0</v>
      </c>
      <c r="D9" s="206">
        <f t="shared" ref="D9:O9" si="1">C9</f>
        <v>0</v>
      </c>
      <c r="E9" s="206">
        <f t="shared" si="1"/>
        <v>0</v>
      </c>
      <c r="F9" s="206">
        <f t="shared" si="1"/>
        <v>0</v>
      </c>
      <c r="G9" s="206">
        <f t="shared" si="1"/>
        <v>0</v>
      </c>
      <c r="H9" s="206">
        <f t="shared" si="1"/>
        <v>0</v>
      </c>
      <c r="I9" s="206">
        <f t="shared" si="1"/>
        <v>0</v>
      </c>
      <c r="J9" s="206">
        <f t="shared" si="1"/>
        <v>0</v>
      </c>
      <c r="K9" s="206">
        <f t="shared" si="1"/>
        <v>0</v>
      </c>
      <c r="L9" s="206">
        <f t="shared" si="1"/>
        <v>0</v>
      </c>
      <c r="M9" s="206">
        <f t="shared" si="1"/>
        <v>0</v>
      </c>
      <c r="N9" s="206">
        <f t="shared" si="1"/>
        <v>0</v>
      </c>
      <c r="O9" s="206">
        <f t="shared" si="1"/>
        <v>0</v>
      </c>
      <c r="P9" s="204"/>
    </row>
    <row r="10" spans="2:16">
      <c r="B10" s="196" t="s">
        <v>91</v>
      </c>
      <c r="C10" s="205">
        <v>0</v>
      </c>
      <c r="D10" s="206">
        <f t="shared" ref="D10:O10" si="2">C10</f>
        <v>0</v>
      </c>
      <c r="E10" s="206">
        <f t="shared" si="2"/>
        <v>0</v>
      </c>
      <c r="F10" s="206">
        <f t="shared" si="2"/>
        <v>0</v>
      </c>
      <c r="G10" s="206">
        <f t="shared" si="2"/>
        <v>0</v>
      </c>
      <c r="H10" s="206">
        <f t="shared" si="2"/>
        <v>0</v>
      </c>
      <c r="I10" s="206">
        <f t="shared" si="2"/>
        <v>0</v>
      </c>
      <c r="J10" s="206">
        <f t="shared" si="2"/>
        <v>0</v>
      </c>
      <c r="K10" s="206">
        <f t="shared" si="2"/>
        <v>0</v>
      </c>
      <c r="L10" s="206">
        <f t="shared" si="2"/>
        <v>0</v>
      </c>
      <c r="M10" s="206">
        <f t="shared" si="2"/>
        <v>0</v>
      </c>
      <c r="N10" s="206">
        <f t="shared" si="2"/>
        <v>0</v>
      </c>
      <c r="O10" s="206">
        <f t="shared" si="2"/>
        <v>0</v>
      </c>
      <c r="P10" s="204"/>
    </row>
    <row r="11" spans="2:16">
      <c r="B11" s="196" t="s">
        <v>92</v>
      </c>
      <c r="C11" s="205">
        <v>0</v>
      </c>
      <c r="D11" s="206">
        <f t="shared" ref="D11:O11" si="3">C11</f>
        <v>0</v>
      </c>
      <c r="E11" s="206">
        <f t="shared" si="3"/>
        <v>0</v>
      </c>
      <c r="F11" s="206">
        <f t="shared" si="3"/>
        <v>0</v>
      </c>
      <c r="G11" s="206">
        <f t="shared" si="3"/>
        <v>0</v>
      </c>
      <c r="H11" s="206">
        <f t="shared" si="3"/>
        <v>0</v>
      </c>
      <c r="I11" s="206">
        <f t="shared" si="3"/>
        <v>0</v>
      </c>
      <c r="J11" s="206">
        <f t="shared" si="3"/>
        <v>0</v>
      </c>
      <c r="K11" s="206">
        <f t="shared" si="3"/>
        <v>0</v>
      </c>
      <c r="L11" s="206">
        <f t="shared" si="3"/>
        <v>0</v>
      </c>
      <c r="M11" s="206">
        <f t="shared" si="3"/>
        <v>0</v>
      </c>
      <c r="N11" s="206">
        <f t="shared" si="3"/>
        <v>0</v>
      </c>
      <c r="O11" s="206">
        <f t="shared" si="3"/>
        <v>0</v>
      </c>
      <c r="P11" s="204"/>
    </row>
    <row r="12" spans="2:16">
      <c r="B12" s="197" t="s">
        <v>93</v>
      </c>
      <c r="C12" s="207">
        <v>0</v>
      </c>
      <c r="D12" s="208">
        <f t="shared" ref="D12:O12" si="4">C12</f>
        <v>0</v>
      </c>
      <c r="E12" s="208">
        <f t="shared" si="4"/>
        <v>0</v>
      </c>
      <c r="F12" s="208">
        <f t="shared" si="4"/>
        <v>0</v>
      </c>
      <c r="G12" s="208">
        <f t="shared" si="4"/>
        <v>0</v>
      </c>
      <c r="H12" s="208">
        <f t="shared" si="4"/>
        <v>0</v>
      </c>
      <c r="I12" s="208">
        <f t="shared" si="4"/>
        <v>0</v>
      </c>
      <c r="J12" s="208">
        <f t="shared" si="4"/>
        <v>0</v>
      </c>
      <c r="K12" s="208">
        <f t="shared" si="4"/>
        <v>0</v>
      </c>
      <c r="L12" s="208">
        <f t="shared" si="4"/>
        <v>0</v>
      </c>
      <c r="M12" s="208">
        <f t="shared" si="4"/>
        <v>0</v>
      </c>
      <c r="N12" s="208">
        <f t="shared" si="4"/>
        <v>0</v>
      </c>
      <c r="O12" s="208">
        <f t="shared" si="4"/>
        <v>0</v>
      </c>
      <c r="P12" s="204"/>
    </row>
    <row r="14" spans="2:16">
      <c r="B14" s="212" t="s">
        <v>94</v>
      </c>
      <c r="C14" s="213"/>
      <c r="D14" s="213"/>
      <c r="E14" s="213"/>
      <c r="F14" s="214">
        <f>D8+NPV(D4/12,E8:O8,D9:O9,D10:O10,D11:O11,D12:O12)</f>
        <v>0</v>
      </c>
    </row>
    <row r="17" spans="2:15">
      <c r="B17" s="343" t="str">
        <f>copyright &amp; " RealData, Inc. Southport, CT All Rights Reserved"</f>
        <v>© Copyright 1982-2016 RealData, Inc. Southport, CT All Rights Reserved</v>
      </c>
      <c r="C17" s="344"/>
      <c r="D17" s="344"/>
      <c r="E17" s="344"/>
      <c r="F17" s="344"/>
      <c r="G17" s="344"/>
      <c r="H17" s="344"/>
      <c r="I17" s="344"/>
      <c r="J17" s="344"/>
      <c r="K17" s="344"/>
      <c r="L17" s="344"/>
      <c r="M17" s="344"/>
      <c r="N17" s="344"/>
      <c r="O17" s="344"/>
    </row>
  </sheetData>
  <sheetProtection sheet="1" objects="1" scenarios="1"/>
  <mergeCells count="1">
    <mergeCell ref="B17:O17"/>
  </mergeCells>
  <phoneticPr fontId="0" type="noConversion"/>
  <hyperlinks>
    <hyperlink ref="B17" r:id="rId1" display="© 1982-2003, RealData, Inc. " xr:uid="{00000000-0004-0000-0700-000000000000}"/>
  </hyperlinks>
  <pageMargins left="0.75" right="0.75" top="1" bottom="1" header="0.5" footer="0.5"/>
  <pageSetup orientation="portrait" horizontalDpi="0" verticalDpi="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B4:G14"/>
  <sheetViews>
    <sheetView showGridLines="0" showRuler="0" workbookViewId="0">
      <selection activeCell="C7" sqref="C7"/>
    </sheetView>
  </sheetViews>
  <sheetFormatPr defaultColWidth="8.85546875" defaultRowHeight="12.75"/>
  <cols>
    <col min="1" max="1" width="20.7109375" customWidth="1"/>
    <col min="2" max="2" width="22.42578125" customWidth="1"/>
    <col min="3" max="6" width="14.7109375" customWidth="1"/>
    <col min="7" max="7" width="23.28515625" customWidth="1"/>
  </cols>
  <sheetData>
    <row r="4" spans="2:7" ht="20.25">
      <c r="B4" s="152" t="s">
        <v>95</v>
      </c>
      <c r="C4" s="217"/>
      <c r="D4" s="217"/>
      <c r="E4" s="217"/>
      <c r="F4" s="218"/>
    </row>
    <row r="6" spans="2:7">
      <c r="B6" s="212"/>
      <c r="C6" s="219" t="s">
        <v>2</v>
      </c>
      <c r="D6" s="220" t="s">
        <v>96</v>
      </c>
      <c r="E6" s="219" t="s">
        <v>97</v>
      </c>
      <c r="F6" s="221" t="s">
        <v>0</v>
      </c>
      <c r="G6" s="1"/>
    </row>
    <row r="7" spans="2:7">
      <c r="B7" s="222" t="s">
        <v>142</v>
      </c>
      <c r="C7" s="225">
        <v>0</v>
      </c>
      <c r="D7" s="226">
        <v>0</v>
      </c>
      <c r="E7" s="227" t="str">
        <f>IF(ISERROR(PMT(D7,C7,-F7)),"n/a",PMT(D7,C7,-F7))</f>
        <v>n/a</v>
      </c>
      <c r="F7" s="228">
        <v>0</v>
      </c>
    </row>
    <row r="8" spans="2:7">
      <c r="B8" s="223" t="s">
        <v>135</v>
      </c>
      <c r="C8" s="229">
        <v>0</v>
      </c>
      <c r="D8" s="230">
        <v>0</v>
      </c>
      <c r="E8" s="231">
        <v>0</v>
      </c>
      <c r="F8" s="232">
        <f>IF(ISERROR(PV(D8,C8,-E8)),"n/a",PV(D8,C8,-E8))</f>
        <v>0</v>
      </c>
    </row>
    <row r="9" spans="2:7">
      <c r="B9" s="223" t="s">
        <v>137</v>
      </c>
      <c r="C9" s="233" t="str">
        <f>IF(ISERROR(NPER(D9,E9,-F9)),"n/a",NPER(D9,E9,-F9))</f>
        <v>n/a</v>
      </c>
      <c r="D9" s="230">
        <v>0</v>
      </c>
      <c r="E9" s="231">
        <v>0</v>
      </c>
      <c r="F9" s="234">
        <v>0</v>
      </c>
    </row>
    <row r="10" spans="2:7">
      <c r="B10" s="224" t="s">
        <v>136</v>
      </c>
      <c r="C10" s="235">
        <v>0</v>
      </c>
      <c r="D10" s="236" t="str">
        <f>IF(ISERROR(RATE(C10,E10,-F10)),"n/a",RATE(C10,E10,-F10))</f>
        <v>n/a</v>
      </c>
      <c r="E10" s="237">
        <v>0</v>
      </c>
      <c r="F10" s="238">
        <v>0</v>
      </c>
    </row>
    <row r="12" spans="2:7">
      <c r="C12" s="2"/>
      <c r="D12" s="4"/>
      <c r="E12" s="5"/>
      <c r="F12" s="4"/>
      <c r="G12" s="4"/>
    </row>
    <row r="13" spans="2:7">
      <c r="B13" s="54" t="str">
        <f>copyright &amp; " RealData, Inc. Southport, CT All Rights Reserved"</f>
        <v>© Copyright 1982-2016 RealData, Inc. Southport, CT All Rights Reserved</v>
      </c>
    </row>
    <row r="14" spans="2:7">
      <c r="C14" s="3"/>
    </row>
  </sheetData>
  <sheetProtection sheet="1" objects="1" scenarios="1"/>
  <phoneticPr fontId="0" type="noConversion"/>
  <pageMargins left="0.75" right="0.75" top="1" bottom="1" header="0.5" footer="0.5"/>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Welcome</vt:lpstr>
      <vt:lpstr>Compound Interest</vt:lpstr>
      <vt:lpstr>Annual Property Operating Data</vt:lpstr>
      <vt:lpstr>Discounted Cash Flow</vt:lpstr>
      <vt:lpstr>Amortization Table</vt:lpstr>
      <vt:lpstr>Cash Flow</vt:lpstr>
      <vt:lpstr>Sale Proceeds</vt:lpstr>
      <vt:lpstr>Value of a Lease</vt:lpstr>
      <vt:lpstr>4 Annuity Functions</vt:lpstr>
      <vt:lpstr>Net Present Value</vt:lpstr>
      <vt:lpstr>Taxable Income</vt:lpstr>
      <vt:lpstr>Adjusted Basis</vt:lpstr>
      <vt:lpstr>Internal Rate of Return</vt:lpstr>
      <vt:lpstr>MIRR</vt:lpstr>
      <vt:lpstr>copyright</vt:lpstr>
      <vt:lpstr>'Annual Property Operating Data'!Print_Area</vt:lpstr>
    </vt:vector>
  </TitlesOfParts>
  <Company>Plymouth Design Group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RealData</dc:creator>
  <cp:lastModifiedBy>rukesh</cp:lastModifiedBy>
  <cp:lastPrinted>2016-10-24T18:02:46Z</cp:lastPrinted>
  <dcterms:created xsi:type="dcterms:W3CDTF">2008-07-22T17:28:50Z</dcterms:created>
  <dcterms:modified xsi:type="dcterms:W3CDTF">2017-12-04T23:19:00Z</dcterms:modified>
</cp:coreProperties>
</file>