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ringfertility-my.sharepoint.com/personal/rosel_villegas_springfertility_com/Documents/Documents/Rosel/Spring Vancouver/"/>
    </mc:Choice>
  </mc:AlternateContent>
  <xr:revisionPtr revIDLastSave="0" documentId="8_{924C7949-C14C-4C73-84A6-700BD2DB11B8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Genesis (Not Cons)" sheetId="5" r:id="rId1"/>
    <sheet name="Genesis" sheetId="1" r:id="rId2"/>
    <sheet name="SFV" sheetId="2" r:id="rId3"/>
    <sheet name="SFVKey" sheetId="3" r:id="rId4"/>
    <sheet name="GenesisKey" sheetId="4" r:id="rId5"/>
  </sheets>
  <externalReferences>
    <externalReference r:id="rId6"/>
    <externalReference r:id="rId7"/>
  </externalReferences>
  <definedNames>
    <definedName name="_xlnm.Print_Area" localSheetId="0">'Genesis (Not Cons)'!$A$1:$N$41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1" i="2" l="1"/>
  <c r="D81" i="2"/>
  <c r="E81" i="2"/>
  <c r="F81" i="2"/>
  <c r="B81" i="2"/>
  <c r="C80" i="2"/>
  <c r="D80" i="2"/>
  <c r="E80" i="2"/>
  <c r="F80" i="2"/>
  <c r="B80" i="2"/>
  <c r="I73" i="2"/>
  <c r="I72" i="2"/>
  <c r="I71" i="2"/>
  <c r="I67" i="2"/>
  <c r="I66" i="2"/>
  <c r="I65" i="2"/>
  <c r="I62" i="2"/>
  <c r="I60" i="2"/>
  <c r="I63" i="2" s="1"/>
  <c r="I57" i="2"/>
  <c r="I56" i="2"/>
  <c r="I58" i="2" s="1"/>
  <c r="I54" i="2"/>
  <c r="I47" i="2"/>
  <c r="I46" i="2"/>
  <c r="I45" i="2"/>
  <c r="I43" i="2"/>
  <c r="I42" i="2"/>
  <c r="I41" i="2"/>
  <c r="I40" i="2"/>
  <c r="I39" i="2"/>
  <c r="I38" i="2"/>
  <c r="I34" i="2"/>
  <c r="I33" i="2"/>
  <c r="I32" i="2"/>
  <c r="I29" i="2"/>
  <c r="I30" i="2" s="1"/>
  <c r="I20" i="2"/>
  <c r="I22" i="2" s="1"/>
  <c r="I15" i="2"/>
  <c r="I14" i="2"/>
  <c r="I13" i="2"/>
  <c r="I12" i="2"/>
  <c r="I11" i="2"/>
  <c r="I9" i="2"/>
  <c r="I10" i="2" s="1"/>
  <c r="H92" i="1"/>
  <c r="H80" i="1"/>
  <c r="H79" i="1"/>
  <c r="H78" i="1"/>
  <c r="H75" i="1"/>
  <c r="H66" i="1"/>
  <c r="H55" i="1"/>
  <c r="H50" i="1"/>
  <c r="H62" i="1" s="1"/>
  <c r="H47" i="1"/>
  <c r="H46" i="1"/>
  <c r="H45" i="1"/>
  <c r="H44" i="1"/>
  <c r="H43" i="1"/>
  <c r="H42" i="1"/>
  <c r="H4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4" i="1"/>
  <c r="H23" i="1"/>
  <c r="H21" i="1"/>
  <c r="H19" i="1"/>
  <c r="H18" i="1"/>
  <c r="H17" i="1"/>
  <c r="H16" i="1"/>
  <c r="H15" i="1"/>
  <c r="H14" i="1"/>
  <c r="H12" i="1"/>
  <c r="H11" i="1"/>
  <c r="H10" i="1"/>
  <c r="H9" i="1"/>
  <c r="M37" i="5"/>
  <c r="L37" i="5"/>
  <c r="K37" i="5"/>
  <c r="J37" i="5"/>
  <c r="I37" i="5"/>
  <c r="H37" i="5"/>
  <c r="G37" i="5"/>
  <c r="F37" i="5"/>
  <c r="I24" i="5"/>
  <c r="I39" i="5" s="1"/>
  <c r="H24" i="5"/>
  <c r="H39" i="5" s="1"/>
  <c r="G24" i="5"/>
  <c r="G39" i="5" s="1"/>
  <c r="M22" i="5"/>
  <c r="L22" i="5"/>
  <c r="K22" i="5"/>
  <c r="J22" i="5"/>
  <c r="I22" i="5"/>
  <c r="H22" i="5"/>
  <c r="G22" i="5"/>
  <c r="F22" i="5"/>
  <c r="M14" i="5"/>
  <c r="M24" i="5" s="1"/>
  <c r="M39" i="5" s="1"/>
  <c r="L14" i="5"/>
  <c r="L24" i="5" s="1"/>
  <c r="L39" i="5" s="1"/>
  <c r="K14" i="5"/>
  <c r="K24" i="5" s="1"/>
  <c r="K39" i="5" s="1"/>
  <c r="J14" i="5"/>
  <c r="J24" i="5" s="1"/>
  <c r="J39" i="5" s="1"/>
  <c r="I14" i="5"/>
  <c r="H14" i="5"/>
  <c r="G14" i="5"/>
  <c r="F14" i="5"/>
  <c r="F24" i="5" s="1"/>
  <c r="F39" i="5" s="1"/>
  <c r="N4" i="5"/>
  <c r="G10" i="2"/>
  <c r="G16" i="2"/>
  <c r="G17" i="2"/>
  <c r="G21" i="2"/>
  <c r="G22" i="2"/>
  <c r="G23" i="2"/>
  <c r="G24" i="2"/>
  <c r="G25" i="2"/>
  <c r="G26" i="2"/>
  <c r="G27" i="2"/>
  <c r="G28" i="2"/>
  <c r="G30" i="2"/>
  <c r="G31" i="2"/>
  <c r="G35" i="2"/>
  <c r="G36" i="2"/>
  <c r="G37" i="2"/>
  <c r="G39" i="2"/>
  <c r="G48" i="2"/>
  <c r="G49" i="2"/>
  <c r="G54" i="2"/>
  <c r="G55" i="2"/>
  <c r="G58" i="2"/>
  <c r="G59" i="2"/>
  <c r="G63" i="2"/>
  <c r="G64" i="2"/>
  <c r="G68" i="2"/>
  <c r="G69" i="2"/>
  <c r="G70" i="2"/>
  <c r="G71" i="2"/>
  <c r="G72" i="2"/>
  <c r="G73" i="2"/>
  <c r="G74" i="2"/>
  <c r="G75" i="2"/>
  <c r="G77" i="2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7" i="1"/>
  <c r="B102" i="4"/>
  <c r="D82" i="4"/>
  <c r="D58" i="4"/>
  <c r="C46" i="4"/>
  <c r="C45" i="4"/>
  <c r="C47" i="4" s="1"/>
  <c r="F7" i="2"/>
  <c r="F8" i="2"/>
  <c r="D9" i="2"/>
  <c r="E9" i="2"/>
  <c r="E10" i="2" s="1"/>
  <c r="B10" i="2"/>
  <c r="C10" i="2"/>
  <c r="D10" i="2"/>
  <c r="E11" i="2"/>
  <c r="F11" i="2" s="1"/>
  <c r="C12" i="2"/>
  <c r="F12" i="2" s="1"/>
  <c r="D12" i="2"/>
  <c r="E12" i="2"/>
  <c r="B13" i="2"/>
  <c r="C13" i="2"/>
  <c r="D13" i="2"/>
  <c r="E13" i="2"/>
  <c r="B14" i="2"/>
  <c r="C14" i="2"/>
  <c r="D14" i="2"/>
  <c r="E14" i="2"/>
  <c r="D15" i="2"/>
  <c r="E15" i="2"/>
  <c r="F17" i="2"/>
  <c r="C18" i="2"/>
  <c r="D18" i="2"/>
  <c r="D22" i="2" s="1"/>
  <c r="B19" i="2"/>
  <c r="C19" i="2"/>
  <c r="C20" i="2"/>
  <c r="F20" i="2" s="1"/>
  <c r="D20" i="2"/>
  <c r="E20" i="2"/>
  <c r="B21" i="2"/>
  <c r="C21" i="2"/>
  <c r="F21" i="2" s="1"/>
  <c r="E22" i="2"/>
  <c r="F27" i="2"/>
  <c r="F28" i="2"/>
  <c r="D29" i="2"/>
  <c r="F29" i="2" s="1"/>
  <c r="E29" i="2"/>
  <c r="E30" i="2" s="1"/>
  <c r="B30" i="2"/>
  <c r="C30" i="2"/>
  <c r="F31" i="2"/>
  <c r="B32" i="2"/>
  <c r="F32" i="2" s="1"/>
  <c r="C32" i="2"/>
  <c r="D32" i="2"/>
  <c r="E32" i="2"/>
  <c r="C33" i="2"/>
  <c r="D33" i="2"/>
  <c r="E33" i="2"/>
  <c r="F33" i="2" s="1"/>
  <c r="D34" i="2"/>
  <c r="D35" i="2" s="1"/>
  <c r="E34" i="2"/>
  <c r="C35" i="2"/>
  <c r="F36" i="2"/>
  <c r="F37" i="2"/>
  <c r="B38" i="2"/>
  <c r="C38" i="2"/>
  <c r="C39" i="2" s="1"/>
  <c r="D38" i="2"/>
  <c r="D39" i="2" s="1"/>
  <c r="E38" i="2"/>
  <c r="E39" i="2" s="1"/>
  <c r="B40" i="2"/>
  <c r="C40" i="2"/>
  <c r="D40" i="2"/>
  <c r="E40" i="2"/>
  <c r="B41" i="2"/>
  <c r="C41" i="2"/>
  <c r="D41" i="2"/>
  <c r="E41" i="2"/>
  <c r="C42" i="2"/>
  <c r="D42" i="2"/>
  <c r="E42" i="2"/>
  <c r="C43" i="2"/>
  <c r="D43" i="2"/>
  <c r="E43" i="2"/>
  <c r="C44" i="2"/>
  <c r="F44" i="2" s="1"/>
  <c r="C45" i="2"/>
  <c r="F45" i="2" s="1"/>
  <c r="D45" i="2"/>
  <c r="E45" i="2"/>
  <c r="B46" i="2"/>
  <c r="C46" i="2"/>
  <c r="D46" i="2"/>
  <c r="E46" i="2"/>
  <c r="C47" i="2"/>
  <c r="D47" i="2"/>
  <c r="E47" i="2"/>
  <c r="F49" i="2"/>
  <c r="D50" i="2"/>
  <c r="F50" i="2" s="1"/>
  <c r="D51" i="2"/>
  <c r="F51" i="2" s="1"/>
  <c r="D52" i="2"/>
  <c r="F52" i="2" s="1"/>
  <c r="D53" i="2"/>
  <c r="F53" i="2" s="1"/>
  <c r="B54" i="2"/>
  <c r="C54" i="2"/>
  <c r="E54" i="2"/>
  <c r="F55" i="2"/>
  <c r="D56" i="2"/>
  <c r="E56" i="2"/>
  <c r="C57" i="2"/>
  <c r="C58" i="2" s="1"/>
  <c r="D57" i="2"/>
  <c r="E57" i="2"/>
  <c r="E58" i="2" s="1"/>
  <c r="B58" i="2"/>
  <c r="F59" i="2"/>
  <c r="B60" i="2"/>
  <c r="B63" i="2" s="1"/>
  <c r="C60" i="2"/>
  <c r="C63" i="2" s="1"/>
  <c r="D60" i="2"/>
  <c r="E60" i="2"/>
  <c r="D61" i="2"/>
  <c r="D63" i="2" s="1"/>
  <c r="E62" i="2"/>
  <c r="F62" i="2" s="1"/>
  <c r="D65" i="2"/>
  <c r="E65" i="2"/>
  <c r="C66" i="2"/>
  <c r="D66" i="2"/>
  <c r="E66" i="2"/>
  <c r="D67" i="2"/>
  <c r="E67" i="2"/>
  <c r="F70" i="2"/>
  <c r="B71" i="2"/>
  <c r="C71" i="2"/>
  <c r="D71" i="2"/>
  <c r="E71" i="2"/>
  <c r="E79" i="2" s="1"/>
  <c r="B72" i="2"/>
  <c r="C72" i="2"/>
  <c r="D72" i="2"/>
  <c r="E72" i="2"/>
  <c r="D73" i="2"/>
  <c r="F73" i="2" s="1"/>
  <c r="E73" i="2"/>
  <c r="D75" i="2"/>
  <c r="F75" i="2"/>
  <c r="D94" i="1"/>
  <c r="B94" i="1"/>
  <c r="D93" i="1"/>
  <c r="F93" i="1" s="1"/>
  <c r="E92" i="1"/>
  <c r="E94" i="1" s="1"/>
  <c r="D92" i="1"/>
  <c r="C92" i="1"/>
  <c r="C94" i="1" s="1"/>
  <c r="B92" i="1"/>
  <c r="D89" i="1"/>
  <c r="F89" i="1" s="1"/>
  <c r="C88" i="1"/>
  <c r="F88" i="1" s="1"/>
  <c r="D87" i="1"/>
  <c r="C87" i="1"/>
  <c r="F87" i="1" s="1"/>
  <c r="F86" i="1"/>
  <c r="B86" i="1"/>
  <c r="B85" i="1"/>
  <c r="F85" i="1" s="1"/>
  <c r="B84" i="1"/>
  <c r="F84" i="1" s="1"/>
  <c r="B83" i="1"/>
  <c r="F83" i="1" s="1"/>
  <c r="D82" i="1"/>
  <c r="B82" i="1"/>
  <c r="D81" i="1"/>
  <c r="C81" i="1"/>
  <c r="B81" i="1"/>
  <c r="F81" i="1" s="1"/>
  <c r="E80" i="1"/>
  <c r="D80" i="1"/>
  <c r="C80" i="1"/>
  <c r="B80" i="1"/>
  <c r="E79" i="1"/>
  <c r="D79" i="1"/>
  <c r="C79" i="1"/>
  <c r="B79" i="1"/>
  <c r="E78" i="1"/>
  <c r="F78" i="1" s="1"/>
  <c r="B78" i="1"/>
  <c r="F77" i="1"/>
  <c r="D77" i="1"/>
  <c r="C77" i="1"/>
  <c r="B77" i="1"/>
  <c r="B76" i="1"/>
  <c r="F76" i="1" s="1"/>
  <c r="F75" i="1"/>
  <c r="E75" i="1"/>
  <c r="D75" i="1"/>
  <c r="C75" i="1"/>
  <c r="B75" i="1"/>
  <c r="C74" i="1"/>
  <c r="B74" i="1"/>
  <c r="F74" i="1" s="1"/>
  <c r="B73" i="1"/>
  <c r="F73" i="1" s="1"/>
  <c r="D72" i="1"/>
  <c r="F72" i="1" s="1"/>
  <c r="C71" i="1"/>
  <c r="B71" i="1"/>
  <c r="B70" i="1"/>
  <c r="D69" i="1"/>
  <c r="C69" i="1"/>
  <c r="B69" i="1"/>
  <c r="F69" i="1" s="1"/>
  <c r="C68" i="1"/>
  <c r="F68" i="1" s="1"/>
  <c r="D67" i="1"/>
  <c r="C67" i="1"/>
  <c r="B67" i="1"/>
  <c r="E66" i="1"/>
  <c r="D66" i="1"/>
  <c r="C66" i="1"/>
  <c r="B66" i="1"/>
  <c r="F66" i="1" s="1"/>
  <c r="C65" i="1"/>
  <c r="B65" i="1"/>
  <c r="C61" i="1"/>
  <c r="F61" i="1" s="1"/>
  <c r="B61" i="1"/>
  <c r="D60" i="1"/>
  <c r="C60" i="1"/>
  <c r="B60" i="1"/>
  <c r="F60" i="1" s="1"/>
  <c r="D59" i="1"/>
  <c r="C59" i="1"/>
  <c r="B59" i="1"/>
  <c r="F58" i="1"/>
  <c r="C58" i="1"/>
  <c r="B58" i="1"/>
  <c r="F57" i="1"/>
  <c r="B57" i="1"/>
  <c r="D56" i="1"/>
  <c r="C56" i="1"/>
  <c r="B56" i="1"/>
  <c r="E55" i="1"/>
  <c r="D55" i="1"/>
  <c r="C55" i="1"/>
  <c r="B55" i="1"/>
  <c r="F55" i="1" s="1"/>
  <c r="D54" i="1"/>
  <c r="C54" i="1"/>
  <c r="F54" i="1" s="1"/>
  <c r="B54" i="1"/>
  <c r="F53" i="1"/>
  <c r="C53" i="1"/>
  <c r="C52" i="1"/>
  <c r="B52" i="1"/>
  <c r="B51" i="1"/>
  <c r="F51" i="1" s="1"/>
  <c r="E50" i="1"/>
  <c r="E62" i="1" s="1"/>
  <c r="D50" i="1"/>
  <c r="C50" i="1"/>
  <c r="B50" i="1"/>
  <c r="E47" i="1"/>
  <c r="D47" i="1"/>
  <c r="C47" i="1"/>
  <c r="E46" i="1"/>
  <c r="D46" i="1"/>
  <c r="C46" i="1"/>
  <c r="B46" i="1"/>
  <c r="E45" i="1"/>
  <c r="D45" i="1"/>
  <c r="C45" i="1"/>
  <c r="B45" i="1"/>
  <c r="E44" i="1"/>
  <c r="F44" i="1" s="1"/>
  <c r="D44" i="1"/>
  <c r="C44" i="1"/>
  <c r="B44" i="1"/>
  <c r="E43" i="1"/>
  <c r="D43" i="1"/>
  <c r="C43" i="1"/>
  <c r="B43" i="1"/>
  <c r="E42" i="1"/>
  <c r="D42" i="1"/>
  <c r="C42" i="1"/>
  <c r="E41" i="1"/>
  <c r="D41" i="1"/>
  <c r="F40" i="1"/>
  <c r="B40" i="1"/>
  <c r="E39" i="1"/>
  <c r="D39" i="1"/>
  <c r="C39" i="1"/>
  <c r="B39" i="1"/>
  <c r="E38" i="1"/>
  <c r="F38" i="1" s="1"/>
  <c r="D38" i="1"/>
  <c r="C38" i="1"/>
  <c r="B38" i="1"/>
  <c r="E37" i="1"/>
  <c r="D37" i="1"/>
  <c r="F37" i="1" s="1"/>
  <c r="C37" i="1"/>
  <c r="B37" i="1"/>
  <c r="E36" i="1"/>
  <c r="D36" i="1"/>
  <c r="C36" i="1"/>
  <c r="B36" i="1"/>
  <c r="E35" i="1"/>
  <c r="D35" i="1"/>
  <c r="C35" i="1"/>
  <c r="B35" i="1"/>
  <c r="F35" i="1" s="1"/>
  <c r="E34" i="1"/>
  <c r="D34" i="1"/>
  <c r="C34" i="1"/>
  <c r="B34" i="1"/>
  <c r="E33" i="1"/>
  <c r="D33" i="1"/>
  <c r="C33" i="1"/>
  <c r="B33" i="1"/>
  <c r="E32" i="1"/>
  <c r="D32" i="1"/>
  <c r="C32" i="1"/>
  <c r="B32" i="1"/>
  <c r="E31" i="1"/>
  <c r="D31" i="1"/>
  <c r="C31" i="1"/>
  <c r="B31" i="1"/>
  <c r="E30" i="1"/>
  <c r="F30" i="1" s="1"/>
  <c r="D30" i="1"/>
  <c r="C30" i="1"/>
  <c r="B30" i="1"/>
  <c r="F29" i="1"/>
  <c r="E29" i="1"/>
  <c r="F28" i="1"/>
  <c r="E28" i="1"/>
  <c r="D28" i="1"/>
  <c r="C28" i="1"/>
  <c r="B28" i="1"/>
  <c r="E27" i="1"/>
  <c r="D27" i="1"/>
  <c r="C27" i="1"/>
  <c r="B27" i="1"/>
  <c r="E26" i="1"/>
  <c r="D26" i="1"/>
  <c r="C26" i="1"/>
  <c r="B26" i="1"/>
  <c r="D25" i="1"/>
  <c r="C25" i="1"/>
  <c r="B25" i="1"/>
  <c r="E24" i="1"/>
  <c r="D24" i="1"/>
  <c r="C24" i="1"/>
  <c r="B24" i="1"/>
  <c r="E23" i="1"/>
  <c r="D23" i="1"/>
  <c r="C23" i="1"/>
  <c r="F23" i="1" s="1"/>
  <c r="D22" i="1"/>
  <c r="B22" i="1"/>
  <c r="E21" i="1"/>
  <c r="D21" i="1"/>
  <c r="C21" i="1"/>
  <c r="B21" i="1"/>
  <c r="D20" i="1"/>
  <c r="B20" i="1"/>
  <c r="E19" i="1"/>
  <c r="D19" i="1"/>
  <c r="C19" i="1"/>
  <c r="B19" i="1"/>
  <c r="E18" i="1"/>
  <c r="D18" i="1"/>
  <c r="C18" i="1"/>
  <c r="B18" i="1"/>
  <c r="E17" i="1"/>
  <c r="F17" i="1" s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F14" i="1" s="1"/>
  <c r="C13" i="1"/>
  <c r="B13" i="1"/>
  <c r="E12" i="1"/>
  <c r="D12" i="1"/>
  <c r="C12" i="1"/>
  <c r="B12" i="1"/>
  <c r="F12" i="1" s="1"/>
  <c r="E11" i="1"/>
  <c r="D11" i="1"/>
  <c r="C11" i="1"/>
  <c r="B11" i="1"/>
  <c r="E10" i="1"/>
  <c r="D10" i="1"/>
  <c r="C10" i="1"/>
  <c r="B10" i="1"/>
  <c r="E9" i="1"/>
  <c r="C9" i="1"/>
  <c r="F8" i="1"/>
  <c r="B8" i="1"/>
  <c r="D7" i="1"/>
  <c r="F7" i="1" s="1"/>
  <c r="C30" i="5" l="1"/>
  <c r="D79" i="2"/>
  <c r="F66" i="2"/>
  <c r="C48" i="2"/>
  <c r="C16" i="2"/>
  <c r="D34" i="5"/>
  <c r="C79" i="2"/>
  <c r="F65" i="2"/>
  <c r="F56" i="2"/>
  <c r="F38" i="2"/>
  <c r="F15" i="2"/>
  <c r="F13" i="2"/>
  <c r="E35" i="2"/>
  <c r="D17" i="5"/>
  <c r="E63" i="2"/>
  <c r="F71" i="2"/>
  <c r="F67" i="2"/>
  <c r="C28" i="5"/>
  <c r="C9" i="5"/>
  <c r="B10" i="5"/>
  <c r="D8" i="5"/>
  <c r="D20" i="5"/>
  <c r="D35" i="5"/>
  <c r="F47" i="2"/>
  <c r="F19" i="2"/>
  <c r="E10" i="5"/>
  <c r="B11" i="5"/>
  <c r="B30" i="5"/>
  <c r="C10" i="5"/>
  <c r="C29" i="5"/>
  <c r="D9" i="5"/>
  <c r="D28" i="5"/>
  <c r="B31" i="5"/>
  <c r="I16" i="2"/>
  <c r="I35" i="2"/>
  <c r="B17" i="5"/>
  <c r="B32" i="5"/>
  <c r="C12" i="5"/>
  <c r="C31" i="5"/>
  <c r="D11" i="5"/>
  <c r="D14" i="5" s="1"/>
  <c r="D30" i="5"/>
  <c r="B79" i="2"/>
  <c r="I23" i="2"/>
  <c r="I24" i="2" s="1"/>
  <c r="I25" i="2" s="1"/>
  <c r="B12" i="5"/>
  <c r="D10" i="5"/>
  <c r="D29" i="5"/>
  <c r="F42" i="2"/>
  <c r="F40" i="2"/>
  <c r="C22" i="2"/>
  <c r="D16" i="2"/>
  <c r="F10" i="2"/>
  <c r="C74" i="2"/>
  <c r="C76" i="2" s="1"/>
  <c r="F72" i="2"/>
  <c r="F60" i="2"/>
  <c r="F41" i="2"/>
  <c r="B39" i="2"/>
  <c r="F39" i="2" s="1"/>
  <c r="E16" i="2"/>
  <c r="F9" i="2"/>
  <c r="B18" i="5"/>
  <c r="B33" i="5"/>
  <c r="C17" i="5"/>
  <c r="C32" i="5"/>
  <c r="D12" i="5"/>
  <c r="D31" i="5"/>
  <c r="B29" i="5"/>
  <c r="C11" i="5"/>
  <c r="B19" i="5"/>
  <c r="B34" i="5"/>
  <c r="C18" i="5"/>
  <c r="C33" i="5"/>
  <c r="D32" i="5"/>
  <c r="E23" i="2"/>
  <c r="E24" i="2" s="1"/>
  <c r="E25" i="2" s="1"/>
  <c r="I48" i="2"/>
  <c r="B8" i="5"/>
  <c r="B20" i="5"/>
  <c r="B35" i="5"/>
  <c r="C19" i="5"/>
  <c r="C34" i="5"/>
  <c r="D18" i="5"/>
  <c r="D33" i="5"/>
  <c r="B74" i="2"/>
  <c r="D58" i="2"/>
  <c r="F14" i="2"/>
  <c r="E74" i="2"/>
  <c r="E76" i="2" s="1"/>
  <c r="F43" i="2"/>
  <c r="E48" i="2"/>
  <c r="B16" i="2"/>
  <c r="E29" i="5"/>
  <c r="N29" i="5" s="1"/>
  <c r="D74" i="2"/>
  <c r="D76" i="2" s="1"/>
  <c r="F61" i="2"/>
  <c r="F57" i="2"/>
  <c r="F46" i="2"/>
  <c r="D48" i="2"/>
  <c r="F34" i="2"/>
  <c r="I74" i="2"/>
  <c r="I76" i="2" s="1"/>
  <c r="B9" i="5"/>
  <c r="B14" i="5" s="1"/>
  <c r="B28" i="5"/>
  <c r="C8" i="5"/>
  <c r="C20" i="5"/>
  <c r="C35" i="5"/>
  <c r="D19" i="5"/>
  <c r="C14" i="5"/>
  <c r="C15" i="5" s="1"/>
  <c r="N10" i="5"/>
  <c r="E30" i="5"/>
  <c r="N30" i="5" s="1"/>
  <c r="F16" i="1"/>
  <c r="F34" i="1"/>
  <c r="F45" i="1"/>
  <c r="F47" i="1"/>
  <c r="F52" i="1"/>
  <c r="F79" i="1"/>
  <c r="E9" i="5"/>
  <c r="E31" i="5"/>
  <c r="F21" i="1"/>
  <c r="F26" i="1"/>
  <c r="F32" i="1"/>
  <c r="F36" i="1"/>
  <c r="D90" i="1"/>
  <c r="F92" i="1"/>
  <c r="E17" i="5"/>
  <c r="E32" i="5"/>
  <c r="N32" i="5" s="1"/>
  <c r="F11" i="1"/>
  <c r="F15" i="1"/>
  <c r="F24" i="1"/>
  <c r="F43" i="1"/>
  <c r="E90" i="1"/>
  <c r="B90" i="1"/>
  <c r="F90" i="1" s="1"/>
  <c r="F94" i="1"/>
  <c r="E18" i="5"/>
  <c r="N18" i="5" s="1"/>
  <c r="E33" i="5"/>
  <c r="F13" i="1"/>
  <c r="F19" i="1"/>
  <c r="F41" i="1"/>
  <c r="F50" i="1"/>
  <c r="F56" i="1"/>
  <c r="F67" i="1"/>
  <c r="F71" i="1"/>
  <c r="F82" i="1"/>
  <c r="H48" i="1"/>
  <c r="H63" i="1" s="1"/>
  <c r="E19" i="5"/>
  <c r="E34" i="5"/>
  <c r="C48" i="1"/>
  <c r="C63" i="1" s="1"/>
  <c r="F22" i="1"/>
  <c r="F31" i="1"/>
  <c r="F33" i="1"/>
  <c r="F46" i="1"/>
  <c r="C62" i="1"/>
  <c r="F59" i="1"/>
  <c r="F80" i="1"/>
  <c r="E8" i="5"/>
  <c r="N8" i="5" s="1"/>
  <c r="E20" i="5"/>
  <c r="N20" i="5" s="1"/>
  <c r="E35" i="5"/>
  <c r="E48" i="1"/>
  <c r="E63" i="1" s="1"/>
  <c r="E95" i="1" s="1"/>
  <c r="F39" i="1"/>
  <c r="D62" i="1"/>
  <c r="C90" i="1"/>
  <c r="E12" i="5"/>
  <c r="N12" i="5" s="1"/>
  <c r="E28" i="5"/>
  <c r="F27" i="1"/>
  <c r="F42" i="1"/>
  <c r="F10" i="1"/>
  <c r="F18" i="1"/>
  <c r="F20" i="1"/>
  <c r="F25" i="1"/>
  <c r="F65" i="1"/>
  <c r="H90" i="1"/>
  <c r="E11" i="5"/>
  <c r="I64" i="2"/>
  <c r="I68" i="2" s="1"/>
  <c r="N34" i="5"/>
  <c r="D65" i="4"/>
  <c r="C80" i="4"/>
  <c r="D23" i="2"/>
  <c r="D24" i="2" s="1"/>
  <c r="D25" i="2" s="1"/>
  <c r="F58" i="2"/>
  <c r="F63" i="2"/>
  <c r="E64" i="2"/>
  <c r="E68" i="2" s="1"/>
  <c r="F16" i="2"/>
  <c r="C23" i="2"/>
  <c r="C24" i="2" s="1"/>
  <c r="C25" i="2" s="1"/>
  <c r="C64" i="2"/>
  <c r="C68" i="2" s="1"/>
  <c r="B76" i="2"/>
  <c r="D54" i="2"/>
  <c r="F54" i="2" s="1"/>
  <c r="F18" i="2"/>
  <c r="B35" i="2"/>
  <c r="D30" i="2"/>
  <c r="B22" i="2"/>
  <c r="C95" i="1"/>
  <c r="F9" i="1"/>
  <c r="F70" i="1"/>
  <c r="D48" i="1"/>
  <c r="D63" i="1" s="1"/>
  <c r="B62" i="1"/>
  <c r="F62" i="1" s="1"/>
  <c r="B48" i="1"/>
  <c r="D22" i="5" l="1"/>
  <c r="N11" i="5"/>
  <c r="C37" i="5"/>
  <c r="F79" i="2"/>
  <c r="B48" i="2"/>
  <c r="F48" i="2" s="1"/>
  <c r="N19" i="5"/>
  <c r="F76" i="2"/>
  <c r="D15" i="5"/>
  <c r="D24" i="5"/>
  <c r="C22" i="5"/>
  <c r="C77" i="2"/>
  <c r="C97" i="1" s="1"/>
  <c r="B22" i="5"/>
  <c r="B24" i="5" s="1"/>
  <c r="B39" i="5" s="1"/>
  <c r="B41" i="5" s="1"/>
  <c r="D37" i="5"/>
  <c r="C24" i="5"/>
  <c r="C39" i="5" s="1"/>
  <c r="C41" i="5" s="1"/>
  <c r="N33" i="5"/>
  <c r="N31" i="5"/>
  <c r="E77" i="2"/>
  <c r="E97" i="1" s="1"/>
  <c r="N35" i="5"/>
  <c r="N9" i="5"/>
  <c r="B37" i="5"/>
  <c r="F74" i="2"/>
  <c r="E22" i="5"/>
  <c r="N17" i="5"/>
  <c r="B15" i="5"/>
  <c r="E14" i="5"/>
  <c r="E37" i="5"/>
  <c r="N28" i="5"/>
  <c r="D95" i="1"/>
  <c r="B64" i="2"/>
  <c r="F35" i="2"/>
  <c r="D64" i="2"/>
  <c r="D68" i="2" s="1"/>
  <c r="D77" i="2" s="1"/>
  <c r="D97" i="1" s="1"/>
  <c r="F30" i="2"/>
  <c r="F22" i="2"/>
  <c r="B23" i="2"/>
  <c r="F48" i="1"/>
  <c r="B63" i="1"/>
  <c r="N37" i="5" l="1"/>
  <c r="E98" i="1"/>
  <c r="E103" i="1" s="1"/>
  <c r="D39" i="5"/>
  <c r="D41" i="5" s="1"/>
  <c r="N41" i="5" s="1"/>
  <c r="N22" i="5"/>
  <c r="E24" i="5"/>
  <c r="N24" i="5" s="1"/>
  <c r="N39" i="5" s="1"/>
  <c r="O41" i="5" s="1"/>
  <c r="N14" i="5"/>
  <c r="B95" i="4"/>
  <c r="B98" i="4"/>
  <c r="F23" i="2"/>
  <c r="B24" i="2"/>
  <c r="F64" i="2"/>
  <c r="B68" i="2"/>
  <c r="F68" i="2" s="1"/>
  <c r="F63" i="1"/>
  <c r="B95" i="1"/>
  <c r="F95" i="1" s="1"/>
  <c r="E39" i="5" l="1"/>
  <c r="F24" i="2"/>
  <c r="B25" i="2"/>
  <c r="B77" i="2" l="1"/>
  <c r="F25" i="2"/>
  <c r="F77" i="2" l="1"/>
  <c r="F99" i="1" s="1"/>
  <c r="B97" i="1"/>
  <c r="F97" i="1" s="1"/>
</calcChain>
</file>

<file path=xl/sharedStrings.xml><?xml version="1.0" encoding="utf-8"?>
<sst xmlns="http://schemas.openxmlformats.org/spreadsheetml/2006/main" count="558" uniqueCount="217">
  <si>
    <t>Jan. 2022</t>
  </si>
  <si>
    <t>Feb. 2022</t>
  </si>
  <si>
    <t>Mar. 2022</t>
  </si>
  <si>
    <t>Apr. 2022</t>
  </si>
  <si>
    <t>Total</t>
  </si>
  <si>
    <t xml:space="preserve">   INCOME</t>
  </si>
  <si>
    <t xml:space="preserve">      000-4034 IVF Egg Donor Screening</t>
  </si>
  <si>
    <t xml:space="preserve">      000-4048 IVF Surrogate Screening</t>
  </si>
  <si>
    <t xml:space="preserve">      000-4055 Superovulation Cycle</t>
  </si>
  <si>
    <t xml:space="preserve">      000-4114 Egg Freezing Cycle</t>
  </si>
  <si>
    <t xml:space="preserve">      000-4115 IVF cycle 1</t>
  </si>
  <si>
    <t xml:space="preserve">      000-4120 IVF Cycle 2+</t>
  </si>
  <si>
    <t xml:space="preserve">      000-4132 Sperm Extraction Lab Procedure</t>
  </si>
  <si>
    <t xml:space="preserve">      000-4210 Semen Analysis with morphology</t>
  </si>
  <si>
    <t xml:space="preserve">      000-4211 HBA test</t>
  </si>
  <si>
    <t xml:space="preserve">      000-4305 Donor Sperm Insemination Cycle</t>
  </si>
  <si>
    <t xml:space="preserve">      000-4321 Donor Sperm Handling Fee</t>
  </si>
  <si>
    <t xml:space="preserve">      000-4405 IUI Cycle</t>
  </si>
  <si>
    <t xml:space="preserve">      000-4520 Donor Sperm Annual Storage</t>
  </si>
  <si>
    <t xml:space="preserve">      000-4525 Elective Sperm Freezing</t>
  </si>
  <si>
    <t xml:space="preserve">      000-4530 Frozen Sperm Annual Storage</t>
  </si>
  <si>
    <t xml:space="preserve">      000-4532 Sperm Handling Fee</t>
  </si>
  <si>
    <t xml:space="preserve">      000-4610 Embryo Handling Fee</t>
  </si>
  <si>
    <t xml:space="preserve">      000-4615 Thawing/Replacing Embryos</t>
  </si>
  <si>
    <t xml:space="preserve">      000-4616 Thaw, fertilize eggs, and embryo transfer</t>
  </si>
  <si>
    <t xml:space="preserve">      000-4620 Frozen Embryo Annual Storage Fee</t>
  </si>
  <si>
    <t xml:space="preserve">      000-4700 Meds - Synarel Nasal Spray</t>
  </si>
  <si>
    <t xml:space="preserve">      000-4701 Meds - Menopur 75IU</t>
  </si>
  <si>
    <t xml:space="preserve">      000-4703 Meds - Endometrin 21 tabs</t>
  </si>
  <si>
    <t xml:space="preserve">      000-4709 Meds - Cetrotide 0.25mg</t>
  </si>
  <si>
    <t xml:space="preserve">      000-4723 Meds - Puregon 300IU</t>
  </si>
  <si>
    <t xml:space="preserve">      000-4729 Meds - Puregon 900IU</t>
  </si>
  <si>
    <t xml:space="preserve">      000-4731 Meds - Pregnyl 10,000 units</t>
  </si>
  <si>
    <t xml:space="preserve">      000-4760 Meds - Orgalutran 0.25 mg</t>
  </si>
  <si>
    <t xml:space="preserve">      000-4761 Estradot Patch 100mcg/24H</t>
  </si>
  <si>
    <t xml:space="preserve">      000-4770 Meds - Prometrium 100 mg Caps</t>
  </si>
  <si>
    <t xml:space="preserve">      000-4783 Meds - Marvelon Tabs 21</t>
  </si>
  <si>
    <t xml:space="preserve">      000-4784 Meds - Decapeptyl 1ML</t>
  </si>
  <si>
    <t xml:space="preserve">      000-4904 Consults - Dr. Kashyap</t>
  </si>
  <si>
    <t xml:space="preserve">      000-4924 Service Discount Fertile Future</t>
  </si>
  <si>
    <t xml:space="preserve">      000-4935 Non Resident Fee</t>
  </si>
  <si>
    <t xml:space="preserve">      000-4940 Partial Cycle Fee</t>
  </si>
  <si>
    <t xml:space="preserve">      000-4990 Miscellaneous Services</t>
  </si>
  <si>
    <t xml:space="preserve">      000-4991 Admin Photocopying Fees</t>
  </si>
  <si>
    <t xml:space="preserve">      000-4992 Space rent</t>
  </si>
  <si>
    <t xml:space="preserve">      000-4994 MSP Billing</t>
  </si>
  <si>
    <t xml:space="preserve">      000-4999 Write - off</t>
  </si>
  <si>
    <t xml:space="preserve">   Total Income</t>
  </si>
  <si>
    <t xml:space="preserve">   COST OF GOODS SOLD</t>
  </si>
  <si>
    <t xml:space="preserve">      200-6605 Physician Salary Expense</t>
  </si>
  <si>
    <t xml:space="preserve">      300-6210 Couriers &amp; Freight</t>
  </si>
  <si>
    <t xml:space="preserve">      300-6212 Brokerage Fees</t>
  </si>
  <si>
    <t xml:space="preserve">      300-6410 Lab Supplies - Consumables</t>
  </si>
  <si>
    <t xml:space="preserve">      300-6411 Lab supplies - Gases</t>
  </si>
  <si>
    <t xml:space="preserve">      300-6555 PGT-A fee</t>
  </si>
  <si>
    <t xml:space="preserve">      300-6615 Lab Salary Expense</t>
  </si>
  <si>
    <t xml:space="preserve">      400-6415 Nursing Supplies</t>
  </si>
  <si>
    <t xml:space="preserve">      400-6420 Pharmaceutical - Nursing</t>
  </si>
  <si>
    <t xml:space="preserve">      400-6425 Pharmaceuticals - Meds</t>
  </si>
  <si>
    <t xml:space="preserve">      400-6610 Nurses Salary Expense</t>
  </si>
  <si>
    <t xml:space="preserve">      500-6625 Contract Labour Expenses</t>
  </si>
  <si>
    <t xml:space="preserve">   Total Cost of Goods Sold</t>
  </si>
  <si>
    <t>GROSS PROFIT</t>
  </si>
  <si>
    <t>EXPENSES</t>
  </si>
  <si>
    <t xml:space="preserve">   000-6010 Bad Debts</t>
  </si>
  <si>
    <t xml:space="preserve">   000-6015 Bank charges</t>
  </si>
  <si>
    <t xml:space="preserve">   000-6025 Credit Card Charges</t>
  </si>
  <si>
    <t xml:space="preserve">   000-6036 Entertainment - Staff</t>
  </si>
  <si>
    <t xml:space="preserve">   000-6037 Entertainment - External Party</t>
  </si>
  <si>
    <t xml:space="preserve">   000-6045 Insurance - Premises</t>
  </si>
  <si>
    <t xml:space="preserve">   000-6205 Advertising and Promotion</t>
  </si>
  <si>
    <t xml:space="preserve">   000-6825 Accounting</t>
  </si>
  <si>
    <t xml:space="preserve">   000-6830 Legal fees</t>
  </si>
  <si>
    <t xml:space="preserve">   000-6870 Service fee - Spring MSO</t>
  </si>
  <si>
    <t xml:space="preserve">   100-6020 Computer Software &amp; Support</t>
  </si>
  <si>
    <t xml:space="preserve">   100-6060 Office - Supplies</t>
  </si>
  <si>
    <t xml:space="preserve">   100-6061 Office - misc items</t>
  </si>
  <si>
    <t xml:space="preserve">   100-6065 Repair and maintenance</t>
  </si>
  <si>
    <t xml:space="preserve">   100-6220 Telephone</t>
  </si>
  <si>
    <t xml:space="preserve">   100-6620 Office Salary Expense</t>
  </si>
  <si>
    <t xml:space="preserve">   100-6630 IT salary expense</t>
  </si>
  <si>
    <t xml:space="preserve">   200-6072 Travel &amp; Conferences - SK</t>
  </si>
  <si>
    <t xml:space="preserve">   200-6840 Membership Dues</t>
  </si>
  <si>
    <t xml:space="preserve">   300-6075 Travel, Conferences, Education</t>
  </si>
  <si>
    <t xml:space="preserve">   400-6047 Janitorial and Laundry - nurse</t>
  </si>
  <si>
    <t xml:space="preserve">   400-6075 Travel, Conferences, Education - Nursing</t>
  </si>
  <si>
    <t xml:space="preserve">   Interest expense</t>
  </si>
  <si>
    <t xml:space="preserve">   Other general and administrative expenses</t>
  </si>
  <si>
    <t xml:space="preserve">   Taxes and Licenses</t>
  </si>
  <si>
    <t>Total Expenses</t>
  </si>
  <si>
    <t>OTHER EXPENSES</t>
  </si>
  <si>
    <t xml:space="preserve">   000-6030 Depreciation</t>
  </si>
  <si>
    <t xml:space="preserve">   000-6090 Miscellaneous</t>
  </si>
  <si>
    <t>Total Other Expenses</t>
  </si>
  <si>
    <t>PROFIT</t>
  </si>
  <si>
    <t>Monday, Jun. 13, 2022 10:18:32 p.m. GMT-7 - Accrual Basis</t>
  </si>
  <si>
    <t>Genesis Fertility Centre, Inc</t>
  </si>
  <si>
    <t>Profit and Loss</t>
  </si>
  <si>
    <t>January - April, 2022</t>
  </si>
  <si>
    <t>Monday, Jun. 13, 2022 10:19:40 p.m. GMT-7 - Accrual Basis</t>
  </si>
  <si>
    <t xml:space="preserve">   Exchange Gain or Loss</t>
  </si>
  <si>
    <t xml:space="preserve">   Total 70000 Other operating expenses</t>
  </si>
  <si>
    <t xml:space="preserve">      71170 Other misc expense</t>
  </si>
  <si>
    <t xml:space="preserve">      71150 Amortization</t>
  </si>
  <si>
    <t xml:space="preserve">      71140 Depreciation</t>
  </si>
  <si>
    <t xml:space="preserve">   70000 Other operating expenses</t>
  </si>
  <si>
    <t xml:space="preserve">   Meals and entertainment</t>
  </si>
  <si>
    <t xml:space="preserve">   Insurance</t>
  </si>
  <si>
    <t xml:space="preserve">   Freight and Delivery</t>
  </si>
  <si>
    <t xml:space="preserve">   Total 60000 Operating expenses</t>
  </si>
  <si>
    <t xml:space="preserve">      Total 69100 Bank charges</t>
  </si>
  <si>
    <t xml:space="preserve">         69130 Payroll processing fee</t>
  </si>
  <si>
    <t xml:space="preserve">         69120 Merchant fees</t>
  </si>
  <si>
    <t xml:space="preserve">         69110 Bank fees</t>
  </si>
  <si>
    <t xml:space="preserve">      69100 Bank charges</t>
  </si>
  <si>
    <t xml:space="preserve">      Total 67100 Employee related expenses</t>
  </si>
  <si>
    <t xml:space="preserve">         67130 Company events</t>
  </si>
  <si>
    <t xml:space="preserve">         67110 Professional development</t>
  </si>
  <si>
    <t xml:space="preserve">      67100 Employee related expenses</t>
  </si>
  <si>
    <t xml:space="preserve">      Total 66100 Travel</t>
  </si>
  <si>
    <t xml:space="preserve">         66160 Other travel expenses</t>
  </si>
  <si>
    <t xml:space="preserve">         66140 Ground transportation</t>
  </si>
  <si>
    <t xml:space="preserve">         66130 Meals</t>
  </si>
  <si>
    <t xml:space="preserve">         66110 Airfare</t>
  </si>
  <si>
    <t xml:space="preserve">      66100 Travel</t>
  </si>
  <si>
    <t xml:space="preserve">      Total 65000 Office</t>
  </si>
  <si>
    <t xml:space="preserve">         65240 Dues &amp; subscriptions</t>
  </si>
  <si>
    <t xml:space="preserve">         65210 Computer software</t>
  </si>
  <si>
    <t xml:space="preserve">         65190 Office supplies</t>
  </si>
  <si>
    <t xml:space="preserve">         65180 Printing, delivery, &amp; postage</t>
  </si>
  <si>
    <t xml:space="preserve">         65160 Repair &amp; Maintenance</t>
  </si>
  <si>
    <t xml:space="preserve">         65150 Insurance</t>
  </si>
  <si>
    <t xml:space="preserve">         65140 Janitorial and waste management</t>
  </si>
  <si>
    <t xml:space="preserve">         65130 Telephone &amp; internet</t>
  </si>
  <si>
    <t xml:space="preserve">         Total 65100 Rent</t>
  </si>
  <si>
    <t xml:space="preserve">            65110 Base rent</t>
  </si>
  <si>
    <t xml:space="preserve">         65100 Rent</t>
  </si>
  <si>
    <t xml:space="preserve">      65000 Office</t>
  </si>
  <si>
    <t xml:space="preserve">      Total 64100 Professional fees</t>
  </si>
  <si>
    <t xml:space="preserve">         64160 Legal</t>
  </si>
  <si>
    <t xml:space="preserve">         64130 Contract labor</t>
  </si>
  <si>
    <t xml:space="preserve">         64120 Consulting</t>
  </si>
  <si>
    <t xml:space="preserve">      64100 Professional fees</t>
  </si>
  <si>
    <t xml:space="preserve">      Total 61100 Payroll</t>
  </si>
  <si>
    <t xml:space="preserve">         61110 Salaries &amp; wages</t>
  </si>
  <si>
    <t xml:space="preserve">      61100 Payroll</t>
  </si>
  <si>
    <t xml:space="preserve">   60000 Operating expenses</t>
  </si>
  <si>
    <t xml:space="preserve">      Total 51000 Cost of goods sold</t>
  </si>
  <si>
    <t xml:space="preserve">         Total 51300 COGS - services</t>
  </si>
  <si>
    <t xml:space="preserve">            51400 Management service expense</t>
  </si>
  <si>
    <t xml:space="preserve">            51380 Laundry</t>
  </si>
  <si>
    <t xml:space="preserve">            51370 COGS - repair &amp; maintenance</t>
  </si>
  <si>
    <t xml:space="preserve">            51330 Genetic testing</t>
  </si>
  <si>
    <t xml:space="preserve">         51300 COGS - services</t>
  </si>
  <si>
    <t xml:space="preserve">         Total 51200 COGS - supplies</t>
  </si>
  <si>
    <t xml:space="preserve">            51240 Medication</t>
  </si>
  <si>
    <t xml:space="preserve">            51230 IVF Lab supplies</t>
  </si>
  <si>
    <t xml:space="preserve">            51220 Clinical supplies</t>
  </si>
  <si>
    <t xml:space="preserve">            51210 Surgical supplies</t>
  </si>
  <si>
    <t xml:space="preserve">         51200 COGS - supplies</t>
  </si>
  <si>
    <t xml:space="preserve">         Total 51100 COGS - payroll</t>
  </si>
  <si>
    <t xml:space="preserve">            51110 Salaries &amp; wages</t>
  </si>
  <si>
    <t xml:space="preserve">         51100 COGS - payroll</t>
  </si>
  <si>
    <t xml:space="preserve">      51000 Cost of goods sold</t>
  </si>
  <si>
    <t>Spring Fertility Vancouver MSO Inc</t>
  </si>
  <si>
    <t>Clinical Payroll</t>
  </si>
  <si>
    <t>Supplies</t>
  </si>
  <si>
    <t>Other</t>
  </si>
  <si>
    <t>Payroll</t>
  </si>
  <si>
    <t>Medical Services</t>
  </si>
  <si>
    <t>Professional Fees</t>
  </si>
  <si>
    <t>Rent</t>
  </si>
  <si>
    <t>Facilities</t>
  </si>
  <si>
    <t>Travel</t>
  </si>
  <si>
    <t>Employee related expenses</t>
  </si>
  <si>
    <t>General &amp; administrative</t>
  </si>
  <si>
    <t>Wednesday, May 11, 2022 11:13:52 p.m. GMT-7 - Accrual Basis</t>
  </si>
  <si>
    <t>IVF</t>
  </si>
  <si>
    <t>Storage</t>
  </si>
  <si>
    <t>Medication</t>
  </si>
  <si>
    <t>Other Revevenue</t>
  </si>
  <si>
    <t>MSP Billing</t>
  </si>
  <si>
    <t>Marketing</t>
  </si>
  <si>
    <t>Wednesday, May 11, 2022 11:13:11 p.m. GMT-7 - Accrual Basis</t>
  </si>
  <si>
    <t>SPRING FERTILITY VANCOUVER MSO</t>
  </si>
  <si>
    <t>2022 ACCRUED MONTHLY INCOME STATEMENT ( in CAD)</t>
  </si>
  <si>
    <t>Retrievals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</si>
  <si>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</si>
  <si>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</si>
  <si>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</si>
  <si>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</si>
  <si>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</si>
  <si>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</si>
  <si>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</si>
  <si>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</si>
  <si>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</si>
  <si>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</si>
  <si>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 xml:space="preserve">November </t>
  </si>
  <si>
    <t>December</t>
  </si>
  <si>
    <t>TOTAL</t>
  </si>
  <si>
    <t>REVENUE</t>
  </si>
  <si>
    <t>MSP</t>
  </si>
  <si>
    <t>Medications</t>
  </si>
  <si>
    <t>Other Revenue</t>
  </si>
  <si>
    <t>TOTAL REVENUE</t>
  </si>
  <si>
    <t>Rev$/Ret (Excludes Storage)</t>
  </si>
  <si>
    <t>COST OF GOODS SOLD</t>
  </si>
  <si>
    <t>Clinical payroll</t>
  </si>
  <si>
    <t>Medical services</t>
  </si>
  <si>
    <t>TOTAL COST OF GOODS SOLD</t>
  </si>
  <si>
    <t>GROSS MARGIN</t>
  </si>
  <si>
    <t>OPERATING EXPENSES</t>
  </si>
  <si>
    <t>Professional fees</t>
  </si>
  <si>
    <t>TOTAL OPERATING EXPENSES</t>
  </si>
  <si>
    <t>NET INCOME</t>
  </si>
  <si>
    <t>EBITDA</t>
  </si>
  <si>
    <t>Depreciation and Amort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</si>
</sst>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\ _€"/>
    <numFmt numFmtId="165" formatCode="&quot;$&quot;* #,##0.00\ _€"/>
    <numFmt numFmtId="166" formatCode="#,##0.0"/>
    <numFmt numFmtId="167" formatCode="_(* #,##0_);_(* \(#,##0\);_(* &quot;-&quot;??_);_(@_)"/>
    <numFmt numFmtId="168" formatCode="_(&quot;$&quot;* #,##0_);_(&quot;$&quot;* \(#,##0\);_(&quot;$&quot;* &quot;-&quot;??_);_(@_)"/>
  </numFmts>
  <fonts count="12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mbri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43" fontId="8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164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horizontal="right" wrapText="1"/>
    </xf>
    <xf numFmtId="165" fontId="3" fillId="0" borderId="2" xfId="0" applyNumberFormat="1" applyFont="1" applyBorder="1" applyAlignment="1">
      <alignment horizontal="right" wrapText="1"/>
    </xf>
    <xf numFmtId="165" fontId="3" fillId="0" borderId="3" xfId="0" applyNumberFormat="1" applyFont="1" applyBorder="1" applyAlignment="1">
      <alignment horizontal="right" wrapText="1"/>
    </xf>
    <xf numFmtId="0" fontId="4" fillId="0" borderId="0" xfId="0" applyFont="1" applyAlignment="1">
      <alignment horizontal="center"/>
    </xf>
    <xf numFmtId="4" fontId="0" fillId="0" borderId="0" xfId="0" applyNumberFormat="1"/>
    <xf numFmtId="166" fontId="0" fillId="0" borderId="0" xfId="0" applyNumberFormat="1"/>
    <xf numFmtId="44" fontId="0" fillId="0" borderId="0" xfId="0" applyNumberFormat="1"/>
    <xf numFmtId="164" fontId="4" fillId="2" borderId="0" xfId="0" applyNumberFormat="1" applyFont="1" applyFill="1" applyAlignment="1">
      <alignment horizontal="right" wrapText="1"/>
    </xf>
    <xf numFmtId="0" fontId="1" fillId="0" borderId="0" xfId="1"/>
    <xf numFmtId="0" fontId="7" fillId="0" borderId="4" xfId="1" applyFont="1" applyBorder="1" applyAlignment="1">
      <alignment horizontal="left"/>
    </xf>
    <xf numFmtId="37" fontId="0" fillId="0" borderId="5" xfId="2" applyNumberFormat="1" applyFont="1" applyFill="1" applyBorder="1" applyAlignment="1">
      <alignment horizontal="center"/>
    </xf>
    <xf numFmtId="37" fontId="7" fillId="0" borderId="6" xfId="2" applyNumberFormat="1" applyFont="1" applyFill="1" applyBorder="1" applyAlignment="1">
      <alignment horizontal="center"/>
    </xf>
    <xf numFmtId="0" fontId="1" fillId="0" borderId="0" xfId="1" applyAlignment="1">
      <alignment horizontal="center"/>
    </xf>
    <xf numFmtId="49" fontId="10" fillId="0" borderId="0" xfId="3" applyNumberFormat="1" applyFont="1" applyAlignment="1">
      <alignment horizontal="center"/>
    </xf>
    <xf numFmtId="43" fontId="7" fillId="0" borderId="0" xfId="4" applyFont="1" applyFill="1" applyAlignment="1">
      <alignment horizontal="center"/>
    </xf>
    <xf numFmtId="43" fontId="10" fillId="0" borderId="0" xfId="2" applyFont="1" applyFill="1" applyAlignment="1">
      <alignment horizontal="center"/>
    </xf>
    <xf numFmtId="167" fontId="7" fillId="0" borderId="0" xfId="2" applyNumberFormat="1" applyFont="1" applyFill="1" applyAlignment="1">
      <alignment horizontal="center"/>
    </xf>
    <xf numFmtId="0" fontId="7" fillId="0" borderId="0" xfId="1" applyFont="1"/>
    <xf numFmtId="0" fontId="1" fillId="0" borderId="0" xfId="1" applyAlignment="1">
      <alignment horizontal="left" indent="1"/>
    </xf>
    <xf numFmtId="167" fontId="0" fillId="0" borderId="0" xfId="2" applyNumberFormat="1" applyFont="1" applyFill="1"/>
    <xf numFmtId="167" fontId="1" fillId="0" borderId="0" xfId="1" applyNumberFormat="1"/>
    <xf numFmtId="43" fontId="1" fillId="0" borderId="0" xfId="1" applyNumberFormat="1"/>
    <xf numFmtId="167" fontId="1" fillId="0" borderId="1" xfId="1" applyNumberFormat="1" applyBorder="1"/>
    <xf numFmtId="167" fontId="0" fillId="0" borderId="3" xfId="2" applyNumberFormat="1" applyFont="1" applyFill="1" applyBorder="1"/>
    <xf numFmtId="0" fontId="7" fillId="0" borderId="0" xfId="1" applyFont="1" applyAlignment="1">
      <alignment horizontal="left" indent="2"/>
    </xf>
    <xf numFmtId="167" fontId="7" fillId="0" borderId="0" xfId="1" applyNumberFormat="1" applyFont="1"/>
    <xf numFmtId="0" fontId="11" fillId="2" borderId="0" xfId="1" applyFont="1" applyFill="1" applyAlignment="1">
      <alignment horizontal="right" indent="1"/>
    </xf>
    <xf numFmtId="168" fontId="11" fillId="2" borderId="0" xfId="5" applyNumberFormat="1" applyFont="1" applyFill="1"/>
    <xf numFmtId="0" fontId="11" fillId="0" borderId="0" xfId="1" applyFont="1"/>
    <xf numFmtId="0" fontId="7" fillId="0" borderId="0" xfId="1" applyFont="1" applyAlignment="1">
      <alignment horizontal="left"/>
    </xf>
    <xf numFmtId="167" fontId="1" fillId="0" borderId="3" xfId="1" applyNumberFormat="1" applyBorder="1"/>
    <xf numFmtId="167" fontId="7" fillId="0" borderId="1" xfId="1" applyNumberFormat="1" applyFont="1" applyBorder="1"/>
    <xf numFmtId="0" fontId="11" fillId="0" borderId="0" xfId="1" applyFont="1" applyAlignment="1">
      <alignment horizontal="right" indent="1"/>
    </xf>
    <xf numFmtId="168" fontId="11" fillId="0" borderId="0" xfId="5" applyNumberFormat="1" applyFont="1" applyFill="1"/>
    <xf numFmtId="43" fontId="11" fillId="0" borderId="0" xfId="1" applyNumberFormat="1" applyFont="1"/>
    <xf numFmtId="167" fontId="7" fillId="0" borderId="7" xfId="1" applyNumberFormat="1" applyFont="1" applyBorder="1"/>
    <xf numFmtId="0" fontId="3" fillId="2" borderId="0" xfId="0" applyFont="1" applyFill="1" applyAlignment="1">
      <alignment horizontal="left" wrapText="1"/>
    </xf>
    <xf numFmtId="164" fontId="4" fillId="2" borderId="0" xfId="0" applyNumberFormat="1" applyFont="1" applyFill="1" applyAlignment="1">
      <alignment wrapText="1"/>
    </xf>
    <xf numFmtId="0" fontId="7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6">
    <cellStyle name="Comma 2" xfId="2" xr:uid="{D502CF64-53B4-40C9-A03F-46FED0134516}"/>
    <cellStyle name="Comma 2 2" xfId="4" xr:uid="{41F0A993-E384-424C-8EF7-BE7F42BB5CA5}"/>
    <cellStyle name="Currency 2" xfId="5" xr:uid="{A64A842C-7492-43B8-9C18-A3420C7A52B0}"/>
    <cellStyle name="Normal" xfId="0" builtinId="0"/>
    <cellStyle name="Normal 2" xfId="1" xr:uid="{A9CB3571-1086-404E-ACF4-FDBB41B16594}"/>
    <cellStyle name="Normal 2 2" xfId="3" xr:uid="{87E850BE-961A-4618-B3B1-D07F2901CC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FV+Genesis_April%20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pringfertility.sharepoint.com/sites/financemanagement/Shared%20Documents/General/Finance/Monthly%20Profit%20and%20Loss%20Statements/03%20-%20March%202022%20P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V"/>
      <sheetName val="Genesis"/>
    </sheetNames>
    <sheetDataSet>
      <sheetData sheetId="0">
        <row r="9">
          <cell r="D9">
            <v>62012.34</v>
          </cell>
        </row>
        <row r="29">
          <cell r="D29">
            <v>18479.04</v>
          </cell>
        </row>
        <row r="35">
          <cell r="C35">
            <v>4787.87</v>
          </cell>
        </row>
        <row r="70">
          <cell r="D70">
            <v>10999.57</v>
          </cell>
        </row>
        <row r="71">
          <cell r="D71">
            <v>1297.55</v>
          </cell>
        </row>
        <row r="76">
          <cell r="D76">
            <v>-271693.59999999998</v>
          </cell>
          <cell r="E76">
            <v>-43859.949999999953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- SF MGMT"/>
      <sheetName val="P&amp;L - Consolidated"/>
      <sheetName val="BOD Slide"/>
      <sheetName val="Loc - HQ"/>
      <sheetName val="Sheet3"/>
      <sheetName val="EXP-ALL"/>
      <sheetName val="Loc - SF_Soma_RWC"/>
      <sheetName val="Loc - Oak_Dan"/>
      <sheetName val="Loc - SV"/>
      <sheetName val="Loc - NYC"/>
      <sheetName val="P&amp;L _Nest"/>
      <sheetName val="Genesis (Not Cons)"/>
      <sheetName val="Medication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C19">
            <v>4967.03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77B4B-D72B-462F-B192-580E052BC90E}">
  <sheetPr>
    <pageSetUpPr fitToPage="1"/>
  </sheetPr>
  <dimension ref="A1:Q46"/>
  <sheetViews>
    <sheetView view="pageBreakPreview" topLeftCell="A13" zoomScaleNormal="70" zoomScaleSheetLayoutView="100" workbookViewId="0">
      <selection activeCell="B28" sqref="B28:E35"/>
    </sheetView>
  </sheetViews>
  <sheetFormatPr defaultColWidth="9.21875" defaultRowHeight="14.4" x14ac:dyDescent="0.3"/>
  <cols>
    <col min="1" max="1" width="30.21875" style="13" bestFit="1" customWidth="1"/>
    <col min="2" max="2" width="13.21875" style="13" bestFit="1" customWidth="1"/>
    <col min="3" max="3" width="12" style="13" bestFit="1" customWidth="1"/>
    <col min="4" max="5" width="12.44140625" style="13" bestFit="1" customWidth="1"/>
    <col min="6" max="11" width="12" style="13" bestFit="1" customWidth="1"/>
    <col min="12" max="12" width="11.77734375" style="13" bestFit="1" customWidth="1"/>
    <col min="13" max="13" width="11.21875" style="13" bestFit="1" customWidth="1"/>
    <col min="14" max="14" width="15.44140625" style="13" customWidth="1"/>
    <col min="15" max="15" width="13" style="13" customWidth="1"/>
    <col min="16" max="16" width="12.21875" style="13" customWidth="1"/>
    <col min="17" max="16384" width="9.21875" style="13"/>
  </cols>
  <sheetData>
    <row r="1" spans="1:17" x14ac:dyDescent="0.3">
      <c r="A1" s="43" t="s">
        <v>184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</row>
    <row r="2" spans="1:17" x14ac:dyDescent="0.3">
      <c r="A2" s="43" t="s">
        <v>185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</row>
    <row r="3" spans="1:17" ht="15" thickBot="1" x14ac:dyDescent="0.3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7" ht="15" thickBot="1" x14ac:dyDescent="0.35">
      <c r="A4" s="14" t="s">
        <v>186</v>
      </c>
      <c r="B4" s="15">
        <v>15</v>
      </c>
      <c r="C4" s="15">
        <v>25</v>
      </c>
      <c r="D4" s="15">
        <v>20</v>
      </c>
      <c r="E4" s="15">
        <v>20</v>
      </c>
      <c r="F4" s="15">
        <v>25</v>
      </c>
      <c r="G4" s="15"/>
      <c r="H4" s="15"/>
      <c r="I4" s="15"/>
      <c r="J4" s="15"/>
      <c r="K4" s="15"/>
      <c r="L4" s="15"/>
      <c r="M4" s="15"/>
      <c r="N4" s="16">
        <f>SUM(B4:M4)</f>
        <v>105</v>
      </c>
    </row>
    <row r="5" spans="1:17" x14ac:dyDescent="0.3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7" x14ac:dyDescent="0.3">
      <c r="B6" s="18" t="s">
        <v>187</v>
      </c>
      <c r="C6" s="18" t="s">
        <v>188</v>
      </c>
      <c r="D6" s="18" t="s">
        <v>189</v>
      </c>
      <c r="E6" s="18" t="s">
        <v>190</v>
      </c>
      <c r="F6" s="18" t="s">
        <v>191</v>
      </c>
      <c r="G6" s="18" t="s">
        <v>192</v>
      </c>
      <c r="H6" s="18" t="s">
        <v>193</v>
      </c>
      <c r="I6" s="18" t="s">
        <v>194</v>
      </c>
      <c r="J6" s="19" t="s">
        <v>195</v>
      </c>
      <c r="K6" s="20" t="s">
        <v>196</v>
      </c>
      <c r="L6" s="20" t="s">
        <v>197</v>
      </c>
      <c r="M6" s="21" t="s">
        <v>198</v>
      </c>
      <c r="N6" s="21" t="s">
        <v>199</v>
      </c>
    </row>
    <row r="7" spans="1:17" x14ac:dyDescent="0.3">
      <c r="A7" s="22" t="s">
        <v>200</v>
      </c>
    </row>
    <row r="8" spans="1:17" x14ac:dyDescent="0.3">
      <c r="A8" s="23" t="s">
        <v>177</v>
      </c>
      <c r="B8" s="24">
        <f>SUMIF(Genesis!$G$7:$G$94,'Genesis (Not Cons)'!A8,Genesis!$B$7:$B$94)+SUMIF(SFV!$G$7:$G$76,'Genesis (Not Cons)'!A8,SFV!$B$7:$B$76)</f>
        <v>208685</v>
      </c>
      <c r="C8" s="24">
        <f>SUMIF(Genesis!$G$7:$G$94,'Genesis (Not Cons)'!A8,Genesis!$C$7:$C$94)+SUMIF(SFV!$G$7:$G$76,'Genesis (Not Cons)'!A8,SFV!$C$7:$C$76)</f>
        <v>325736.5</v>
      </c>
      <c r="D8" s="24">
        <f>SUMIF(Genesis!$G$7:$G$94,'Genesis (Not Cons)'!A8,Genesis!$D$7:$D$94)+SUMIF(SFV!$G$7:$G$76,'Genesis (Not Cons)'!A8,SFV!$D$7:$D$76)</f>
        <v>290211.5</v>
      </c>
      <c r="E8" s="24">
        <f>SUMIF(Genesis!$G$7:$G$93,'Genesis (Not Cons)'!A8,Genesis!$H$7:$H$93)+SUMIF(SFV!$G$9:$G$76,'Genesis (Not Cons)'!A8,SFV!$I$9:$I$76)</f>
        <v>288822.5</v>
      </c>
      <c r="F8" s="24"/>
      <c r="G8" s="24"/>
      <c r="H8" s="24"/>
      <c r="I8" s="24"/>
      <c r="J8" s="24"/>
      <c r="K8" s="24"/>
      <c r="L8" s="24"/>
      <c r="M8" s="24"/>
      <c r="N8" s="25">
        <f t="shared" ref="N8:N12" si="0">SUM(B8:M8)</f>
        <v>1113455.5</v>
      </c>
      <c r="O8" s="25"/>
      <c r="P8" s="25"/>
      <c r="Q8" s="25"/>
    </row>
    <row r="9" spans="1:17" x14ac:dyDescent="0.3">
      <c r="A9" s="23" t="s">
        <v>201</v>
      </c>
      <c r="B9" s="24">
        <f>SUMIF(Genesis!$G$7:$G$94,'Genesis (Not Cons)'!A9,Genesis!$B$7:$B$94)+SUMIF(SFV!$G$7:$G$76,'Genesis (Not Cons)'!A9,SFV!$B$7:$B$76)</f>
        <v>8173.44</v>
      </c>
      <c r="C9" s="24">
        <f>SUMIF(Genesis!$G$7:$G$94,'Genesis (Not Cons)'!A9,Genesis!$C$7:$C$94)+SUMIF(SFV!$G$7:$G$76,'Genesis (Not Cons)'!A9,SFV!$C$7:$C$76)</f>
        <v>10752.29</v>
      </c>
      <c r="D9" s="24">
        <f>SUMIF(Genesis!$G$7:$G$94,'Genesis (Not Cons)'!A9,Genesis!$D$7:$D$94)+SUMIF(SFV!$G$7:$G$76,'Genesis (Not Cons)'!A9,SFV!$D$7:$D$76)</f>
        <v>12390.96</v>
      </c>
      <c r="E9" s="24">
        <f>SUMIF(Genesis!$G$7:$G$93,'Genesis (Not Cons)'!A9,Genesis!$H$7:$H$93)+SUMIF(SFV!$G$9:$G$76,'Genesis (Not Cons)'!A9,SFV!$I$9:$I$76)</f>
        <v>10713.76</v>
      </c>
      <c r="F9" s="24"/>
      <c r="G9" s="24"/>
      <c r="H9" s="24"/>
      <c r="I9" s="24"/>
      <c r="J9" s="24"/>
      <c r="K9" s="24"/>
      <c r="L9" s="24"/>
      <c r="M9" s="24"/>
      <c r="N9" s="25">
        <f t="shared" si="0"/>
        <v>42030.45</v>
      </c>
      <c r="O9" s="25"/>
      <c r="P9" s="25"/>
      <c r="Q9" s="25"/>
    </row>
    <row r="10" spans="1:17" x14ac:dyDescent="0.3">
      <c r="A10" s="23" t="s">
        <v>178</v>
      </c>
      <c r="B10" s="24">
        <f>SUMIF(Genesis!$G$7:$G$94,'Genesis (Not Cons)'!A10,Genesis!$B$7:$B$94)+SUMIF(SFV!$G$7:$G$76,'Genesis (Not Cons)'!A10,SFV!$B$7:$B$76)</f>
        <v>25466.660000000003</v>
      </c>
      <c r="C10" s="24">
        <f>SUMIF(Genesis!$G$7:$G$94,'Genesis (Not Cons)'!A10,Genesis!$C$7:$C$94)+SUMIF(SFV!$G$7:$G$76,'Genesis (Not Cons)'!A10,SFV!$C$7:$C$76)</f>
        <v>24421.21</v>
      </c>
      <c r="D10" s="24">
        <f>SUMIF(Genesis!$G$7:$G$94,'Genesis (Not Cons)'!A10,Genesis!$D$7:$D$94)+SUMIF(SFV!$G$7:$G$76,'Genesis (Not Cons)'!A10,SFV!$D$7:$D$76)</f>
        <v>24701.21</v>
      </c>
      <c r="E10" s="24">
        <f>SUMIF(Genesis!$G$7:$G$93,'Genesis (Not Cons)'!A10,Genesis!$H$7:$H$93)+SUMIF(SFV!$G$9:$G$76,'Genesis (Not Cons)'!A10,SFV!$I$9:$I$76)</f>
        <v>24428.99</v>
      </c>
      <c r="F10" s="24"/>
      <c r="G10" s="24"/>
      <c r="H10" s="24"/>
      <c r="I10" s="24"/>
      <c r="J10" s="24"/>
      <c r="K10" s="24"/>
      <c r="L10" s="24"/>
      <c r="M10" s="24"/>
      <c r="N10" s="25">
        <f t="shared" si="0"/>
        <v>99018.07</v>
      </c>
      <c r="O10" s="26"/>
      <c r="P10" s="26"/>
      <c r="Q10" s="26"/>
    </row>
    <row r="11" spans="1:17" x14ac:dyDescent="0.3">
      <c r="A11" s="23" t="s">
        <v>202</v>
      </c>
      <c r="B11" s="24">
        <f>SUMIF(Genesis!$G$7:$G$94,'Genesis (Not Cons)'!A11,Genesis!$B$7:$B$94)+SUMIF(SFV!$G$7:$G$76,'Genesis (Not Cons)'!A11,SFV!$B$7:$B$76)</f>
        <v>82097</v>
      </c>
      <c r="C11" s="24">
        <f>SUMIF(Genesis!$G$7:$G$94,'Genesis (Not Cons)'!A11,Genesis!$C$7:$C$94)+SUMIF(SFV!$G$7:$G$76,'Genesis (Not Cons)'!A11,SFV!$C$7:$C$76)</f>
        <v>100398</v>
      </c>
      <c r="D11" s="24">
        <f>SUMIF(Genesis!$G$7:$G$94,'Genesis (Not Cons)'!A11,Genesis!$D$7:$D$94)+SUMIF(SFV!$G$7:$G$76,'Genesis (Not Cons)'!A11,SFV!$D$7:$D$76)</f>
        <v>76971</v>
      </c>
      <c r="E11" s="24">
        <f>SUMIF(Genesis!$G$7:$G$93,'Genesis (Not Cons)'!A11,Genesis!$H$7:$H$93)+SUMIF(SFV!$G$9:$G$76,'Genesis (Not Cons)'!A11,SFV!$I$9:$I$76)</f>
        <v>158295</v>
      </c>
      <c r="F11" s="24"/>
      <c r="G11" s="24"/>
      <c r="H11" s="24"/>
      <c r="I11" s="24"/>
      <c r="J11" s="24"/>
      <c r="K11" s="24"/>
      <c r="L11" s="24"/>
      <c r="M11" s="24"/>
      <c r="N11" s="25">
        <f t="shared" si="0"/>
        <v>417761</v>
      </c>
    </row>
    <row r="12" spans="1:17" x14ac:dyDescent="0.3">
      <c r="A12" s="23" t="s">
        <v>203</v>
      </c>
      <c r="B12" s="24">
        <f>SUMIF(Genesis!$G$7:$G$94,'Genesis (Not Cons)'!A12,Genesis!$B$7:$B$94)+SUMIF(SFV!$G$7:$G$76,'Genesis (Not Cons)'!A12,SFV!$B$7:$B$76)</f>
        <v>10776.960000000001</v>
      </c>
      <c r="C12" s="24">
        <f>SUMIF(Genesis!$G$7:$G$94,'Genesis (Not Cons)'!A12,Genesis!$C$7:$C$94)+SUMIF(SFV!$G$7:$G$76,'Genesis (Not Cons)'!A12,SFV!$C$7:$C$76)</f>
        <v>36386.53</v>
      </c>
      <c r="D12" s="24">
        <f>SUMIF(Genesis!$G$7:$G$94,'Genesis (Not Cons)'!A12,Genesis!$D$7:$D$94)+SUMIF(SFV!$G$7:$G$76,'Genesis (Not Cons)'!A12,SFV!$D$7:$D$76)</f>
        <v>17227.810000000001</v>
      </c>
      <c r="E12" s="24">
        <f>SUMIF(Genesis!$G$7:$G$93,'Genesis (Not Cons)'!A12,Genesis!$H$7:$H$93)+SUMIF(SFV!$G$9:$G$76,'Genesis (Not Cons)'!A12,SFV!$I$9:$I$76)</f>
        <v>11115.460000000001</v>
      </c>
      <c r="F12" s="24"/>
      <c r="G12" s="24"/>
      <c r="H12" s="24"/>
      <c r="I12" s="24"/>
      <c r="J12" s="24"/>
      <c r="K12" s="24"/>
      <c r="L12" s="24"/>
      <c r="M12" s="24"/>
      <c r="N12" s="27">
        <f t="shared" si="0"/>
        <v>75506.760000000009</v>
      </c>
    </row>
    <row r="13" spans="1:17" ht="5.25" customHeight="1" x14ac:dyDescent="0.3">
      <c r="A13" s="23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5"/>
    </row>
    <row r="14" spans="1:17" x14ac:dyDescent="0.3">
      <c r="A14" s="29" t="s">
        <v>204</v>
      </c>
      <c r="B14" s="30">
        <f t="shared" ref="B14:M14" si="1">+SUM(B8:B12)</f>
        <v>335199.06</v>
      </c>
      <c r="C14" s="30">
        <f t="shared" si="1"/>
        <v>497694.53</v>
      </c>
      <c r="D14" s="30">
        <f t="shared" si="1"/>
        <v>421502.48000000004</v>
      </c>
      <c r="E14" s="30">
        <f t="shared" si="1"/>
        <v>493375.71</v>
      </c>
      <c r="F14" s="30">
        <f t="shared" si="1"/>
        <v>0</v>
      </c>
      <c r="G14" s="30">
        <f t="shared" si="1"/>
        <v>0</v>
      </c>
      <c r="H14" s="30">
        <f t="shared" si="1"/>
        <v>0</v>
      </c>
      <c r="I14" s="30">
        <f t="shared" si="1"/>
        <v>0</v>
      </c>
      <c r="J14" s="30">
        <f t="shared" si="1"/>
        <v>0</v>
      </c>
      <c r="K14" s="30">
        <f t="shared" si="1"/>
        <v>0</v>
      </c>
      <c r="L14" s="30">
        <f t="shared" si="1"/>
        <v>0</v>
      </c>
      <c r="M14" s="30">
        <f t="shared" si="1"/>
        <v>0</v>
      </c>
      <c r="N14" s="30">
        <f>SUM(B14:M14)</f>
        <v>1747771.78</v>
      </c>
    </row>
    <row r="15" spans="1:17" s="33" customFormat="1" x14ac:dyDescent="0.3">
      <c r="A15" s="31" t="s">
        <v>205</v>
      </c>
      <c r="B15" s="32">
        <f>+(B14-B10)/B4</f>
        <v>20648.826666666668</v>
      </c>
      <c r="C15" s="32">
        <f>+(C14-C10)/C4</f>
        <v>18930.932799999999</v>
      </c>
      <c r="D15" s="32">
        <f>+(D14-D10)/D4</f>
        <v>19840.0635</v>
      </c>
      <c r="E15" s="32"/>
      <c r="F15" s="32"/>
      <c r="G15" s="32"/>
      <c r="H15" s="32"/>
      <c r="I15" s="32"/>
      <c r="J15" s="32"/>
      <c r="K15" s="32"/>
      <c r="L15" s="32"/>
      <c r="M15" s="32"/>
      <c r="N15" s="32"/>
    </row>
    <row r="16" spans="1:17" x14ac:dyDescent="0.3">
      <c r="A16" s="34" t="s">
        <v>206</v>
      </c>
    </row>
    <row r="17" spans="1:16" x14ac:dyDescent="0.3">
      <c r="A17" s="23" t="s">
        <v>207</v>
      </c>
      <c r="B17" s="24">
        <f>SUMIF(Genesis!$G$7:$G$94,'Genesis (Not Cons)'!A17,Genesis!$B$7:$B$94)+SUMIF(SFV!$G$7:$G$76,'Genesis (Not Cons)'!A17,SFV!$B$7:$B$76)</f>
        <v>167150.69</v>
      </c>
      <c r="C17" s="24">
        <f>SUMIF(Genesis!$G$7:$G$94,'Genesis (Not Cons)'!A17,Genesis!$C$7:$C$94)+SUMIF(SFV!$G$7:$G$76,'Genesis (Not Cons)'!A17,SFV!$C$7:$C$76)</f>
        <v>170468.59</v>
      </c>
      <c r="D17" s="24">
        <f>SUMIF(Genesis!$G$7:$G$94,'Genesis (Not Cons)'!A17,Genesis!$D$7:$D$94)+SUMIF(SFV!$G$7:$G$76,'Genesis (Not Cons)'!A17,SFV!$D$7:$D$76)</f>
        <v>182189.49</v>
      </c>
      <c r="E17" s="24">
        <f>SUMIF(Genesis!$G$7:$G$93,'Genesis (Not Cons)'!A17,Genesis!$H$7:$H$93)+SUMIF(SFV!$G$9:$G$76,'Genesis (Not Cons)'!A17,SFV!$I$9:$I$76)</f>
        <v>168953.32</v>
      </c>
      <c r="F17" s="24"/>
      <c r="G17" s="24"/>
      <c r="H17" s="24"/>
      <c r="I17" s="24"/>
      <c r="J17" s="24"/>
      <c r="K17" s="24"/>
      <c r="L17" s="24"/>
      <c r="M17" s="24"/>
      <c r="N17" s="25">
        <f t="shared" ref="N17:N20" si="2">SUM(B17:M17)</f>
        <v>688762.09000000008</v>
      </c>
    </row>
    <row r="18" spans="1:16" x14ac:dyDescent="0.3">
      <c r="A18" s="23" t="s">
        <v>166</v>
      </c>
      <c r="B18" s="24">
        <f>SUMIF(Genesis!$G$7:$G$94,'Genesis (Not Cons)'!A18,Genesis!$B$7:$B$94)+SUMIF(SFV!$G$7:$G$76,'Genesis (Not Cons)'!A18,SFV!$B$7:$B$76)</f>
        <v>81571.59</v>
      </c>
      <c r="C18" s="24">
        <f>SUMIF(Genesis!$G$7:$G$94,'Genesis (Not Cons)'!A18,Genesis!$C$7:$C$94)+SUMIF(SFV!$G$7:$G$76,'Genesis (Not Cons)'!A18,SFV!$C$7:$C$76)</f>
        <v>115548.12000000001</v>
      </c>
      <c r="D18" s="24">
        <f>SUMIF(Genesis!$G$7:$G$94,'Genesis (Not Cons)'!A18,Genesis!$D$7:$D$94)+SUMIF(SFV!$G$7:$G$76,'Genesis (Not Cons)'!A18,SFV!$D$7:$D$76)</f>
        <v>117847.13</v>
      </c>
      <c r="E18" s="24">
        <f>SUMIF(Genesis!$G$7:$G$93,'Genesis (Not Cons)'!A18,Genesis!$H$7:$H$93)+SUMIF(SFV!$G$9:$G$76,'Genesis (Not Cons)'!A18,SFV!$I$9:$I$76)</f>
        <v>124463.89</v>
      </c>
      <c r="F18" s="24"/>
      <c r="G18" s="24"/>
      <c r="H18" s="24"/>
      <c r="I18" s="24"/>
      <c r="J18" s="24"/>
      <c r="K18" s="24"/>
      <c r="L18" s="24"/>
      <c r="M18" s="24"/>
      <c r="N18" s="25">
        <f t="shared" si="2"/>
        <v>439430.73000000004</v>
      </c>
    </row>
    <row r="19" spans="1:16" x14ac:dyDescent="0.3">
      <c r="A19" s="23" t="s">
        <v>208</v>
      </c>
      <c r="B19" s="24">
        <f>SUMIF(Genesis!$G$7:$G$94,'Genesis (Not Cons)'!A19,Genesis!$B$7:$B$94)+SUMIF(SFV!$G$7:$G$76,'Genesis (Not Cons)'!A19,SFV!$B$7:$B$76)</f>
        <v>5895.81</v>
      </c>
      <c r="C19" s="24">
        <f>SUMIF(Genesis!$G$7:$G$94,'Genesis (Not Cons)'!A19,Genesis!$C$7:$C$94)+SUMIF(SFV!$G$7:$G$76,'Genesis (Not Cons)'!A19,SFV!$C$7:$C$76)</f>
        <v>4830.8599999999997</v>
      </c>
      <c r="D19" s="24">
        <f>SUMIF(Genesis!$G$7:$G$94,'Genesis (Not Cons)'!A19,Genesis!$D$7:$D$94)+SUMIF(SFV!$G$7:$G$76,'Genesis (Not Cons)'!A19,SFV!$D$7:$D$76)</f>
        <v>5862.02</v>
      </c>
      <c r="E19" s="24">
        <f>SUMIF(Genesis!$G$7:$G$93,'Genesis (Not Cons)'!A19,Genesis!$H$7:$H$93)+SUMIF(SFV!$G$9:$G$76,'Genesis (Not Cons)'!A19,SFV!$I$9:$I$76)</f>
        <v>2702.45</v>
      </c>
      <c r="F19" s="24"/>
      <c r="G19" s="24"/>
      <c r="H19" s="24"/>
      <c r="I19" s="24"/>
      <c r="J19" s="24"/>
      <c r="K19" s="24"/>
      <c r="L19" s="24"/>
      <c r="M19" s="24"/>
      <c r="N19" s="25">
        <f t="shared" si="2"/>
        <v>19291.140000000003</v>
      </c>
    </row>
    <row r="20" spans="1:16" x14ac:dyDescent="0.3">
      <c r="A20" s="23" t="s">
        <v>167</v>
      </c>
      <c r="B20" s="24">
        <f>SUMIF(Genesis!$G$7:$G$94,'Genesis (Not Cons)'!A20,Genesis!$B$7:$B$94)+SUMIF(SFV!$G$7:$G$76,'Genesis (Not Cons)'!A20,SFV!$B$7:$B$76)</f>
        <v>411.25</v>
      </c>
      <c r="C20" s="24">
        <f>SUMIF(Genesis!$G$7:$G$94,'Genesis (Not Cons)'!A20,Genesis!$C$7:$C$94)+SUMIF(SFV!$G$7:$G$76,'Genesis (Not Cons)'!A20,SFV!$C$7:$C$76)</f>
        <v>11028</v>
      </c>
      <c r="D20" s="24">
        <f>SUMIF(Genesis!$G$7:$G$94,'Genesis (Not Cons)'!A20,Genesis!$D$7:$D$94)+SUMIF(SFV!$G$7:$G$76,'Genesis (Not Cons)'!A20,SFV!$D$7:$D$76)</f>
        <v>-7283.5</v>
      </c>
      <c r="E20" s="24">
        <f>SUMIF(Genesis!$G$7:$G$93,'Genesis (Not Cons)'!A20,Genesis!$H$7:$H$93)+SUMIF(SFV!$G$9:$G$76,'Genesis (Not Cons)'!A20,SFV!$I$9:$I$76)</f>
        <v>1101.7</v>
      </c>
      <c r="F20" s="24"/>
      <c r="G20" s="24"/>
      <c r="H20" s="24"/>
      <c r="I20" s="24"/>
      <c r="J20" s="24"/>
      <c r="K20" s="24"/>
      <c r="L20" s="24"/>
      <c r="M20" s="24"/>
      <c r="N20" s="27">
        <f t="shared" si="2"/>
        <v>5257.45</v>
      </c>
    </row>
    <row r="21" spans="1:16" ht="5.25" customHeight="1" x14ac:dyDescent="0.3">
      <c r="A21" s="23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35"/>
    </row>
    <row r="22" spans="1:16" x14ac:dyDescent="0.3">
      <c r="A22" s="29" t="s">
        <v>209</v>
      </c>
      <c r="B22" s="36">
        <f>SUM(B17:B20)</f>
        <v>255029.34</v>
      </c>
      <c r="C22" s="36">
        <f t="shared" ref="C22:M22" si="3">SUM(C17:C20)</f>
        <v>301875.57</v>
      </c>
      <c r="D22" s="36">
        <f t="shared" si="3"/>
        <v>298615.14</v>
      </c>
      <c r="E22" s="36">
        <f t="shared" si="3"/>
        <v>297221.36000000004</v>
      </c>
      <c r="F22" s="36">
        <f t="shared" si="3"/>
        <v>0</v>
      </c>
      <c r="G22" s="36">
        <f t="shared" si="3"/>
        <v>0</v>
      </c>
      <c r="H22" s="36">
        <f t="shared" si="3"/>
        <v>0</v>
      </c>
      <c r="I22" s="36">
        <f t="shared" si="3"/>
        <v>0</v>
      </c>
      <c r="J22" s="36">
        <f t="shared" si="3"/>
        <v>0</v>
      </c>
      <c r="K22" s="36">
        <f t="shared" si="3"/>
        <v>0</v>
      </c>
      <c r="L22" s="36">
        <f t="shared" si="3"/>
        <v>0</v>
      </c>
      <c r="M22" s="36">
        <f t="shared" si="3"/>
        <v>0</v>
      </c>
      <c r="N22" s="36">
        <f>SUM(B22:M22)</f>
        <v>1152741.4100000001</v>
      </c>
      <c r="O22" s="25"/>
    </row>
    <row r="23" spans="1:16" s="33" customFormat="1" x14ac:dyDescent="0.3">
      <c r="A23" s="37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9"/>
    </row>
    <row r="24" spans="1:16" x14ac:dyDescent="0.3">
      <c r="A24" s="34" t="s">
        <v>210</v>
      </c>
      <c r="B24" s="30">
        <f>B14-B22</f>
        <v>80169.72</v>
      </c>
      <c r="C24" s="30">
        <f t="shared" ref="C24:M24" si="4">C14-C22</f>
        <v>195818.96000000002</v>
      </c>
      <c r="D24" s="30">
        <f t="shared" si="4"/>
        <v>122887.34000000003</v>
      </c>
      <c r="E24" s="30">
        <f t="shared" si="4"/>
        <v>196154.34999999998</v>
      </c>
      <c r="F24" s="30">
        <f t="shared" si="4"/>
        <v>0</v>
      </c>
      <c r="G24" s="30">
        <f t="shared" si="4"/>
        <v>0</v>
      </c>
      <c r="H24" s="30">
        <f t="shared" si="4"/>
        <v>0</v>
      </c>
      <c r="I24" s="30">
        <f t="shared" si="4"/>
        <v>0</v>
      </c>
      <c r="J24" s="30">
        <f t="shared" si="4"/>
        <v>0</v>
      </c>
      <c r="K24" s="30">
        <f t="shared" si="4"/>
        <v>0</v>
      </c>
      <c r="L24" s="30">
        <f t="shared" si="4"/>
        <v>0</v>
      </c>
      <c r="M24" s="30">
        <f t="shared" si="4"/>
        <v>0</v>
      </c>
      <c r="N24" s="30">
        <f>SUM(B24:M24)</f>
        <v>595030.37000000011</v>
      </c>
      <c r="P24" s="25"/>
    </row>
    <row r="25" spans="1:16" s="33" customFormat="1" x14ac:dyDescent="0.3">
      <c r="A25" s="37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9"/>
    </row>
    <row r="27" spans="1:16" x14ac:dyDescent="0.3">
      <c r="A27" s="22" t="s">
        <v>211</v>
      </c>
    </row>
    <row r="28" spans="1:16" x14ac:dyDescent="0.3">
      <c r="A28" s="23" t="s">
        <v>168</v>
      </c>
      <c r="B28" s="24">
        <f>SUMIF(Genesis!$G$7:$G$94,'Genesis (Not Cons)'!A28,Genesis!$B$7:$B$94)+SUMIF(SFV!$G$7:$G$76,'Genesis (Not Cons)'!A28,SFV!$B$7:$B$76)</f>
        <v>32181.530000000002</v>
      </c>
      <c r="C28" s="24">
        <f>SUMIF(Genesis!$G$7:$G$94,'Genesis (Not Cons)'!A28,Genesis!$C$7:$C$94)+SUMIF(SFV!$G$7:$G$76,'Genesis (Not Cons)'!A28,SFV!$C$7:$C$76)</f>
        <v>29281.510000000002</v>
      </c>
      <c r="D28" s="24">
        <f>SUMIF(Genesis!$G$7:$G$94,'Genesis (Not Cons)'!A28,Genesis!$D$7:$D$94)+SUMIF(SFV!$G$7:$G$76,'Genesis (Not Cons)'!A28,SFV!$D$7:$D$76)</f>
        <v>36079.65</v>
      </c>
      <c r="E28" s="24">
        <f>SUMIF(Genesis!$G$7:$G$93,'Genesis (Not Cons)'!A28,Genesis!$H$7:$H$93)+SUMIF(SFV!$G$9:$G$76,'Genesis (Not Cons)'!A28,SFV!$I$9:$I$76)</f>
        <v>33876.22</v>
      </c>
      <c r="F28" s="24"/>
      <c r="G28" s="24"/>
      <c r="H28" s="24"/>
      <c r="I28" s="24"/>
      <c r="J28" s="24"/>
      <c r="K28" s="24"/>
      <c r="L28" s="24"/>
      <c r="M28" s="24"/>
      <c r="N28" s="25">
        <f>SUM(B28:M28)</f>
        <v>131418.91</v>
      </c>
    </row>
    <row r="29" spans="1:16" x14ac:dyDescent="0.3">
      <c r="A29" s="23" t="s">
        <v>182</v>
      </c>
      <c r="B29" s="24">
        <f>SUMIF(Genesis!$G$7:$G$94,'Genesis (Not Cons)'!A29,Genesis!$B$7:$B$94)+SUMIF(SFV!$G$7:$G$76,'Genesis (Not Cons)'!A29,SFV!$B$7:$B$76)</f>
        <v>488.75</v>
      </c>
      <c r="C29" s="24">
        <f>SUMIF(Genesis!$G$7:$G$94,'Genesis (Not Cons)'!A29,Genesis!$C$7:$C$94)+SUMIF(SFV!$G$7:$G$76,'Genesis (Not Cons)'!A29,SFV!$C$7:$C$76)</f>
        <v>257.69</v>
      </c>
      <c r="D29" s="24">
        <f>SUMIF(Genesis!$G$7:$G$94,'Genesis (Not Cons)'!A29,Genesis!$D$7:$D$94)+SUMIF(SFV!$G$7:$G$76,'Genesis (Not Cons)'!A29,SFV!$D$7:$D$76)</f>
        <v>0</v>
      </c>
      <c r="E29" s="24">
        <f>SUMIF(Genesis!$G$7:$G$93,'Genesis (Not Cons)'!A29,Genesis!$H$7:$H$93)+SUMIF(SFV!$G$9:$G$76,'Genesis (Not Cons)'!A29,SFV!$I$9:$I$76)</f>
        <v>0</v>
      </c>
      <c r="F29" s="24"/>
      <c r="G29" s="24"/>
      <c r="H29" s="24"/>
      <c r="I29" s="24"/>
      <c r="J29" s="24"/>
      <c r="K29" s="24"/>
      <c r="L29" s="24"/>
      <c r="M29" s="24"/>
      <c r="N29" s="25">
        <f t="shared" ref="N29:N35" si="5">SUM(B29:M29)</f>
        <v>746.44</v>
      </c>
    </row>
    <row r="30" spans="1:16" x14ac:dyDescent="0.3">
      <c r="A30" s="23" t="s">
        <v>212</v>
      </c>
      <c r="B30" s="24">
        <f>SUMIF(Genesis!$G$7:$G$94,'Genesis (Not Cons)'!A30,Genesis!$B$7:$B$94)+SUMIF(SFV!$G$7:$G$76,'Genesis (Not Cons)'!A30,SFV!$B$7:$B$76)</f>
        <v>1987.37</v>
      </c>
      <c r="C30" s="24">
        <f>SUMIF(Genesis!$G$7:$G$94,'Genesis (Not Cons)'!A30,Genesis!$C$7:$C$94)+SUMIF(SFV!$G$7:$G$76,'Genesis (Not Cons)'!A30,SFV!$C$7:$C$76)</f>
        <v>0</v>
      </c>
      <c r="D30" s="24">
        <f>SUMIF(Genesis!$G$7:$G$94,'Genesis (Not Cons)'!A30,Genesis!$D$7:$D$94)+SUMIF(SFV!$G$7:$G$76,'Genesis (Not Cons)'!A30,SFV!$D$7:$D$76)</f>
        <v>4266.2299999999996</v>
      </c>
      <c r="E30" s="24">
        <f>SUMIF(Genesis!$G$7:$G$93,'Genesis (Not Cons)'!A30,Genesis!$H$7:$H$93)+SUMIF(SFV!$G$9:$G$76,'Genesis (Not Cons)'!A30,SFV!$I$9:$I$76)</f>
        <v>16101</v>
      </c>
      <c r="F30" s="24"/>
      <c r="G30" s="24"/>
      <c r="H30" s="24"/>
      <c r="I30" s="24"/>
      <c r="J30" s="24"/>
      <c r="K30" s="24"/>
      <c r="L30" s="24"/>
      <c r="M30" s="24"/>
      <c r="N30" s="25">
        <f t="shared" si="5"/>
        <v>22354.6</v>
      </c>
    </row>
    <row r="31" spans="1:16" x14ac:dyDescent="0.3">
      <c r="A31" s="23" t="s">
        <v>171</v>
      </c>
      <c r="B31" s="24">
        <f>SUMIF(Genesis!$G$7:$G$94,'Genesis (Not Cons)'!A31,Genesis!$B$7:$B$94)+SUMIF(SFV!$G$7:$G$76,'Genesis (Not Cons)'!A31,SFV!$B$7:$B$76)</f>
        <v>47690.83</v>
      </c>
      <c r="C31" s="24">
        <f>SUMIF(Genesis!$G$7:$G$94,'Genesis (Not Cons)'!A31,Genesis!$C$7:$C$94)+SUMIF(SFV!$G$7:$G$76,'Genesis (Not Cons)'!A31,SFV!$C$7:$C$76)</f>
        <v>48342.04</v>
      </c>
      <c r="D31" s="24">
        <f>SUMIF(Genesis!$G$7:$G$94,'Genesis (Not Cons)'!A31,Genesis!$D$7:$D$94)+SUMIF(SFV!$G$7:$G$76,'Genesis (Not Cons)'!A31,SFV!$D$7:$D$76)</f>
        <v>48166.27</v>
      </c>
      <c r="E31" s="24">
        <f>SUMIF(Genesis!$G$7:$G$93,'Genesis (Not Cons)'!A31,Genesis!$H$7:$H$93)+SUMIF(SFV!$G$9:$G$76,'Genesis (Not Cons)'!A31,SFV!$I$9:$I$76)</f>
        <v>48166.27</v>
      </c>
      <c r="F31" s="24"/>
      <c r="G31" s="24"/>
      <c r="H31" s="24"/>
      <c r="I31" s="24"/>
      <c r="J31" s="24"/>
      <c r="K31" s="24"/>
      <c r="L31" s="24"/>
      <c r="M31" s="24"/>
      <c r="N31" s="25">
        <f t="shared" si="5"/>
        <v>192365.40999999997</v>
      </c>
    </row>
    <row r="32" spans="1:16" x14ac:dyDescent="0.3">
      <c r="A32" s="23" t="s">
        <v>172</v>
      </c>
      <c r="B32" s="24">
        <f>SUMIF(Genesis!$G$7:$G$94,'Genesis (Not Cons)'!A32,Genesis!$B$7:$B$94)+SUMIF(SFV!$G$7:$G$76,'Genesis (Not Cons)'!A32,SFV!$B$7:$B$76)</f>
        <v>1261.52</v>
      </c>
      <c r="C32" s="24">
        <f>SUMIF(Genesis!$G$7:$G$94,'Genesis (Not Cons)'!A32,Genesis!$C$7:$C$94)+SUMIF(SFV!$G$7:$G$76,'Genesis (Not Cons)'!A32,SFV!$C$7:$C$76)</f>
        <v>7964.6399999999994</v>
      </c>
      <c r="D32" s="24">
        <f>SUMIF(Genesis!$G$7:$G$94,'Genesis (Not Cons)'!A32,Genesis!$D$7:$D$94)+SUMIF(SFV!$G$7:$G$76,'Genesis (Not Cons)'!A32,SFV!$D$7:$D$76)</f>
        <v>24776.640000000003</v>
      </c>
      <c r="E32" s="24">
        <f>SUMIF(Genesis!$G$7:$G$93,'Genesis (Not Cons)'!A32,Genesis!$H$7:$H$93)+SUMIF(SFV!$G$9:$G$76,'Genesis (Not Cons)'!A32,SFV!$I$9:$I$76)</f>
        <v>6750.9400000000005</v>
      </c>
      <c r="F32" s="24"/>
      <c r="G32" s="24"/>
      <c r="H32" s="24"/>
      <c r="I32" s="24"/>
      <c r="J32" s="24"/>
      <c r="K32" s="24"/>
      <c r="L32" s="24"/>
      <c r="M32" s="24"/>
      <c r="N32" s="25">
        <f t="shared" si="5"/>
        <v>40753.740000000005</v>
      </c>
    </row>
    <row r="33" spans="1:15" x14ac:dyDescent="0.3">
      <c r="A33" s="23" t="s">
        <v>173</v>
      </c>
      <c r="B33" s="24">
        <f>SUMIF(Genesis!$G$7:$G$94,'Genesis (Not Cons)'!A33,Genesis!$B$7:$B$94)+SUMIF(SFV!$G$7:$G$76,'Genesis (Not Cons)'!A33,SFV!$B$7:$B$76)</f>
        <v>0</v>
      </c>
      <c r="C33" s="24">
        <f>SUMIF(Genesis!$G$7:$G$94,'Genesis (Not Cons)'!A33,Genesis!$C$7:$C$94)+SUMIF(SFV!$G$7:$G$76,'Genesis (Not Cons)'!A33,SFV!$C$7:$C$76)</f>
        <v>0</v>
      </c>
      <c r="D33" s="24">
        <f>SUMIF(Genesis!$G$7:$G$94,'Genesis (Not Cons)'!A33,Genesis!$D$7:$D$94)+SUMIF(SFV!$G$7:$G$76,'Genesis (Not Cons)'!A33,SFV!$D$7:$D$76)</f>
        <v>2916.31</v>
      </c>
      <c r="E33" s="24">
        <f>SUMIF(Genesis!$G$7:$G$93,'Genesis (Not Cons)'!A33,Genesis!$H$7:$H$93)+SUMIF(SFV!$G$9:$G$76,'Genesis (Not Cons)'!A33,SFV!$I$9:$I$76)</f>
        <v>0</v>
      </c>
      <c r="F33" s="24"/>
      <c r="G33" s="24"/>
      <c r="H33" s="24"/>
      <c r="I33" s="24"/>
      <c r="J33" s="24"/>
      <c r="K33" s="24"/>
      <c r="L33" s="24"/>
      <c r="M33" s="24"/>
      <c r="N33" s="25">
        <f t="shared" si="5"/>
        <v>2916.31</v>
      </c>
    </row>
    <row r="34" spans="1:15" x14ac:dyDescent="0.3">
      <c r="A34" s="23" t="s">
        <v>174</v>
      </c>
      <c r="B34" s="24">
        <f>SUMIF(Genesis!$G$7:$G$94,'Genesis (Not Cons)'!A34,Genesis!$B$7:$B$94)+SUMIF(SFV!$G$7:$G$76,'Genesis (Not Cons)'!A34,SFV!$B$7:$B$76)</f>
        <v>393.63</v>
      </c>
      <c r="C34" s="24">
        <f>SUMIF(Genesis!$G$7:$G$94,'Genesis (Not Cons)'!A34,Genesis!$C$7:$C$94)+SUMIF(SFV!$G$7:$G$76,'Genesis (Not Cons)'!A34,SFV!$C$7:$C$76)</f>
        <v>513.61</v>
      </c>
      <c r="D34" s="24">
        <f>SUMIF(Genesis!$G$7:$G$94,'Genesis (Not Cons)'!A34,Genesis!$D$7:$D$94)+SUMIF(SFV!$G$7:$G$76,'Genesis (Not Cons)'!A34,SFV!$D$7:$D$76)</f>
        <v>1685.97</v>
      </c>
      <c r="E34" s="24">
        <f>SUMIF(Genesis!$G$7:$G$93,'Genesis (Not Cons)'!A34,Genesis!$H$7:$H$93)+SUMIF(SFV!$G$9:$G$76,'Genesis (Not Cons)'!A34,SFV!$I$9:$I$76)</f>
        <v>556.25</v>
      </c>
      <c r="F34" s="24"/>
      <c r="G34" s="24"/>
      <c r="H34" s="24"/>
      <c r="I34" s="24"/>
      <c r="J34" s="24"/>
      <c r="K34" s="24"/>
      <c r="L34" s="24"/>
      <c r="M34" s="24"/>
      <c r="N34" s="25">
        <f t="shared" si="5"/>
        <v>3149.46</v>
      </c>
    </row>
    <row r="35" spans="1:15" x14ac:dyDescent="0.3">
      <c r="A35" s="23" t="s">
        <v>175</v>
      </c>
      <c r="B35" s="24">
        <f>SUMIF(Genesis!$G$7:$G$94,'Genesis (Not Cons)'!A35,Genesis!$B$7:$B$94)+SUMIF(SFV!$G$7:$G$76,'Genesis (Not Cons)'!A35,SFV!$B$7:$B$76)</f>
        <v>35904.61</v>
      </c>
      <c r="C35" s="24">
        <f>SUMIF(Genesis!$G$7:$G$94,'Genesis (Not Cons)'!A35,Genesis!$C$7:$C$94)+SUMIF(SFV!$G$7:$G$76,'Genesis (Not Cons)'!A35,SFV!$C$7:$C$76)</f>
        <v>34907.35</v>
      </c>
      <c r="D35" s="24">
        <f>SUMIF(Genesis!$G$7:$G$94,'Genesis (Not Cons)'!A35,Genesis!$D$7:$D$94)+SUMIF(SFV!$G$7:$G$76,'Genesis (Not Cons)'!A35,SFV!$D$7:$D$76)</f>
        <v>29809.289999999997</v>
      </c>
      <c r="E35" s="24">
        <f>SUMIF(Genesis!$G$7:$G$93,'Genesis (Not Cons)'!A35,Genesis!$H$7:$H$93)+SUMIF(SFV!$G$9:$G$76,'Genesis (Not Cons)'!A35,SFV!$I$9:$I$76)</f>
        <v>21502.92</v>
      </c>
      <c r="F35" s="24"/>
      <c r="G35" s="24"/>
      <c r="H35" s="24"/>
      <c r="I35" s="24"/>
      <c r="J35" s="24"/>
      <c r="K35" s="24"/>
      <c r="L35" s="24"/>
      <c r="M35" s="24"/>
      <c r="N35" s="25">
        <f t="shared" si="5"/>
        <v>122124.16999999998</v>
      </c>
    </row>
    <row r="36" spans="1:15" ht="5.25" customHeight="1" x14ac:dyDescent="0.3">
      <c r="A36" s="23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35"/>
    </row>
    <row r="37" spans="1:15" x14ac:dyDescent="0.3">
      <c r="A37" s="29" t="s">
        <v>213</v>
      </c>
      <c r="B37" s="30">
        <f t="shared" ref="B37:L37" si="6">SUM(B28:B35)</f>
        <v>119908.24000000002</v>
      </c>
      <c r="C37" s="30">
        <f t="shared" si="6"/>
        <v>121266.84</v>
      </c>
      <c r="D37" s="30">
        <f t="shared" si="6"/>
        <v>147700.35999999999</v>
      </c>
      <c r="E37" s="30">
        <f t="shared" si="6"/>
        <v>126953.59999999999</v>
      </c>
      <c r="F37" s="30">
        <f t="shared" si="6"/>
        <v>0</v>
      </c>
      <c r="G37" s="30">
        <f t="shared" si="6"/>
        <v>0</v>
      </c>
      <c r="H37" s="30">
        <f t="shared" si="6"/>
        <v>0</v>
      </c>
      <c r="I37" s="30">
        <f t="shared" si="6"/>
        <v>0</v>
      </c>
      <c r="J37" s="30">
        <f t="shared" si="6"/>
        <v>0</v>
      </c>
      <c r="K37" s="30">
        <f t="shared" si="6"/>
        <v>0</v>
      </c>
      <c r="L37" s="30">
        <f t="shared" si="6"/>
        <v>0</v>
      </c>
      <c r="M37" s="30">
        <f>SUM(M28:M35)</f>
        <v>0</v>
      </c>
      <c r="N37" s="30">
        <f t="shared" ref="N37" si="7">SUM(B37:M37)</f>
        <v>515829.04</v>
      </c>
    </row>
    <row r="38" spans="1:15" ht="5.25" customHeight="1" x14ac:dyDescent="0.3">
      <c r="A38" s="23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5"/>
    </row>
    <row r="39" spans="1:15" ht="15" thickBot="1" x14ac:dyDescent="0.35">
      <c r="A39" s="34" t="s">
        <v>214</v>
      </c>
      <c r="B39" s="40">
        <f>B24-B37</f>
        <v>-39738.520000000019</v>
      </c>
      <c r="C39" s="40">
        <f>C24-C37</f>
        <v>74552.120000000024</v>
      </c>
      <c r="D39" s="40">
        <f t="shared" ref="D39:N39" si="8">D24-D37</f>
        <v>-24813.01999999996</v>
      </c>
      <c r="E39" s="40">
        <f t="shared" si="8"/>
        <v>69200.749999999985</v>
      </c>
      <c r="F39" s="40">
        <f t="shared" si="8"/>
        <v>0</v>
      </c>
      <c r="G39" s="40">
        <f t="shared" si="8"/>
        <v>0</v>
      </c>
      <c r="H39" s="40">
        <f t="shared" si="8"/>
        <v>0</v>
      </c>
      <c r="I39" s="40">
        <f t="shared" si="8"/>
        <v>0</v>
      </c>
      <c r="J39" s="40">
        <f t="shared" si="8"/>
        <v>0</v>
      </c>
      <c r="K39" s="40">
        <f t="shared" si="8"/>
        <v>0</v>
      </c>
      <c r="L39" s="40">
        <f t="shared" si="8"/>
        <v>0</v>
      </c>
      <c r="M39" s="40">
        <f t="shared" si="8"/>
        <v>0</v>
      </c>
      <c r="N39" s="40">
        <f t="shared" si="8"/>
        <v>79201.330000000133</v>
      </c>
    </row>
    <row r="40" spans="1:15" ht="5.25" customHeight="1" thickTop="1" x14ac:dyDescent="0.3">
      <c r="A40" s="23"/>
      <c r="B40" s="28"/>
    </row>
    <row r="41" spans="1:15" ht="15" thickBot="1" x14ac:dyDescent="0.35">
      <c r="A41" s="22" t="s">
        <v>215</v>
      </c>
      <c r="B41" s="40">
        <f>B39+Genesis!B92</f>
        <v>-38205.640000000021</v>
      </c>
      <c r="C41" s="40">
        <f>C39+1532.88+12225.8+0.63</f>
        <v>88311.430000000037</v>
      </c>
      <c r="D41" s="40">
        <f>D39+1532.88+10999.57+1297.55+0.51</f>
        <v>-10982.50999999996</v>
      </c>
      <c r="E41" s="40"/>
      <c r="F41" s="40"/>
      <c r="G41" s="40"/>
      <c r="H41" s="40"/>
      <c r="I41" s="40"/>
      <c r="J41" s="40"/>
      <c r="K41" s="40"/>
      <c r="L41" s="40"/>
      <c r="M41" s="40"/>
      <c r="N41" s="40">
        <f>SUM(B41:M41)</f>
        <v>39123.280000000057</v>
      </c>
      <c r="O41" s="25">
        <f>+N41-N39</f>
        <v>-40078.050000000076</v>
      </c>
    </row>
    <row r="42" spans="1:15" ht="15" thickTop="1" x14ac:dyDescent="0.3"/>
    <row r="44" spans="1:15" x14ac:dyDescent="0.3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</row>
    <row r="46" spans="1:15" x14ac:dyDescent="0.3">
      <c r="M46" s="25"/>
    </row>
  </sheetData>
  <mergeCells count="3">
    <mergeCell ref="A1:N1"/>
    <mergeCell ref="A2:N2"/>
    <mergeCell ref="A3:N3"/>
  </mergeCells>
  <pageMargins left="0.7" right="0.7" top="0.75" bottom="0.75" header="0.3" footer="0.3"/>
  <pageSetup scale="66" fitToHeight="0" orientation="landscape" horizontalDpi="300" verticalDpi="300" r:id="rId1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opLeftCell="A78" zoomScale="115" zoomScaleNormal="115" workbookViewId="0">
      <selection activeCell="D89" sqref="D89"/>
    </sheetView>
  </sheetViews>
  <sheetFormatPr defaultRowHeight="14.4" x14ac:dyDescent="0.3"/>
  <cols>
    <col min="1" max="1" width="49" customWidth="1"/>
    <col min="2" max="2" width="11.21875" customWidth="1"/>
    <col min="3" max="3" width="12" customWidth="1"/>
    <col min="4" max="4" width="10.33203125" customWidth="1"/>
    <col min="5" max="5" width="12.44140625" customWidth="1"/>
    <col min="6" max="6" width="12" customWidth="1"/>
    <col min="7" max="7" width="28.21875" customWidth="1"/>
    <col min="8" max="8" width="12.6640625" customWidth="1"/>
  </cols>
  <sheetData>
    <row r="1" spans="1:8" ht="17.399999999999999" x14ac:dyDescent="0.3">
      <c r="A1" s="46" t="s">
        <v>96</v>
      </c>
      <c r="B1" s="45"/>
      <c r="C1" s="45"/>
      <c r="D1" s="45"/>
      <c r="E1" s="45"/>
      <c r="F1" s="45"/>
    </row>
    <row r="2" spans="1:8" ht="17.399999999999999" x14ac:dyDescent="0.3">
      <c r="A2" s="46" t="s">
        <v>97</v>
      </c>
      <c r="B2" s="45"/>
      <c r="C2" s="45"/>
      <c r="D2" s="45"/>
      <c r="E2" s="45"/>
      <c r="F2" s="45"/>
    </row>
    <row r="3" spans="1:8" x14ac:dyDescent="0.3">
      <c r="A3" s="47" t="s">
        <v>98</v>
      </c>
      <c r="B3" s="45"/>
      <c r="C3" s="45"/>
      <c r="D3" s="45"/>
      <c r="E3" s="45"/>
      <c r="F3" s="45"/>
    </row>
    <row r="5" spans="1:8" x14ac:dyDescent="0.3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</row>
    <row r="6" spans="1:8" x14ac:dyDescent="0.3">
      <c r="A6" s="3" t="s">
        <v>5</v>
      </c>
      <c r="B6" s="4"/>
      <c r="C6" s="4"/>
      <c r="D6" s="4"/>
      <c r="E6" s="4"/>
      <c r="F6" s="4"/>
    </row>
    <row r="7" spans="1:8" x14ac:dyDescent="0.3">
      <c r="A7" s="3" t="s">
        <v>6</v>
      </c>
      <c r="B7" s="4"/>
      <c r="C7" s="4"/>
      <c r="D7" s="5">
        <f>3000</f>
        <v>3000</v>
      </c>
      <c r="E7" s="4"/>
      <c r="F7" s="5">
        <f t="shared" ref="F7:F48" si="0">(((B7)+(C7))+(D7))+(E7)</f>
        <v>3000</v>
      </c>
      <c r="G7" t="str">
        <f>_xlfn.XLOOKUP(A7,GenesisKey!$A$2:$A$87,GenesisKey!$B$2:$B$87)</f>
        <v>IVF</v>
      </c>
      <c r="H7" s="4"/>
    </row>
    <row r="8" spans="1:8" x14ac:dyDescent="0.3">
      <c r="A8" s="3" t="s">
        <v>7</v>
      </c>
      <c r="B8" s="5">
        <f>6000</f>
        <v>6000</v>
      </c>
      <c r="C8" s="4"/>
      <c r="D8" s="4"/>
      <c r="E8" s="4"/>
      <c r="F8" s="5">
        <f t="shared" si="0"/>
        <v>6000</v>
      </c>
      <c r="G8" t="str">
        <f>_xlfn.XLOOKUP(A8,GenesisKey!$A$2:$A$87,GenesisKey!$B$2:$B$87)</f>
        <v>IVF</v>
      </c>
      <c r="H8" s="4"/>
    </row>
    <row r="9" spans="1:8" x14ac:dyDescent="0.3">
      <c r="A9" s="3" t="s">
        <v>8</v>
      </c>
      <c r="B9" s="4"/>
      <c r="C9" s="5">
        <f>200</f>
        <v>200</v>
      </c>
      <c r="D9" s="4"/>
      <c r="E9" s="5">
        <f>200</f>
        <v>200</v>
      </c>
      <c r="F9" s="5">
        <f t="shared" si="0"/>
        <v>400</v>
      </c>
      <c r="G9" t="str">
        <f>_xlfn.XLOOKUP(A9,GenesisKey!$A$2:$A$87,GenesisKey!$B$2:$B$87)</f>
        <v>IVF</v>
      </c>
      <c r="H9" s="5">
        <f>200</f>
        <v>200</v>
      </c>
    </row>
    <row r="10" spans="1:8" x14ac:dyDescent="0.3">
      <c r="A10" s="3" t="s">
        <v>9</v>
      </c>
      <c r="B10" s="5">
        <f>11475</f>
        <v>11475</v>
      </c>
      <c r="C10" s="5">
        <f>37485</f>
        <v>37485</v>
      </c>
      <c r="D10" s="5">
        <f>22950</f>
        <v>22950</v>
      </c>
      <c r="E10" s="5">
        <f>22950</f>
        <v>22950</v>
      </c>
      <c r="F10" s="5">
        <f t="shared" si="0"/>
        <v>94860</v>
      </c>
      <c r="G10" t="str">
        <f>_xlfn.XLOOKUP(A10,GenesisKey!$A$2:$A$87,GenesisKey!$B$2:$B$87)</f>
        <v>IVF</v>
      </c>
      <c r="H10" s="5">
        <f>22950</f>
        <v>22950</v>
      </c>
    </row>
    <row r="11" spans="1:8" x14ac:dyDescent="0.3">
      <c r="A11" s="3" t="s">
        <v>10</v>
      </c>
      <c r="B11" s="5">
        <f>91125</f>
        <v>91125</v>
      </c>
      <c r="C11" s="5">
        <f>111592.5</f>
        <v>111592.5</v>
      </c>
      <c r="D11" s="5">
        <f>106757.5</f>
        <v>106757.5</v>
      </c>
      <c r="E11" s="5">
        <f>169492.5</f>
        <v>169492.5</v>
      </c>
      <c r="F11" s="5">
        <f t="shared" si="0"/>
        <v>478967.5</v>
      </c>
      <c r="G11" t="str">
        <f>_xlfn.XLOOKUP(A11,GenesisKey!$A$2:$A$87,GenesisKey!$B$2:$B$87)</f>
        <v>IVF</v>
      </c>
      <c r="H11" s="5">
        <f>169492.5</f>
        <v>169492.5</v>
      </c>
    </row>
    <row r="12" spans="1:8" x14ac:dyDescent="0.3">
      <c r="A12" s="3" t="s">
        <v>11</v>
      </c>
      <c r="B12" s="5">
        <f>42185</f>
        <v>42185</v>
      </c>
      <c r="C12" s="5">
        <f>105164</f>
        <v>105164</v>
      </c>
      <c r="D12" s="5">
        <f>82074</f>
        <v>82074</v>
      </c>
      <c r="E12" s="5">
        <f>32670</f>
        <v>32670</v>
      </c>
      <c r="F12" s="5">
        <f t="shared" si="0"/>
        <v>262093</v>
      </c>
      <c r="G12" t="str">
        <f>_xlfn.XLOOKUP(A12,GenesisKey!$A$2:$A$87,GenesisKey!$B$2:$B$87)</f>
        <v>IVF</v>
      </c>
      <c r="H12" s="5">
        <f>32670</f>
        <v>32670</v>
      </c>
    </row>
    <row r="13" spans="1:8" x14ac:dyDescent="0.3">
      <c r="A13" s="3" t="s">
        <v>12</v>
      </c>
      <c r="B13" s="5">
        <f>1500</f>
        <v>1500</v>
      </c>
      <c r="C13" s="5">
        <f>1850</f>
        <v>1850</v>
      </c>
      <c r="D13" s="4"/>
      <c r="E13" s="4"/>
      <c r="F13" s="5">
        <f t="shared" si="0"/>
        <v>3350</v>
      </c>
      <c r="G13" t="str">
        <f>_xlfn.XLOOKUP(A13,GenesisKey!$A$2:$A$87,GenesisKey!$B$2:$B$87)</f>
        <v>IVF</v>
      </c>
      <c r="H13" s="4"/>
    </row>
    <row r="14" spans="1:8" x14ac:dyDescent="0.3">
      <c r="A14" s="3" t="s">
        <v>13</v>
      </c>
      <c r="B14" s="5">
        <f>2125</f>
        <v>2125</v>
      </c>
      <c r="C14" s="5">
        <f>2625</f>
        <v>2625</v>
      </c>
      <c r="D14" s="5">
        <f>3125</f>
        <v>3125</v>
      </c>
      <c r="E14" s="5">
        <f>3000</f>
        <v>3000</v>
      </c>
      <c r="F14" s="5">
        <f t="shared" si="0"/>
        <v>10875</v>
      </c>
      <c r="G14" t="str">
        <f>_xlfn.XLOOKUP(A14,GenesisKey!$A$2:$A$87,GenesisKey!$B$2:$B$87)</f>
        <v>IVF</v>
      </c>
      <c r="H14" s="5">
        <f>3000</f>
        <v>3000</v>
      </c>
    </row>
    <row r="15" spans="1:8" x14ac:dyDescent="0.3">
      <c r="A15" s="3" t="s">
        <v>14</v>
      </c>
      <c r="B15" s="5">
        <f>3600</f>
        <v>3600</v>
      </c>
      <c r="C15" s="5">
        <f>4320</f>
        <v>4320</v>
      </c>
      <c r="D15" s="5">
        <f>5280</f>
        <v>5280</v>
      </c>
      <c r="E15" s="5">
        <f>5760</f>
        <v>5760</v>
      </c>
      <c r="F15" s="5">
        <f t="shared" si="0"/>
        <v>18960</v>
      </c>
      <c r="G15" t="str">
        <f>_xlfn.XLOOKUP(A15,GenesisKey!$A$2:$A$87,GenesisKey!$B$2:$B$87)</f>
        <v>IVF</v>
      </c>
      <c r="H15" s="5">
        <f>5760</f>
        <v>5760</v>
      </c>
    </row>
    <row r="16" spans="1:8" x14ac:dyDescent="0.3">
      <c r="A16" s="3" t="s">
        <v>15</v>
      </c>
      <c r="B16" s="5">
        <f>1400</f>
        <v>1400</v>
      </c>
      <c r="C16" s="5">
        <f>2800</f>
        <v>2800</v>
      </c>
      <c r="D16" s="5">
        <f>2800</f>
        <v>2800</v>
      </c>
      <c r="E16" s="5">
        <f>700</f>
        <v>700</v>
      </c>
      <c r="F16" s="5">
        <f t="shared" si="0"/>
        <v>7700</v>
      </c>
      <c r="G16" t="str">
        <f>_xlfn.XLOOKUP(A16,GenesisKey!$A$2:$A$87,GenesisKey!$B$2:$B$87)</f>
        <v>IVF</v>
      </c>
      <c r="H16" s="5">
        <f>700</f>
        <v>700</v>
      </c>
    </row>
    <row r="17" spans="1:8" x14ac:dyDescent="0.3">
      <c r="A17" s="3" t="s">
        <v>16</v>
      </c>
      <c r="B17" s="5">
        <f>1200</f>
        <v>1200</v>
      </c>
      <c r="C17" s="5">
        <f>1800</f>
        <v>1800</v>
      </c>
      <c r="D17" s="5">
        <f>600</f>
        <v>600</v>
      </c>
      <c r="E17" s="5">
        <f>425</f>
        <v>425</v>
      </c>
      <c r="F17" s="5">
        <f t="shared" si="0"/>
        <v>4025</v>
      </c>
      <c r="G17" t="str">
        <f>_xlfn.XLOOKUP(A17,GenesisKey!$A$2:$A$87,GenesisKey!$B$2:$B$87)</f>
        <v>IVF</v>
      </c>
      <c r="H17" s="5">
        <f>425</f>
        <v>425</v>
      </c>
    </row>
    <row r="18" spans="1:8" x14ac:dyDescent="0.3">
      <c r="A18" s="3" t="s">
        <v>17</v>
      </c>
      <c r="B18" s="5">
        <f>5600</f>
        <v>5600</v>
      </c>
      <c r="C18" s="5">
        <f>6300</f>
        <v>6300</v>
      </c>
      <c r="D18" s="5">
        <f>6300</f>
        <v>6300</v>
      </c>
      <c r="E18" s="5">
        <f>2800</f>
        <v>2800</v>
      </c>
      <c r="F18" s="5">
        <f t="shared" si="0"/>
        <v>21000</v>
      </c>
      <c r="G18" t="str">
        <f>_xlfn.XLOOKUP(A18,GenesisKey!$A$2:$A$87,GenesisKey!$B$2:$B$87)</f>
        <v>IVF</v>
      </c>
      <c r="H18" s="5">
        <f>2800</f>
        <v>2800</v>
      </c>
    </row>
    <row r="19" spans="1:8" x14ac:dyDescent="0.3">
      <c r="A19" s="3" t="s">
        <v>18</v>
      </c>
      <c r="B19" s="5">
        <f>700</f>
        <v>700</v>
      </c>
      <c r="C19" s="5">
        <f>736.36</f>
        <v>736.36</v>
      </c>
      <c r="D19" s="5">
        <f>736.36</f>
        <v>736.36</v>
      </c>
      <c r="E19" s="5">
        <f>736.36</f>
        <v>736.36</v>
      </c>
      <c r="F19" s="5">
        <f t="shared" si="0"/>
        <v>2909.0800000000004</v>
      </c>
      <c r="G19" t="str">
        <f>_xlfn.XLOOKUP(A19,GenesisKey!$A$2:$A$87,GenesisKey!$B$2:$B$87)</f>
        <v>Storage</v>
      </c>
      <c r="H19" s="5">
        <f>736.36</f>
        <v>736.36</v>
      </c>
    </row>
    <row r="20" spans="1:8" x14ac:dyDescent="0.3">
      <c r="A20" s="3" t="s">
        <v>19</v>
      </c>
      <c r="B20" s="5">
        <f>1050</f>
        <v>1050</v>
      </c>
      <c r="C20" s="4"/>
      <c r="D20" s="5">
        <f>350</f>
        <v>350</v>
      </c>
      <c r="E20" s="4"/>
      <c r="F20" s="5">
        <f t="shared" si="0"/>
        <v>1400</v>
      </c>
      <c r="G20" t="str">
        <f>_xlfn.XLOOKUP(A20,GenesisKey!$A$2:$A$87,GenesisKey!$B$2:$B$87)</f>
        <v>Storage</v>
      </c>
      <c r="H20" s="4"/>
    </row>
    <row r="21" spans="1:8" x14ac:dyDescent="0.3">
      <c r="A21" s="3" t="s">
        <v>20</v>
      </c>
      <c r="B21" s="5">
        <f>6033.33</f>
        <v>6033.33</v>
      </c>
      <c r="C21" s="5">
        <f>6489.39</f>
        <v>6489.39</v>
      </c>
      <c r="D21" s="5">
        <f>6146.06</f>
        <v>6146.06</v>
      </c>
      <c r="E21" s="5">
        <f>6112.73</f>
        <v>6112.73</v>
      </c>
      <c r="F21" s="5">
        <f t="shared" si="0"/>
        <v>24781.510000000002</v>
      </c>
      <c r="G21" t="str">
        <f>_xlfn.XLOOKUP(A21,GenesisKey!$A$2:$A$87,GenesisKey!$B$2:$B$87)</f>
        <v>Storage</v>
      </c>
      <c r="H21" s="5">
        <f>6112.73</f>
        <v>6112.73</v>
      </c>
    </row>
    <row r="22" spans="1:8" x14ac:dyDescent="0.3">
      <c r="A22" s="3" t="s">
        <v>21</v>
      </c>
      <c r="B22" s="5">
        <f>1275</f>
        <v>1275</v>
      </c>
      <c r="C22" s="4"/>
      <c r="D22" s="5">
        <f>425</f>
        <v>425</v>
      </c>
      <c r="E22" s="4"/>
      <c r="F22" s="5">
        <f t="shared" si="0"/>
        <v>1700</v>
      </c>
      <c r="G22" t="str">
        <f>_xlfn.XLOOKUP(A22,GenesisKey!$A$2:$A$87,GenesisKey!$B$2:$B$87)</f>
        <v>IVF</v>
      </c>
      <c r="H22" s="4"/>
    </row>
    <row r="23" spans="1:8" x14ac:dyDescent="0.3">
      <c r="A23" s="3" t="s">
        <v>22</v>
      </c>
      <c r="B23" s="4"/>
      <c r="C23" s="5">
        <f>600</f>
        <v>600</v>
      </c>
      <c r="D23" s="5">
        <f>2650</f>
        <v>2650</v>
      </c>
      <c r="E23" s="5">
        <f>425</f>
        <v>425</v>
      </c>
      <c r="F23" s="5">
        <f t="shared" si="0"/>
        <v>3675</v>
      </c>
      <c r="G23" t="str">
        <f>_xlfn.XLOOKUP(A23,GenesisKey!$A$2:$A$87,GenesisKey!$B$2:$B$87)</f>
        <v>IVF</v>
      </c>
      <c r="H23" s="5">
        <f>425</f>
        <v>425</v>
      </c>
    </row>
    <row r="24" spans="1:8" x14ac:dyDescent="0.3">
      <c r="A24" s="3" t="s">
        <v>23</v>
      </c>
      <c r="B24" s="5">
        <f>41200</f>
        <v>41200</v>
      </c>
      <c r="C24" s="5">
        <f>51000</f>
        <v>51000</v>
      </c>
      <c r="D24" s="5">
        <f>38600</f>
        <v>38600</v>
      </c>
      <c r="E24" s="5">
        <f>50400</f>
        <v>50400</v>
      </c>
      <c r="F24" s="5">
        <f t="shared" si="0"/>
        <v>181200</v>
      </c>
      <c r="G24" t="str">
        <f>_xlfn.XLOOKUP(A24,GenesisKey!$A$2:$A$87,GenesisKey!$B$2:$B$87)</f>
        <v>IVF</v>
      </c>
      <c r="H24" s="5">
        <f>50400</f>
        <v>50400</v>
      </c>
    </row>
    <row r="25" spans="1:8" x14ac:dyDescent="0.3">
      <c r="A25" s="3" t="s">
        <v>24</v>
      </c>
      <c r="B25" s="5">
        <f>0</f>
        <v>0</v>
      </c>
      <c r="C25" s="5">
        <f>0</f>
        <v>0</v>
      </c>
      <c r="D25" s="5">
        <f>15650</f>
        <v>15650</v>
      </c>
      <c r="E25" s="4"/>
      <c r="F25" s="5">
        <f t="shared" si="0"/>
        <v>15650</v>
      </c>
      <c r="G25" t="str">
        <f>_xlfn.XLOOKUP(A25,GenesisKey!$A$2:$A$87,GenesisKey!$B$2:$B$87)</f>
        <v>IVF</v>
      </c>
      <c r="H25" s="4"/>
    </row>
    <row r="26" spans="1:8" x14ac:dyDescent="0.3">
      <c r="A26" s="3" t="s">
        <v>25</v>
      </c>
      <c r="B26" s="5">
        <f>17683.33</f>
        <v>17683.330000000002</v>
      </c>
      <c r="C26" s="5">
        <f>17195.46</f>
        <v>17195.46</v>
      </c>
      <c r="D26" s="5">
        <f>17468.79</f>
        <v>17468.79</v>
      </c>
      <c r="E26" s="5">
        <f>17579.9</f>
        <v>17579.900000000001</v>
      </c>
      <c r="F26" s="5">
        <f t="shared" si="0"/>
        <v>69927.48000000001</v>
      </c>
      <c r="G26" t="str">
        <f>_xlfn.XLOOKUP(A26,GenesisKey!$A$2:$A$87,GenesisKey!$B$2:$B$87)</f>
        <v>Storage</v>
      </c>
      <c r="H26" s="5">
        <f>17579.9</f>
        <v>17579.900000000001</v>
      </c>
    </row>
    <row r="27" spans="1:8" x14ac:dyDescent="0.3">
      <c r="A27" s="3" t="s">
        <v>26</v>
      </c>
      <c r="B27" s="5">
        <f>860</f>
        <v>860</v>
      </c>
      <c r="C27" s="5">
        <f>2150</f>
        <v>2150</v>
      </c>
      <c r="D27" s="5">
        <f>1720</f>
        <v>1720</v>
      </c>
      <c r="E27" s="5">
        <f>4730</f>
        <v>4730</v>
      </c>
      <c r="F27" s="5">
        <f t="shared" si="0"/>
        <v>9460</v>
      </c>
      <c r="G27" t="s">
        <v>202</v>
      </c>
      <c r="H27" s="5">
        <f>4730</f>
        <v>4730</v>
      </c>
    </row>
    <row r="28" spans="1:8" x14ac:dyDescent="0.3">
      <c r="A28" s="3" t="s">
        <v>27</v>
      </c>
      <c r="B28" s="5">
        <f>26598</f>
        <v>26598</v>
      </c>
      <c r="C28" s="5">
        <f>27807</f>
        <v>27807</v>
      </c>
      <c r="D28" s="5">
        <f>20646</f>
        <v>20646</v>
      </c>
      <c r="E28" s="5">
        <f>48732</f>
        <v>48732</v>
      </c>
      <c r="F28" s="5">
        <f t="shared" si="0"/>
        <v>123783</v>
      </c>
      <c r="G28" t="s">
        <v>202</v>
      </c>
      <c r="H28" s="5">
        <f>48732</f>
        <v>48732</v>
      </c>
    </row>
    <row r="29" spans="1:8" x14ac:dyDescent="0.3">
      <c r="A29" s="3" t="s">
        <v>28</v>
      </c>
      <c r="B29" s="4"/>
      <c r="C29" s="4"/>
      <c r="D29" s="4"/>
      <c r="E29" s="5">
        <f>318</f>
        <v>318</v>
      </c>
      <c r="F29" s="5">
        <f t="shared" si="0"/>
        <v>318</v>
      </c>
      <c r="G29" t="s">
        <v>202</v>
      </c>
      <c r="H29" s="5">
        <f>318</f>
        <v>318</v>
      </c>
    </row>
    <row r="30" spans="1:8" x14ac:dyDescent="0.3">
      <c r="A30" s="3" t="s">
        <v>29</v>
      </c>
      <c r="B30" s="5">
        <f>315</f>
        <v>315</v>
      </c>
      <c r="C30" s="5">
        <f>210</f>
        <v>210</v>
      </c>
      <c r="D30" s="5">
        <f>840</f>
        <v>840</v>
      </c>
      <c r="E30" s="5">
        <f>735</f>
        <v>735</v>
      </c>
      <c r="F30" s="5">
        <f t="shared" si="0"/>
        <v>2100</v>
      </c>
      <c r="G30" t="s">
        <v>202</v>
      </c>
      <c r="H30" s="5">
        <f>735</f>
        <v>735</v>
      </c>
    </row>
    <row r="31" spans="1:8" x14ac:dyDescent="0.3">
      <c r="A31" s="3" t="s">
        <v>30</v>
      </c>
      <c r="B31" s="5">
        <f>14028</f>
        <v>14028</v>
      </c>
      <c r="C31" s="5">
        <f>23714</f>
        <v>23714</v>
      </c>
      <c r="D31" s="5">
        <f>19372</f>
        <v>19372</v>
      </c>
      <c r="E31" s="5">
        <f>29058</f>
        <v>29058</v>
      </c>
      <c r="F31" s="5">
        <f t="shared" si="0"/>
        <v>86172</v>
      </c>
      <c r="G31" t="s">
        <v>202</v>
      </c>
      <c r="H31" s="5">
        <f>29058</f>
        <v>29058</v>
      </c>
    </row>
    <row r="32" spans="1:8" x14ac:dyDescent="0.3">
      <c r="A32" s="3" t="s">
        <v>31</v>
      </c>
      <c r="B32" s="5">
        <f>25050</f>
        <v>25050</v>
      </c>
      <c r="C32" s="5">
        <f>26052</f>
        <v>26052</v>
      </c>
      <c r="D32" s="5">
        <f>18036</f>
        <v>18036</v>
      </c>
      <c r="E32" s="5">
        <f>49098</f>
        <v>49098</v>
      </c>
      <c r="F32" s="5">
        <f t="shared" si="0"/>
        <v>118236</v>
      </c>
      <c r="G32" t="s">
        <v>202</v>
      </c>
      <c r="H32" s="5">
        <f>49098</f>
        <v>49098</v>
      </c>
    </row>
    <row r="33" spans="1:8" x14ac:dyDescent="0.3">
      <c r="A33" s="3" t="s">
        <v>32</v>
      </c>
      <c r="B33" s="5">
        <f>2375</f>
        <v>2375</v>
      </c>
      <c r="C33" s="5">
        <f>3250</f>
        <v>3250</v>
      </c>
      <c r="D33" s="5">
        <f>2250</f>
        <v>2250</v>
      </c>
      <c r="E33" s="5">
        <f>2125</f>
        <v>2125</v>
      </c>
      <c r="F33" s="5">
        <f t="shared" si="0"/>
        <v>10000</v>
      </c>
      <c r="G33" t="s">
        <v>202</v>
      </c>
      <c r="H33" s="5">
        <f>2125</f>
        <v>2125</v>
      </c>
    </row>
    <row r="34" spans="1:8" x14ac:dyDescent="0.3">
      <c r="A34" s="3" t="s">
        <v>33</v>
      </c>
      <c r="B34" s="5">
        <f>10323</f>
        <v>10323</v>
      </c>
      <c r="C34" s="5">
        <f>13431</f>
        <v>13431</v>
      </c>
      <c r="D34" s="5">
        <f>8769</f>
        <v>8769</v>
      </c>
      <c r="E34" s="5">
        <f>17316</f>
        <v>17316</v>
      </c>
      <c r="F34" s="5">
        <f t="shared" si="0"/>
        <v>49839</v>
      </c>
      <c r="G34" t="s">
        <v>202</v>
      </c>
      <c r="H34" s="5">
        <f>17316</f>
        <v>17316</v>
      </c>
    </row>
    <row r="35" spans="1:8" x14ac:dyDescent="0.3">
      <c r="A35" s="3" t="s">
        <v>34</v>
      </c>
      <c r="B35" s="5">
        <f>432</f>
        <v>432</v>
      </c>
      <c r="C35" s="5">
        <f>1428</f>
        <v>1428</v>
      </c>
      <c r="D35" s="5">
        <f>1230</f>
        <v>1230</v>
      </c>
      <c r="E35" s="5">
        <f>1788</f>
        <v>1788</v>
      </c>
      <c r="F35" s="5">
        <f t="shared" si="0"/>
        <v>4878</v>
      </c>
      <c r="G35" t="s">
        <v>202</v>
      </c>
      <c r="H35" s="5">
        <f>1788</f>
        <v>1788</v>
      </c>
    </row>
    <row r="36" spans="1:8" x14ac:dyDescent="0.3">
      <c r="A36" s="3" t="s">
        <v>35</v>
      </c>
      <c r="B36" s="5">
        <f>1708</f>
        <v>1708</v>
      </c>
      <c r="C36" s="5">
        <f>1708</f>
        <v>1708</v>
      </c>
      <c r="D36" s="5">
        <f>3721</f>
        <v>3721</v>
      </c>
      <c r="E36" s="5">
        <f>3660</f>
        <v>3660</v>
      </c>
      <c r="F36" s="5">
        <f t="shared" si="0"/>
        <v>10797</v>
      </c>
      <c r="G36" t="s">
        <v>202</v>
      </c>
      <c r="H36" s="5">
        <f>3660</f>
        <v>3660</v>
      </c>
    </row>
    <row r="37" spans="1:8" x14ac:dyDescent="0.3">
      <c r="A37" s="3" t="s">
        <v>36</v>
      </c>
      <c r="B37" s="5">
        <f>72</f>
        <v>72</v>
      </c>
      <c r="C37" s="5">
        <f>144</f>
        <v>144</v>
      </c>
      <c r="D37" s="5">
        <f>72</f>
        <v>72</v>
      </c>
      <c r="E37" s="5">
        <f>168</f>
        <v>168</v>
      </c>
      <c r="F37" s="5">
        <f t="shared" si="0"/>
        <v>456</v>
      </c>
      <c r="G37" t="s">
        <v>202</v>
      </c>
      <c r="H37" s="5">
        <f>168</f>
        <v>168</v>
      </c>
    </row>
    <row r="38" spans="1:8" x14ac:dyDescent="0.3">
      <c r="A38" s="3" t="s">
        <v>37</v>
      </c>
      <c r="B38" s="5">
        <f>336</f>
        <v>336</v>
      </c>
      <c r="C38" s="5">
        <f>504</f>
        <v>504</v>
      </c>
      <c r="D38" s="5">
        <f>315</f>
        <v>315</v>
      </c>
      <c r="E38" s="5">
        <f>567</f>
        <v>567</v>
      </c>
      <c r="F38" s="5">
        <f t="shared" si="0"/>
        <v>1722</v>
      </c>
      <c r="G38" t="s">
        <v>202</v>
      </c>
      <c r="H38" s="5">
        <f>567</f>
        <v>567</v>
      </c>
    </row>
    <row r="39" spans="1:8" x14ac:dyDescent="0.3">
      <c r="A39" s="3" t="s">
        <v>38</v>
      </c>
      <c r="B39" s="5">
        <f>3675</f>
        <v>3675</v>
      </c>
      <c r="C39" s="5">
        <f>5700</f>
        <v>5700</v>
      </c>
      <c r="D39" s="5">
        <f>3950</f>
        <v>3950</v>
      </c>
      <c r="E39" s="5">
        <f>5228</f>
        <v>5228</v>
      </c>
      <c r="F39" s="5">
        <f t="shared" si="0"/>
        <v>18553</v>
      </c>
      <c r="G39" t="s">
        <v>203</v>
      </c>
      <c r="H39" s="5">
        <f>5228</f>
        <v>5228</v>
      </c>
    </row>
    <row r="40" spans="1:8" x14ac:dyDescent="0.3">
      <c r="A40" s="3" t="s">
        <v>39</v>
      </c>
      <c r="B40" s="5">
        <f>-256</f>
        <v>-256</v>
      </c>
      <c r="C40" s="4"/>
      <c r="D40" s="4"/>
      <c r="E40" s="4"/>
      <c r="F40" s="5">
        <f t="shared" si="0"/>
        <v>-256</v>
      </c>
      <c r="G40" t="s">
        <v>203</v>
      </c>
      <c r="H40" s="4"/>
    </row>
    <row r="41" spans="1:8" x14ac:dyDescent="0.3">
      <c r="A41" s="3" t="s">
        <v>40</v>
      </c>
      <c r="B41" s="4"/>
      <c r="C41" s="4"/>
      <c r="D41" s="5">
        <f>500</f>
        <v>500</v>
      </c>
      <c r="E41" s="5">
        <f>1500</f>
        <v>1500</v>
      </c>
      <c r="F41" s="5">
        <f t="shared" si="0"/>
        <v>2000</v>
      </c>
      <c r="G41" t="s">
        <v>203</v>
      </c>
      <c r="H41" s="5">
        <f>1500</f>
        <v>1500</v>
      </c>
    </row>
    <row r="42" spans="1:8" x14ac:dyDescent="0.3">
      <c r="A42" s="3" t="s">
        <v>41</v>
      </c>
      <c r="B42" s="4"/>
      <c r="C42" s="5">
        <f>30300</f>
        <v>30300</v>
      </c>
      <c r="D42" s="5">
        <f>11450</f>
        <v>11450</v>
      </c>
      <c r="E42" s="5">
        <f>3020</f>
        <v>3020</v>
      </c>
      <c r="F42" s="5">
        <f t="shared" si="0"/>
        <v>44770</v>
      </c>
      <c r="G42" t="s">
        <v>203</v>
      </c>
      <c r="H42" s="5">
        <f>3020</f>
        <v>3020</v>
      </c>
    </row>
    <row r="43" spans="1:8" x14ac:dyDescent="0.3">
      <c r="A43" s="3" t="s">
        <v>42</v>
      </c>
      <c r="B43" s="5">
        <f>6323.1</f>
        <v>6323.1</v>
      </c>
      <c r="C43" s="5">
        <f>235</f>
        <v>235</v>
      </c>
      <c r="D43" s="5">
        <f>446.3</f>
        <v>446.3</v>
      </c>
      <c r="E43" s="5">
        <f>532.6</f>
        <v>532.6</v>
      </c>
      <c r="F43" s="5">
        <f t="shared" si="0"/>
        <v>7537.0000000000009</v>
      </c>
      <c r="G43" t="s">
        <v>203</v>
      </c>
      <c r="H43" s="5">
        <f>532.6</f>
        <v>532.6</v>
      </c>
    </row>
    <row r="44" spans="1:8" x14ac:dyDescent="0.3">
      <c r="A44" s="3" t="s">
        <v>43</v>
      </c>
      <c r="B44" s="5">
        <f>240</f>
        <v>240</v>
      </c>
      <c r="C44" s="5">
        <f>240</f>
        <v>240</v>
      </c>
      <c r="D44" s="5">
        <f>420</f>
        <v>420</v>
      </c>
      <c r="E44" s="5">
        <f>240</f>
        <v>240</v>
      </c>
      <c r="F44" s="5">
        <f t="shared" si="0"/>
        <v>1140</v>
      </c>
      <c r="G44" t="s">
        <v>203</v>
      </c>
      <c r="H44" s="5">
        <f>240</f>
        <v>240</v>
      </c>
    </row>
    <row r="45" spans="1:8" x14ac:dyDescent="0.3">
      <c r="A45" s="3" t="s">
        <v>44</v>
      </c>
      <c r="B45" s="5">
        <f>794.86</f>
        <v>794.86</v>
      </c>
      <c r="C45" s="5">
        <f>794.86</f>
        <v>794.86</v>
      </c>
      <c r="D45" s="5">
        <f>794.86</f>
        <v>794.86</v>
      </c>
      <c r="E45" s="5">
        <f>794.86</f>
        <v>794.86</v>
      </c>
      <c r="F45" s="5">
        <f t="shared" si="0"/>
        <v>3179.44</v>
      </c>
      <c r="G45" t="s">
        <v>203</v>
      </c>
      <c r="H45" s="5">
        <f>794.86</f>
        <v>794.86</v>
      </c>
    </row>
    <row r="46" spans="1:8" x14ac:dyDescent="0.3">
      <c r="A46" s="3" t="s">
        <v>45</v>
      </c>
      <c r="B46" s="5">
        <f>8173.44</f>
        <v>8173.44</v>
      </c>
      <c r="C46" s="5">
        <f>10752.29</f>
        <v>10752.29</v>
      </c>
      <c r="D46" s="5">
        <f>12390.96</f>
        <v>12390.96</v>
      </c>
      <c r="E46" s="5">
        <f>10713.76</f>
        <v>10713.76</v>
      </c>
      <c r="F46" s="5">
        <f t="shared" si="0"/>
        <v>42030.45</v>
      </c>
      <c r="G46" t="s">
        <v>201</v>
      </c>
      <c r="H46" s="5">
        <f>10713.76</f>
        <v>10713.76</v>
      </c>
    </row>
    <row r="47" spans="1:8" x14ac:dyDescent="0.3">
      <c r="A47" s="3" t="s">
        <v>46</v>
      </c>
      <c r="B47" s="4"/>
      <c r="C47" s="5">
        <f>-883.33</f>
        <v>-883.33</v>
      </c>
      <c r="D47" s="5">
        <f>-333.35</f>
        <v>-333.35</v>
      </c>
      <c r="E47" s="5">
        <f>-200</f>
        <v>-200</v>
      </c>
      <c r="F47" s="5">
        <f t="shared" si="0"/>
        <v>-1416.68</v>
      </c>
      <c r="G47" t="s">
        <v>203</v>
      </c>
      <c r="H47" s="5">
        <f>-200</f>
        <v>-200</v>
      </c>
    </row>
    <row r="48" spans="1:8" x14ac:dyDescent="0.3">
      <c r="A48" s="3" t="s">
        <v>47</v>
      </c>
      <c r="B48" s="6">
        <f>((((((((((((((((((((((((((((((((((((((((B7)+(B8))+(B9))+(B10))+(B11))+(B12))+(B13))+(B14))+(B15))+(B16))+(B17))+(B18))+(B19))+(B20))+(B21))+(B22))+(B23))+(B24))+(B25))+(B26))+(B27))+(B28))+(B29))+(B30))+(B31))+(B32))+(B33))+(B34))+(B35))+(B36))+(B37))+(B38))+(B39))+(B40))+(B41))+(B42))+(B43))+(B44))+(B45))+(B46))+(B47)</f>
        <v>335199.05999999994</v>
      </c>
      <c r="C48" s="6">
        <f>((((((((((((((((((((((((((((((((((((((((C7)+(C8))+(C9))+(C10))+(C11))+(C12))+(C13))+(C14))+(C15))+(C16))+(C17))+(C18))+(C19))+(C20))+(C21))+(C22))+(C23))+(C24))+(C25))+(C26))+(C27))+(C28))+(C29))+(C30))+(C31))+(C32))+(C33))+(C34))+(C35))+(C36))+(C37))+(C38))+(C39))+(C40))+(C41))+(C42))+(C43))+(C44))+(C45))+(C46))+(C47)</f>
        <v>497694.52999999997</v>
      </c>
      <c r="D48" s="6">
        <f>((((((((((((((((((((((((((((((((((((((((D7)+(D8))+(D9))+(D10))+(D11))+(D12))+(D13))+(D14))+(D15))+(D16))+(D17))+(D18))+(D19))+(D20))+(D21))+(D22))+(D23))+(D24))+(D25))+(D26))+(D27))+(D28))+(D29))+(D30))+(D31))+(D32))+(D33))+(D34))+(D35))+(D36))+(D37))+(D38))+(D39))+(D40))+(D41))+(D42))+(D43))+(D44))+(D45))+(D46))+(D47)</f>
        <v>421502.48</v>
      </c>
      <c r="E48" s="6">
        <f>((((((((((((((((((((((((((((((((((((((((E7)+(E8))+(E9))+(E10))+(E11))+(E12))+(E13))+(E14))+(E15))+(E16))+(E17))+(E18))+(E19))+(E20))+(E21))+(E22))+(E23))+(E24))+(E25))+(E26))+(E27))+(E28))+(E29))+(E30))+(E31))+(E32))+(E33))+(E34))+(E35))+(E36))+(E37))+(E38))+(E39))+(E40))+(E41))+(E42))+(E43))+(E44))+(E45))+(E46))+(E47)</f>
        <v>493375.70999999996</v>
      </c>
      <c r="F48" s="6">
        <f t="shared" si="0"/>
        <v>1747771.7799999998</v>
      </c>
      <c r="G48">
        <f>_xlfn.XLOOKUP(A48,GenesisKey!$A$2:$A$87,GenesisKey!$B$2:$B$87)</f>
        <v>0</v>
      </c>
      <c r="H48" s="6">
        <f>((((((((((((((((((((((((((((((((((((((((H7)+(H8))+(H9))+(H10))+(H11))+(H12))+(H13))+(H14))+(H15))+(H16))+(H17))+(H18))+(H19))+(H20))+(H21))+(H22))+(H23))+(H24))+(H25))+(H26))+(H27))+(H28))+(H29))+(H30))+(H31))+(H32))+(H33))+(H34))+(H35))+(H36))+(H37))+(H38))+(H39))+(H40))+(H41))+(H42))+(H43))+(H44))+(H45))+(H46))+(H47)</f>
        <v>493375.70999999996</v>
      </c>
    </row>
    <row r="49" spans="1:8" x14ac:dyDescent="0.3">
      <c r="A49" s="3" t="s">
        <v>48</v>
      </c>
      <c r="B49" s="4"/>
      <c r="C49" s="4"/>
      <c r="D49" s="4"/>
      <c r="E49" s="4"/>
      <c r="F49" s="4"/>
      <c r="G49">
        <f>_xlfn.XLOOKUP(A49,GenesisKey!$A$2:$A$87,GenesisKey!$B$2:$B$87)</f>
        <v>0</v>
      </c>
      <c r="H49" s="4"/>
    </row>
    <row r="50" spans="1:8" x14ac:dyDescent="0.3">
      <c r="A50" s="3" t="s">
        <v>49</v>
      </c>
      <c r="B50" s="5">
        <f>64165.95</f>
        <v>64165.95</v>
      </c>
      <c r="C50" s="5">
        <f>63656.61</f>
        <v>63656.61</v>
      </c>
      <c r="D50" s="5">
        <f>62712.91</f>
        <v>62712.91</v>
      </c>
      <c r="E50" s="5">
        <f>65278.76</f>
        <v>65278.76</v>
      </c>
      <c r="F50" s="5">
        <f t="shared" ref="F50:F63" si="1">(((B50)+(C50))+(D50))+(E50)</f>
        <v>255814.23</v>
      </c>
      <c r="G50" t="str">
        <f>_xlfn.XLOOKUP(A50,GenesisKey!$A$2:$A$87,GenesisKey!$B$2:$B$87)</f>
        <v>Clinical Payroll</v>
      </c>
      <c r="H50" s="5">
        <f>65278.76</f>
        <v>65278.76</v>
      </c>
    </row>
    <row r="51" spans="1:8" x14ac:dyDescent="0.3">
      <c r="A51" s="3" t="s">
        <v>50</v>
      </c>
      <c r="B51" s="5">
        <f>6888.7</f>
        <v>6888.7</v>
      </c>
      <c r="C51" s="4"/>
      <c r="D51" s="4"/>
      <c r="E51" s="4"/>
      <c r="F51" s="5">
        <f t="shared" si="1"/>
        <v>6888.7</v>
      </c>
      <c r="G51" t="str">
        <f>_xlfn.XLOOKUP(A51,GenesisKey!$A$2:$A$87,GenesisKey!$B$2:$B$87)</f>
        <v>Supplies</v>
      </c>
      <c r="H51" s="4"/>
    </row>
    <row r="52" spans="1:8" x14ac:dyDescent="0.3">
      <c r="A52" s="3" t="s">
        <v>51</v>
      </c>
      <c r="B52" s="5">
        <f>92.29</f>
        <v>92.29</v>
      </c>
      <c r="C52" s="5">
        <f>98.49</f>
        <v>98.49</v>
      </c>
      <c r="D52" s="4"/>
      <c r="E52" s="4"/>
      <c r="F52" s="5">
        <f t="shared" si="1"/>
        <v>190.78</v>
      </c>
      <c r="G52" t="str">
        <f>_xlfn.XLOOKUP(A52,GenesisKey!$A$2:$A$87,GenesisKey!$B$2:$B$87)</f>
        <v>Supplies</v>
      </c>
      <c r="H52" s="4"/>
    </row>
    <row r="53" spans="1:8" x14ac:dyDescent="0.3">
      <c r="A53" s="3" t="s">
        <v>52</v>
      </c>
      <c r="B53" s="4"/>
      <c r="C53" s="5">
        <f>2126.15</f>
        <v>2126.15</v>
      </c>
      <c r="D53" s="4"/>
      <c r="E53" s="4"/>
      <c r="F53" s="5">
        <f t="shared" si="1"/>
        <v>2126.15</v>
      </c>
      <c r="G53" t="str">
        <f>_xlfn.XLOOKUP(A53,GenesisKey!$A$2:$A$87,GenesisKey!$B$2:$B$87)</f>
        <v>Supplies</v>
      </c>
      <c r="H53" s="4"/>
    </row>
    <row r="54" spans="1:8" x14ac:dyDescent="0.3">
      <c r="A54" s="3" t="s">
        <v>53</v>
      </c>
      <c r="B54" s="5">
        <f>2656.67</f>
        <v>2656.67</v>
      </c>
      <c r="C54" s="5">
        <f>1173.88</f>
        <v>1173.8800000000001</v>
      </c>
      <c r="D54" s="5">
        <f>-1383.35</f>
        <v>-1383.35</v>
      </c>
      <c r="E54" s="4"/>
      <c r="F54" s="5">
        <f t="shared" si="1"/>
        <v>2447.2000000000003</v>
      </c>
      <c r="G54" t="str">
        <f>_xlfn.XLOOKUP(A54,GenesisKey!$A$2:$A$87,GenesisKey!$B$2:$B$87)</f>
        <v>Supplies</v>
      </c>
      <c r="H54" s="4"/>
    </row>
    <row r="55" spans="1:8" x14ac:dyDescent="0.3">
      <c r="A55" s="3" t="s">
        <v>54</v>
      </c>
      <c r="B55" s="5">
        <f>1667</f>
        <v>1667</v>
      </c>
      <c r="C55" s="5">
        <f>1667</f>
        <v>1667</v>
      </c>
      <c r="D55" s="5">
        <f>600</f>
        <v>600</v>
      </c>
      <c r="E55" s="5">
        <f>1667</f>
        <v>1667</v>
      </c>
      <c r="F55" s="5">
        <f t="shared" si="1"/>
        <v>5601</v>
      </c>
      <c r="G55" t="str">
        <f>_xlfn.XLOOKUP(A55,GenesisKey!$A$2:$A$87,GenesisKey!$B$2:$B$87)</f>
        <v>Supplies</v>
      </c>
      <c r="H55" s="5">
        <f>1667</f>
        <v>1667</v>
      </c>
    </row>
    <row r="56" spans="1:8" x14ac:dyDescent="0.3">
      <c r="A56" s="3" t="s">
        <v>55</v>
      </c>
      <c r="B56" s="5">
        <f>34879.46</f>
        <v>34879.46</v>
      </c>
      <c r="C56" s="5">
        <f>37473.83</f>
        <v>37473.83</v>
      </c>
      <c r="D56" s="5">
        <f>20142.13</f>
        <v>20142.13</v>
      </c>
      <c r="E56" s="4"/>
      <c r="F56" s="5">
        <f t="shared" si="1"/>
        <v>92495.420000000013</v>
      </c>
      <c r="G56" t="str">
        <f>_xlfn.XLOOKUP(A56,GenesisKey!$A$2:$A$87,GenesisKey!$B$2:$B$87)</f>
        <v>Clinical Payroll</v>
      </c>
      <c r="H56" s="4"/>
    </row>
    <row r="57" spans="1:8" x14ac:dyDescent="0.3">
      <c r="A57" s="3" t="s">
        <v>56</v>
      </c>
      <c r="B57" s="5">
        <f>1911</f>
        <v>1911</v>
      </c>
      <c r="C57" s="4"/>
      <c r="D57" s="4"/>
      <c r="E57" s="4"/>
      <c r="F57" s="5">
        <f t="shared" si="1"/>
        <v>1911</v>
      </c>
      <c r="G57" t="str">
        <f>_xlfn.XLOOKUP(A57,GenesisKey!$A$2:$A$87,GenesisKey!$B$2:$B$87)</f>
        <v>Supplies</v>
      </c>
      <c r="H57" s="4"/>
    </row>
    <row r="58" spans="1:8" x14ac:dyDescent="0.3">
      <c r="A58" s="3" t="s">
        <v>57</v>
      </c>
      <c r="B58" s="5">
        <f>1021.5</f>
        <v>1021.5</v>
      </c>
      <c r="C58" s="5">
        <f>920.05</f>
        <v>920.05</v>
      </c>
      <c r="D58" s="4"/>
      <c r="E58" s="4"/>
      <c r="F58" s="5">
        <f t="shared" si="1"/>
        <v>1941.55</v>
      </c>
      <c r="G58" t="str">
        <f>_xlfn.XLOOKUP(A58,GenesisKey!$A$2:$A$87,GenesisKey!$B$2:$B$87)</f>
        <v>Supplies</v>
      </c>
      <c r="H58" s="4"/>
    </row>
    <row r="59" spans="1:8" x14ac:dyDescent="0.3">
      <c r="A59" s="3" t="s">
        <v>58</v>
      </c>
      <c r="B59" s="5">
        <f>48370.6</f>
        <v>48370.6</v>
      </c>
      <c r="C59" s="5">
        <f>80805.61</f>
        <v>80805.61</v>
      </c>
      <c r="D59" s="5">
        <f>20834.85</f>
        <v>20834.849999999999</v>
      </c>
      <c r="E59" s="4"/>
      <c r="F59" s="5">
        <f t="shared" si="1"/>
        <v>150011.06</v>
      </c>
      <c r="G59" t="str">
        <f>_xlfn.XLOOKUP(A59,GenesisKey!$A$2:$A$87,GenesisKey!$B$2:$B$87)</f>
        <v>Supplies</v>
      </c>
      <c r="H59" s="4"/>
    </row>
    <row r="60" spans="1:8" x14ac:dyDescent="0.3">
      <c r="A60" s="3" t="s">
        <v>59</v>
      </c>
      <c r="B60" s="5">
        <f>68105.28</f>
        <v>68105.279999999999</v>
      </c>
      <c r="C60" s="5">
        <f>69338.15</f>
        <v>69338.149999999994</v>
      </c>
      <c r="D60" s="5">
        <f>37322.11</f>
        <v>37322.11</v>
      </c>
      <c r="E60" s="4"/>
      <c r="F60" s="5">
        <f t="shared" si="1"/>
        <v>174765.53999999998</v>
      </c>
      <c r="G60" t="str">
        <f>_xlfn.XLOOKUP(A60,GenesisKey!$A$2:$A$87,GenesisKey!$B$2:$B$87)</f>
        <v>Clinical Payroll</v>
      </c>
      <c r="H60" s="4"/>
    </row>
    <row r="61" spans="1:8" x14ac:dyDescent="0.3">
      <c r="A61" s="3" t="s">
        <v>60</v>
      </c>
      <c r="B61" s="5">
        <f>810</f>
        <v>810</v>
      </c>
      <c r="C61" s="5">
        <f>42.99</f>
        <v>42.99</v>
      </c>
      <c r="D61" s="4"/>
      <c r="E61" s="4"/>
      <c r="F61" s="5">
        <f t="shared" si="1"/>
        <v>852.99</v>
      </c>
      <c r="G61" t="str">
        <f>_xlfn.XLOOKUP(A61,GenesisKey!$A$2:$A$87,GenesisKey!$B$2:$B$87)</f>
        <v>Medical Services</v>
      </c>
      <c r="H61" s="4"/>
    </row>
    <row r="62" spans="1:8" x14ac:dyDescent="0.3">
      <c r="A62" s="3" t="s">
        <v>61</v>
      </c>
      <c r="B62" s="6">
        <f>(((((((((((B50)+(B51))+(B52))+(B53))+(B54))+(B55))+(B56))+(B57))+(B58))+(B59))+(B60))+(B61)</f>
        <v>230568.44999999998</v>
      </c>
      <c r="C62" s="6">
        <f>(((((((((((C50)+(C51))+(C52))+(C53))+(C54))+(C55))+(C56))+(C57))+(C58))+(C59))+(C60))+(C61)</f>
        <v>257302.75999999998</v>
      </c>
      <c r="D62" s="6">
        <f>(((((((((((D50)+(D51))+(D52))+(D53))+(D54))+(D55))+(D56))+(D57))+(D58))+(D59))+(D60))+(D61)</f>
        <v>140228.65000000002</v>
      </c>
      <c r="E62" s="6">
        <f>(((((((((((E50)+(E51))+(E52))+(E53))+(E54))+(E55))+(E56))+(E57))+(E58))+(E59))+(E60))+(E61)</f>
        <v>66945.760000000009</v>
      </c>
      <c r="F62" s="6">
        <f t="shared" si="1"/>
        <v>695045.62</v>
      </c>
      <c r="G62">
        <f>_xlfn.XLOOKUP(A62,GenesisKey!$A$2:$A$87,GenesisKey!$B$2:$B$87)</f>
        <v>0</v>
      </c>
      <c r="H62" s="6">
        <f>(((((((((((H50)+(H51))+(H52))+(H53))+(H54))+(H55))+(H56))+(H57))+(H58))+(H59))+(H60))+(H61)</f>
        <v>66945.760000000009</v>
      </c>
    </row>
    <row r="63" spans="1:8" x14ac:dyDescent="0.3">
      <c r="A63" s="3" t="s">
        <v>62</v>
      </c>
      <c r="B63" s="6">
        <f>(B48)-(B62)</f>
        <v>104630.60999999996</v>
      </c>
      <c r="C63" s="6">
        <f>(C48)-(C62)</f>
        <v>240391.77</v>
      </c>
      <c r="D63" s="6">
        <f>(D48)-(D62)</f>
        <v>281273.82999999996</v>
      </c>
      <c r="E63" s="6">
        <f>(E48)-(E62)</f>
        <v>426429.94999999995</v>
      </c>
      <c r="F63" s="6">
        <f t="shared" si="1"/>
        <v>1052726.1599999999</v>
      </c>
      <c r="G63">
        <f>_xlfn.XLOOKUP(A63,GenesisKey!$A$2:$A$87,GenesisKey!$B$2:$B$87)</f>
        <v>0</v>
      </c>
      <c r="H63" s="6">
        <f>(H48)-(H62)</f>
        <v>426429.94999999995</v>
      </c>
    </row>
    <row r="64" spans="1:8" x14ac:dyDescent="0.3">
      <c r="A64" s="3" t="s">
        <v>63</v>
      </c>
      <c r="B64" s="4"/>
      <c r="C64" s="4"/>
      <c r="D64" s="4"/>
      <c r="E64" s="4"/>
      <c r="F64" s="4"/>
      <c r="G64">
        <f>_xlfn.XLOOKUP(A64,GenesisKey!$A$2:$A$87,GenesisKey!$B$2:$B$87)</f>
        <v>0</v>
      </c>
      <c r="H64" s="4"/>
    </row>
    <row r="65" spans="1:8" x14ac:dyDescent="0.3">
      <c r="A65" s="3" t="s">
        <v>64</v>
      </c>
      <c r="B65" s="5">
        <f>2100</f>
        <v>2100</v>
      </c>
      <c r="C65" s="5">
        <f>2100</f>
        <v>2100</v>
      </c>
      <c r="D65" s="4"/>
      <c r="E65" s="4"/>
      <c r="F65" s="5">
        <f t="shared" ref="F65:F90" si="2">(((B65)+(C65))+(D65))+(E65)</f>
        <v>4200</v>
      </c>
      <c r="G65" t="str">
        <f>_xlfn.XLOOKUP(A65,GenesisKey!$A$2:$A$87,GenesisKey!$B$2:$B$87)</f>
        <v>General &amp; administrative</v>
      </c>
      <c r="H65" s="4"/>
    </row>
    <row r="66" spans="1:8" x14ac:dyDescent="0.3">
      <c r="A66" s="3" t="s">
        <v>65</v>
      </c>
      <c r="B66" s="5">
        <f>641</f>
        <v>641</v>
      </c>
      <c r="C66" s="5">
        <f>434.43</f>
        <v>434.43</v>
      </c>
      <c r="D66" s="5">
        <f>422.98</f>
        <v>422.98</v>
      </c>
      <c r="E66" s="5">
        <f>401.6</f>
        <v>401.6</v>
      </c>
      <c r="F66" s="5">
        <f t="shared" si="2"/>
        <v>1900.0100000000002</v>
      </c>
      <c r="G66" t="str">
        <f>_xlfn.XLOOKUP(A66,GenesisKey!$A$2:$A$87,GenesisKey!$B$2:$B$87)</f>
        <v>General &amp; administrative</v>
      </c>
      <c r="H66" s="5">
        <f>401.6</f>
        <v>401.6</v>
      </c>
    </row>
    <row r="67" spans="1:8" x14ac:dyDescent="0.3">
      <c r="A67" s="3" t="s">
        <v>66</v>
      </c>
      <c r="B67" s="5">
        <f>7490.73</f>
        <v>7490.73</v>
      </c>
      <c r="C67" s="5">
        <f>10899.89</f>
        <v>10899.89</v>
      </c>
      <c r="D67" s="5">
        <f>9318.69</f>
        <v>9318.69</v>
      </c>
      <c r="E67" s="4"/>
      <c r="F67" s="5">
        <f t="shared" si="2"/>
        <v>27709.309999999998</v>
      </c>
      <c r="G67" t="str">
        <f>_xlfn.XLOOKUP(A67,GenesisKey!$A$2:$A$87,GenesisKey!$B$2:$B$87)</f>
        <v>General &amp; administrative</v>
      </c>
      <c r="H67" s="4"/>
    </row>
    <row r="68" spans="1:8" x14ac:dyDescent="0.3">
      <c r="A68" s="3" t="s">
        <v>67</v>
      </c>
      <c r="B68" s="4"/>
      <c r="C68" s="5">
        <f>19.8</f>
        <v>19.8</v>
      </c>
      <c r="D68" s="4"/>
      <c r="E68" s="4"/>
      <c r="F68" s="5">
        <f t="shared" si="2"/>
        <v>19.8</v>
      </c>
      <c r="G68" t="str">
        <f>_xlfn.XLOOKUP(A68,GenesisKey!$A$2:$A$87,GenesisKey!$B$2:$B$87)</f>
        <v>Employee related expenses</v>
      </c>
      <c r="H68" s="4"/>
    </row>
    <row r="69" spans="1:8" x14ac:dyDescent="0.3">
      <c r="A69" s="3" t="s">
        <v>68</v>
      </c>
      <c r="B69" s="5">
        <f>393.63</f>
        <v>393.63</v>
      </c>
      <c r="C69" s="5">
        <f>380.28</f>
        <v>380.28</v>
      </c>
      <c r="D69" s="5">
        <f>0</f>
        <v>0</v>
      </c>
      <c r="E69" s="4"/>
      <c r="F69" s="5">
        <f t="shared" si="2"/>
        <v>773.91</v>
      </c>
      <c r="G69" t="str">
        <f>_xlfn.XLOOKUP(A69,GenesisKey!$A$2:$A$87,GenesisKey!$B$2:$B$87)</f>
        <v>Employee related expenses</v>
      </c>
      <c r="H69" s="4"/>
    </row>
    <row r="70" spans="1:8" x14ac:dyDescent="0.3">
      <c r="A70" s="3" t="s">
        <v>69</v>
      </c>
      <c r="B70" s="5">
        <f>2848.68</f>
        <v>2848.68</v>
      </c>
      <c r="C70" s="4"/>
      <c r="D70" s="4"/>
      <c r="E70" s="4"/>
      <c r="F70" s="5">
        <f t="shared" si="2"/>
        <v>2848.68</v>
      </c>
      <c r="G70" t="str">
        <f>_xlfn.XLOOKUP(A70,GenesisKey!$A$2:$A$87,GenesisKey!$B$2:$B$87)</f>
        <v>General &amp; administrative</v>
      </c>
      <c r="H70" s="4"/>
    </row>
    <row r="71" spans="1:8" x14ac:dyDescent="0.3">
      <c r="A71" s="3" t="s">
        <v>70</v>
      </c>
      <c r="B71" s="5">
        <f>488.75</f>
        <v>488.75</v>
      </c>
      <c r="C71" s="5">
        <f>257.69</f>
        <v>257.69</v>
      </c>
      <c r="D71" s="4"/>
      <c r="E71" s="4"/>
      <c r="F71" s="5">
        <f t="shared" si="2"/>
        <v>746.44</v>
      </c>
      <c r="G71" t="str">
        <f>_xlfn.XLOOKUP(A71,GenesisKey!$A$2:$A$87,GenesisKey!$B$2:$B$87)</f>
        <v>Marketing</v>
      </c>
      <c r="H71" s="4"/>
    </row>
    <row r="72" spans="1:8" x14ac:dyDescent="0.3">
      <c r="A72" s="3" t="s">
        <v>71</v>
      </c>
      <c r="B72" s="4"/>
      <c r="C72" s="4"/>
      <c r="D72" s="5">
        <f>2625</f>
        <v>2625</v>
      </c>
      <c r="E72" s="4"/>
      <c r="F72" s="5">
        <f t="shared" si="2"/>
        <v>2625</v>
      </c>
      <c r="G72" t="str">
        <f>_xlfn.XLOOKUP(A72,GenesisKey!$A$2:$A$87,GenesisKey!$B$2:$B$87)</f>
        <v>Professional Fees</v>
      </c>
      <c r="H72" s="4"/>
    </row>
    <row r="73" spans="1:8" x14ac:dyDescent="0.3">
      <c r="A73" s="3" t="s">
        <v>72</v>
      </c>
      <c r="B73" s="5">
        <f>1987.37</f>
        <v>1987.37</v>
      </c>
      <c r="C73" s="4"/>
      <c r="D73" s="4"/>
      <c r="E73" s="4"/>
      <c r="F73" s="5">
        <f t="shared" si="2"/>
        <v>1987.37</v>
      </c>
      <c r="G73" t="str">
        <f>_xlfn.XLOOKUP(A73,GenesisKey!$A$2:$A$87,GenesisKey!$B$2:$B$87)</f>
        <v>Professional Fees</v>
      </c>
      <c r="H73" s="4"/>
    </row>
    <row r="74" spans="1:8" x14ac:dyDescent="0.3">
      <c r="A74" s="3" t="s">
        <v>73</v>
      </c>
      <c r="B74" s="5">
        <f>131615.79</f>
        <v>131615.79</v>
      </c>
      <c r="C74" s="5">
        <f>301254.61</f>
        <v>301254.61</v>
      </c>
      <c r="D74" s="4"/>
      <c r="E74" s="4"/>
      <c r="F74" s="5">
        <f t="shared" si="2"/>
        <v>432870.40000000002</v>
      </c>
      <c r="G74">
        <f>_xlfn.XLOOKUP(A74,GenesisKey!$A$2:$A$87,GenesisKey!$B$2:$B$87)</f>
        <v>0</v>
      </c>
      <c r="H74" s="4"/>
    </row>
    <row r="75" spans="1:8" x14ac:dyDescent="0.3">
      <c r="A75" s="3" t="s">
        <v>74</v>
      </c>
      <c r="B75" s="5">
        <f>1231.81</f>
        <v>1231.81</v>
      </c>
      <c r="C75" s="5">
        <f>320.82</f>
        <v>320.82</v>
      </c>
      <c r="D75" s="5">
        <f>-13067.76</f>
        <v>-13067.76</v>
      </c>
      <c r="E75" s="5">
        <f>499.98</f>
        <v>499.98</v>
      </c>
      <c r="F75" s="5">
        <f t="shared" si="2"/>
        <v>-11015.150000000001</v>
      </c>
      <c r="G75" t="str">
        <f>_xlfn.XLOOKUP(A75,GenesisKey!$A$2:$A$87,GenesisKey!$B$2:$B$87)</f>
        <v>General &amp; administrative</v>
      </c>
      <c r="H75" s="5">
        <f>499.98</f>
        <v>499.98</v>
      </c>
    </row>
    <row r="76" spans="1:8" x14ac:dyDescent="0.3">
      <c r="A76" s="3" t="s">
        <v>75</v>
      </c>
      <c r="B76" s="5">
        <f>330.61</f>
        <v>330.61</v>
      </c>
      <c r="C76" s="4"/>
      <c r="D76" s="4"/>
      <c r="E76" s="4"/>
      <c r="F76" s="5">
        <f t="shared" si="2"/>
        <v>330.61</v>
      </c>
      <c r="G76" t="str">
        <f>_xlfn.XLOOKUP(A76,GenesisKey!$A$2:$A$87,GenesisKey!$B$2:$B$87)</f>
        <v>General &amp; administrative</v>
      </c>
      <c r="H76" s="4"/>
    </row>
    <row r="77" spans="1:8" x14ac:dyDescent="0.3">
      <c r="A77" s="3" t="s">
        <v>76</v>
      </c>
      <c r="B77" s="5">
        <f>1616.52</f>
        <v>1616.52</v>
      </c>
      <c r="C77" s="5">
        <f>59.45</f>
        <v>59.45</v>
      </c>
      <c r="D77" s="5">
        <f>2185.49</f>
        <v>2185.4899999999998</v>
      </c>
      <c r="E77" s="4"/>
      <c r="F77" s="5">
        <f t="shared" si="2"/>
        <v>3861.46</v>
      </c>
      <c r="G77" t="str">
        <f>_xlfn.XLOOKUP(A77,GenesisKey!$A$2:$A$87,GenesisKey!$B$2:$B$87)</f>
        <v>General &amp; administrative</v>
      </c>
      <c r="H77" s="4"/>
    </row>
    <row r="78" spans="1:8" x14ac:dyDescent="0.3">
      <c r="A78" s="3" t="s">
        <v>77</v>
      </c>
      <c r="B78" s="5">
        <f>835.81</f>
        <v>835.81</v>
      </c>
      <c r="C78" s="4"/>
      <c r="D78" s="4"/>
      <c r="E78" s="5">
        <f>132.8</f>
        <v>132.80000000000001</v>
      </c>
      <c r="F78" s="5">
        <f t="shared" si="2"/>
        <v>968.6099999999999</v>
      </c>
      <c r="G78" t="str">
        <f>_xlfn.XLOOKUP(A78,GenesisKey!$A$2:$A$87,GenesisKey!$B$2:$B$87)</f>
        <v>General &amp; administrative</v>
      </c>
      <c r="H78" s="5">
        <f>132.8</f>
        <v>132.80000000000001</v>
      </c>
    </row>
    <row r="79" spans="1:8" x14ac:dyDescent="0.3">
      <c r="A79" s="3" t="s">
        <v>78</v>
      </c>
      <c r="B79" s="5">
        <f>883.84</f>
        <v>883.84</v>
      </c>
      <c r="C79" s="5">
        <f>877.06</f>
        <v>877.06</v>
      </c>
      <c r="D79" s="5">
        <f>0</f>
        <v>0</v>
      </c>
      <c r="E79" s="5">
        <f>-0.11</f>
        <v>-0.11</v>
      </c>
      <c r="F79" s="5">
        <f t="shared" si="2"/>
        <v>1760.7900000000002</v>
      </c>
      <c r="G79" t="str">
        <f>_xlfn.XLOOKUP(A79,GenesisKey!$A$2:$A$87,GenesisKey!$B$2:$B$87)</f>
        <v>General &amp; administrative</v>
      </c>
      <c r="H79" s="5">
        <f>-0.11</f>
        <v>-0.11</v>
      </c>
    </row>
    <row r="80" spans="1:8" x14ac:dyDescent="0.3">
      <c r="A80" s="3" t="s">
        <v>79</v>
      </c>
      <c r="B80" s="5">
        <f>25615.99</f>
        <v>25615.99</v>
      </c>
      <c r="C80" s="5">
        <f>23591.7</f>
        <v>23591.7</v>
      </c>
      <c r="D80" s="5">
        <f>14162.12</f>
        <v>14162.12</v>
      </c>
      <c r="E80" s="5">
        <f>-0.03</f>
        <v>-0.03</v>
      </c>
      <c r="F80" s="5">
        <f t="shared" si="2"/>
        <v>63369.780000000006</v>
      </c>
      <c r="G80" t="str">
        <f>_xlfn.XLOOKUP(A80,GenesisKey!$A$2:$A$87,GenesisKey!$B$2:$B$87)</f>
        <v>Payroll</v>
      </c>
      <c r="H80" s="5">
        <f>-0.03</f>
        <v>-0.03</v>
      </c>
    </row>
    <row r="81" spans="1:8" x14ac:dyDescent="0.3">
      <c r="A81" s="3" t="s">
        <v>80</v>
      </c>
      <c r="B81" s="5">
        <f>6565.54</f>
        <v>6565.54</v>
      </c>
      <c r="C81" s="5">
        <f>5689.81</f>
        <v>5689.81</v>
      </c>
      <c r="D81" s="5">
        <f>3438.49</f>
        <v>3438.49</v>
      </c>
      <c r="E81" s="4"/>
      <c r="F81" s="5">
        <f t="shared" si="2"/>
        <v>15693.84</v>
      </c>
      <c r="G81" t="str">
        <f>_xlfn.XLOOKUP(A81,GenesisKey!$A$2:$A$87,GenesisKey!$B$2:$B$87)</f>
        <v>Payroll</v>
      </c>
      <c r="H81" s="4"/>
    </row>
    <row r="82" spans="1:8" x14ac:dyDescent="0.3">
      <c r="A82" s="3" t="s">
        <v>81</v>
      </c>
      <c r="B82" s="5">
        <f>21.06</f>
        <v>21.06</v>
      </c>
      <c r="C82" s="4"/>
      <c r="D82" s="5">
        <f>0</f>
        <v>0</v>
      </c>
      <c r="E82" s="4"/>
      <c r="F82" s="5">
        <f t="shared" si="2"/>
        <v>21.06</v>
      </c>
      <c r="G82" t="str">
        <f>_xlfn.XLOOKUP(A82,GenesisKey!$A$2:$A$87,GenesisKey!$B$2:$B$87)</f>
        <v>General &amp; administrative</v>
      </c>
      <c r="H82" s="4"/>
    </row>
    <row r="83" spans="1:8" x14ac:dyDescent="0.3">
      <c r="A83" s="3" t="s">
        <v>82</v>
      </c>
      <c r="B83" s="5">
        <f>3444.67</f>
        <v>3444.67</v>
      </c>
      <c r="C83" s="4"/>
      <c r="D83" s="4"/>
      <c r="E83" s="4"/>
      <c r="F83" s="5">
        <f t="shared" si="2"/>
        <v>3444.67</v>
      </c>
      <c r="G83" t="str">
        <f>_xlfn.XLOOKUP(A83,GenesisKey!$A$2:$A$87,GenesisKey!$B$2:$B$87)</f>
        <v>General &amp; administrative</v>
      </c>
      <c r="H83" s="4"/>
    </row>
    <row r="84" spans="1:8" x14ac:dyDescent="0.3">
      <c r="A84" s="3" t="s">
        <v>83</v>
      </c>
      <c r="B84" s="5">
        <f>47.65</f>
        <v>47.65</v>
      </c>
      <c r="C84" s="4"/>
      <c r="D84" s="4"/>
      <c r="E84" s="4"/>
      <c r="F84" s="5">
        <f t="shared" si="2"/>
        <v>47.65</v>
      </c>
      <c r="G84" t="str">
        <f>_xlfn.XLOOKUP(A84,GenesisKey!$A$2:$A$87,GenesisKey!$B$2:$B$87)</f>
        <v>General &amp; administrative</v>
      </c>
      <c r="H84" s="4"/>
    </row>
    <row r="85" spans="1:8" x14ac:dyDescent="0.3">
      <c r="A85" s="3" t="s">
        <v>84</v>
      </c>
      <c r="B85" s="5">
        <f>526.05</f>
        <v>526.04999999999995</v>
      </c>
      <c r="C85" s="4"/>
      <c r="D85" s="4"/>
      <c r="E85" s="4"/>
      <c r="F85" s="5">
        <f t="shared" si="2"/>
        <v>526.04999999999995</v>
      </c>
      <c r="G85" t="str">
        <f>_xlfn.XLOOKUP(A85,GenesisKey!$A$2:$A$87,GenesisKey!$B$2:$B$87)</f>
        <v>General &amp; administrative</v>
      </c>
      <c r="H85" s="4"/>
    </row>
    <row r="86" spans="1:8" x14ac:dyDescent="0.3">
      <c r="A86" s="3" t="s">
        <v>85</v>
      </c>
      <c r="B86" s="5">
        <f>90</f>
        <v>90</v>
      </c>
      <c r="C86" s="4"/>
      <c r="D86" s="4"/>
      <c r="E86" s="4"/>
      <c r="F86" s="5">
        <f t="shared" si="2"/>
        <v>90</v>
      </c>
      <c r="G86" t="str">
        <f>_xlfn.XLOOKUP(A86,GenesisKey!$A$2:$A$87,GenesisKey!$B$2:$B$87)</f>
        <v>General &amp; administrative</v>
      </c>
      <c r="H86" s="4"/>
    </row>
    <row r="87" spans="1:8" x14ac:dyDescent="0.3">
      <c r="A87" s="3" t="s">
        <v>86</v>
      </c>
      <c r="B87" s="4"/>
      <c r="C87" s="5">
        <f>0.63</f>
        <v>0.63</v>
      </c>
      <c r="D87" s="5">
        <f>0.51</f>
        <v>0.51</v>
      </c>
      <c r="E87" s="4"/>
      <c r="F87" s="5">
        <f t="shared" si="2"/>
        <v>1.1400000000000001</v>
      </c>
      <c r="G87" t="str">
        <f>_xlfn.XLOOKUP(A87,GenesisKey!$A$2:$A$87,GenesisKey!$B$2:$B$87)</f>
        <v>General &amp; administrative</v>
      </c>
      <c r="H87" s="4"/>
    </row>
    <row r="88" spans="1:8" x14ac:dyDescent="0.3">
      <c r="A88" s="3" t="s">
        <v>87</v>
      </c>
      <c r="B88" s="4"/>
      <c r="C88" s="5">
        <f>315</f>
        <v>315</v>
      </c>
      <c r="D88" s="4"/>
      <c r="E88" s="4"/>
      <c r="F88" s="5">
        <f t="shared" si="2"/>
        <v>315</v>
      </c>
      <c r="G88" t="str">
        <f>_xlfn.XLOOKUP(A88,GenesisKey!$A$2:$A$87,GenesisKey!$B$2:$B$87)</f>
        <v>General &amp; administrative</v>
      </c>
      <c r="H88" s="4"/>
    </row>
    <row r="89" spans="1:8" x14ac:dyDescent="0.3">
      <c r="A89" s="3" t="s">
        <v>88</v>
      </c>
      <c r="B89" s="42"/>
      <c r="C89" s="42"/>
      <c r="D89" s="12">
        <f>3854.9</f>
        <v>3854.9</v>
      </c>
      <c r="E89" s="42"/>
      <c r="F89" s="12">
        <f t="shared" si="2"/>
        <v>3854.9</v>
      </c>
      <c r="G89" t="str">
        <f>_xlfn.XLOOKUP(A89,GenesisKey!$A$2:$A$87,GenesisKey!$B$2:$B$87)</f>
        <v>General &amp; administrative</v>
      </c>
      <c r="H89" s="4"/>
    </row>
    <row r="90" spans="1:8" x14ac:dyDescent="0.3">
      <c r="A90" s="3" t="s">
        <v>89</v>
      </c>
      <c r="B90" s="6">
        <f>((((((((((((((((((((((((B65)+(B66))+(B67))+(B68))+(B69))+(B70))+(B71))+(B72))+(B73))+(B74))+(B75))+(B76))+(B77))+(B78))+(B79))+(B80))+(B81))+(B82))+(B83))+(B84))+(B85))+(B86))+(B87))+(B88))+(B89)</f>
        <v>188775.49999999997</v>
      </c>
      <c r="C90" s="6">
        <f>((((((((((((((((((((((((C65)+(C66))+(C67))+(C68))+(C69))+(C70))+(C71))+(C72))+(C73))+(C74))+(C75))+(C76))+(C77))+(C78))+(C79))+(C80))+(C81))+(C82))+(C83))+(C84))+(C85))+(C86))+(C87))+(C88))+(C89)</f>
        <v>346201.17000000004</v>
      </c>
      <c r="D90" s="6">
        <f>((((((((((((((((((((((((D65)+(D66))+(D67))+(D68))+(D69))+(D70))+(D71))+(D72))+(D73))+(D74))+(D75))+(D76))+(D77))+(D78))+(D79))+(D80))+(D81))+(D82))+(D83))+(D84))+(D85))+(D86))+(D87))+(D88))+(D89)</f>
        <v>22940.420000000002</v>
      </c>
      <c r="E90" s="6">
        <f>((((((((((((((((((((((((E65)+(E66))+(E67))+(E68))+(E69))+(E70))+(E71))+(E72))+(E73))+(E74))+(E75))+(E76))+(E77))+(E78))+(E79))+(E80))+(E81))+(E82))+(E83))+(E84))+(E85))+(E86))+(E87))+(E88))+(E89)</f>
        <v>1034.2400000000002</v>
      </c>
      <c r="F90" s="6">
        <f t="shared" si="2"/>
        <v>558951.33000000007</v>
      </c>
      <c r="G90">
        <f>_xlfn.XLOOKUP(A90,GenesisKey!$A$2:$A$87,GenesisKey!$B$2:$B$87)</f>
        <v>0</v>
      </c>
      <c r="H90" s="6">
        <f>((((((((((((((((((((((((H65)+(H66))+(H67))+(H68))+(H69))+(H70))+(H71))+(H72))+(H73))+(H74))+(H75))+(H76))+(H77))+(H78))+(H79))+(H80))+(H81))+(H82))+(H83))+(H84))+(H85))+(H86))+(H87))+(H88))+(H89)</f>
        <v>1034.2400000000002</v>
      </c>
    </row>
    <row r="91" spans="1:8" x14ac:dyDescent="0.3">
      <c r="A91" s="3" t="s">
        <v>90</v>
      </c>
      <c r="B91" s="4"/>
      <c r="C91" s="4"/>
      <c r="D91" s="4"/>
      <c r="E91" s="4"/>
      <c r="F91" s="4"/>
      <c r="G91">
        <f>_xlfn.XLOOKUP(A91,GenesisKey!$A$2:$A$87,GenesisKey!$B$2:$B$87)</f>
        <v>0</v>
      </c>
      <c r="H91" s="4"/>
    </row>
    <row r="92" spans="1:8" x14ac:dyDescent="0.3">
      <c r="A92" s="41" t="s">
        <v>91</v>
      </c>
      <c r="B92" s="12">
        <f>1532.88</f>
        <v>1532.88</v>
      </c>
      <c r="C92" s="12">
        <f>1532.88</f>
        <v>1532.88</v>
      </c>
      <c r="D92" s="12">
        <f>1461.56</f>
        <v>1461.56</v>
      </c>
      <c r="E92" s="12">
        <f>1496.96</f>
        <v>1496.96</v>
      </c>
      <c r="F92" s="12">
        <f>(((B92)+(C92))+(D92))+(E92)</f>
        <v>6024.28</v>
      </c>
      <c r="G92" t="str">
        <f>_xlfn.XLOOKUP(A92,GenesisKey!$A$2:$A$87,GenesisKey!$B$2:$B$87)</f>
        <v>General &amp; administrative</v>
      </c>
      <c r="H92" s="5">
        <f>1496.96</f>
        <v>1496.96</v>
      </c>
    </row>
    <row r="93" spans="1:8" x14ac:dyDescent="0.3">
      <c r="A93" s="3" t="s">
        <v>92</v>
      </c>
      <c r="B93" s="4"/>
      <c r="C93" s="4"/>
      <c r="D93" s="5">
        <f>6800</f>
        <v>6800</v>
      </c>
      <c r="E93" s="4"/>
      <c r="F93" s="5">
        <f>(((B93)+(C93))+(D93))+(E93)</f>
        <v>6800</v>
      </c>
      <c r="G93" t="str">
        <f>_xlfn.XLOOKUP(A93,GenesisKey!$A$2:$A$87,GenesisKey!$B$2:$B$87)</f>
        <v>General &amp; administrative</v>
      </c>
      <c r="H93" s="4"/>
    </row>
    <row r="94" spans="1:8" x14ac:dyDescent="0.3">
      <c r="A94" s="3" t="s">
        <v>93</v>
      </c>
      <c r="B94" s="6">
        <f>(B92)+(B93)</f>
        <v>1532.88</v>
      </c>
      <c r="C94" s="6">
        <f>(C92)+(C93)</f>
        <v>1532.88</v>
      </c>
      <c r="D94" s="6">
        <f>(D92)+(D93)</f>
        <v>8261.56</v>
      </c>
      <c r="E94" s="6">
        <f>(E92)+(E93)</f>
        <v>1496.96</v>
      </c>
      <c r="F94" s="6">
        <f>(((B94)+(C94))+(D94))+(E94)</f>
        <v>12824.279999999999</v>
      </c>
      <c r="G94" t="e">
        <f>_xlfn.XLOOKUP(A94,GenesisKey!$A$2:$A$87,GenesisKey!$B$2:$B$87)</f>
        <v>#N/A</v>
      </c>
    </row>
    <row r="95" spans="1:8" x14ac:dyDescent="0.3">
      <c r="A95" s="3" t="s">
        <v>94</v>
      </c>
      <c r="B95" s="7">
        <f>(((B63)-(B90))+(0))-(B94)</f>
        <v>-85677.770000000019</v>
      </c>
      <c r="C95" s="7">
        <f>(((C63)-(C90))+(0))-(C94)</f>
        <v>-107342.28000000006</v>
      </c>
      <c r="D95" s="7">
        <f>(((D63)-(D90))+(0))-(D94)</f>
        <v>250071.84999999995</v>
      </c>
      <c r="E95" s="7">
        <f>(((E63)-(E90))+(0))-(E94)</f>
        <v>423898.74999999994</v>
      </c>
      <c r="F95" s="7">
        <f>(((B95)+(C95))+(D95))+(E95)</f>
        <v>480950.54999999981</v>
      </c>
      <c r="G95" t="e">
        <f>_xlfn.XLOOKUP(A95,GenesisKey!$A$2:$A$87,GenesisKey!$B$2:$B$87)</f>
        <v>#N/A</v>
      </c>
    </row>
    <row r="96" spans="1:8" x14ac:dyDescent="0.3">
      <c r="A96" s="3"/>
      <c r="B96" s="4"/>
      <c r="C96" s="4"/>
      <c r="D96" s="4"/>
      <c r="E96" s="4"/>
      <c r="F96" s="4"/>
    </row>
    <row r="97" spans="1:6" x14ac:dyDescent="0.3">
      <c r="A97" s="3"/>
      <c r="B97" s="4">
        <f>B95+SFV!B77</f>
        <v>-39738.520000000004</v>
      </c>
      <c r="C97" s="4">
        <f>C95+SFV!C77</f>
        <v>74552.119999999937</v>
      </c>
      <c r="D97" s="4">
        <f>D95+SFV!D77</f>
        <v>-24813.020000000048</v>
      </c>
      <c r="E97" s="4">
        <f>E95+SFV!E77</f>
        <v>69200.749999999942</v>
      </c>
      <c r="F97" s="4">
        <f>SUM(B97:E97)</f>
        <v>79201.329999999827</v>
      </c>
    </row>
    <row r="98" spans="1:6" x14ac:dyDescent="0.3">
      <c r="E98" s="11">
        <f>E95+SFV!E77</f>
        <v>69200.749999999942</v>
      </c>
    </row>
    <row r="99" spans="1:6" x14ac:dyDescent="0.3">
      <c r="E99">
        <v>62423.859999999986</v>
      </c>
      <c r="F99" s="11">
        <f>F95+SFV!F77</f>
        <v>79201.329999999842</v>
      </c>
    </row>
    <row r="100" spans="1:6" x14ac:dyDescent="0.3">
      <c r="A100" s="44" t="s">
        <v>95</v>
      </c>
      <c r="B100" s="45"/>
      <c r="C100" s="45"/>
      <c r="D100" s="45"/>
      <c r="E100" s="45"/>
      <c r="F100" s="45"/>
    </row>
    <row r="103" spans="1:6" x14ac:dyDescent="0.3">
      <c r="E103" s="11">
        <f>E98-E99</f>
        <v>6776.8899999999558</v>
      </c>
    </row>
  </sheetData>
  <mergeCells count="4">
    <mergeCell ref="A100:F100"/>
    <mergeCell ref="A1:F1"/>
    <mergeCell ref="A2:F2"/>
    <mergeCell ref="A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B6BA8-4DC0-4364-B9F5-393307C15BE1}">
  <dimension ref="A1:I90"/>
  <sheetViews>
    <sheetView tabSelected="1" workbookViewId="0">
      <selection activeCell="J15" sqref="J15"/>
    </sheetView>
  </sheetViews>
  <sheetFormatPr defaultRowHeight="14.4" x14ac:dyDescent="0.3"/>
  <cols>
    <col min="1" max="1" width="40.44140625" customWidth="1"/>
    <col min="2" max="6" width="12" customWidth="1"/>
    <col min="7" max="7" width="19.88671875" customWidth="1"/>
    <col min="9" max="9" width="12.88671875" customWidth="1"/>
  </cols>
  <sheetData>
    <row r="1" spans="1:9" ht="17.399999999999999" x14ac:dyDescent="0.3">
      <c r="A1" s="46" t="s">
        <v>164</v>
      </c>
      <c r="B1" s="45"/>
      <c r="C1" s="45"/>
      <c r="D1" s="45"/>
      <c r="E1" s="45"/>
      <c r="F1" s="45"/>
    </row>
    <row r="2" spans="1:9" ht="17.399999999999999" x14ac:dyDescent="0.3">
      <c r="A2" s="46" t="s">
        <v>97</v>
      </c>
      <c r="B2" s="45"/>
      <c r="C2" s="45"/>
      <c r="D2" s="45"/>
      <c r="E2" s="45"/>
      <c r="F2" s="45"/>
    </row>
    <row r="3" spans="1:9" x14ac:dyDescent="0.3">
      <c r="A3" s="47" t="s">
        <v>98</v>
      </c>
      <c r="B3" s="45"/>
      <c r="C3" s="45"/>
      <c r="D3" s="45"/>
      <c r="E3" s="45"/>
      <c r="F3" s="45"/>
    </row>
    <row r="5" spans="1:9" x14ac:dyDescent="0.3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</row>
    <row r="6" spans="1:9" x14ac:dyDescent="0.3">
      <c r="A6" s="3" t="s">
        <v>48</v>
      </c>
      <c r="B6" s="4"/>
      <c r="C6" s="4"/>
      <c r="D6" s="4"/>
      <c r="E6" s="4"/>
      <c r="F6" s="4"/>
    </row>
    <row r="7" spans="1:9" x14ac:dyDescent="0.3">
      <c r="A7" s="3" t="s">
        <v>163</v>
      </c>
      <c r="B7" s="4"/>
      <c r="C7" s="4"/>
      <c r="D7" s="4"/>
      <c r="E7" s="4"/>
      <c r="F7" s="5">
        <f t="shared" ref="F7:F25" si="0">(((B7)+(C7))+(D7))+(E7)</f>
        <v>0</v>
      </c>
    </row>
    <row r="8" spans="1:9" x14ac:dyDescent="0.3">
      <c r="A8" s="3" t="s">
        <v>162</v>
      </c>
      <c r="B8" s="4"/>
      <c r="C8" s="4"/>
      <c r="D8" s="4"/>
      <c r="E8" s="4"/>
      <c r="F8" s="5">
        <f t="shared" si="0"/>
        <v>0</v>
      </c>
    </row>
    <row r="9" spans="1:9" x14ac:dyDescent="0.3">
      <c r="A9" s="3" t="s">
        <v>161</v>
      </c>
      <c r="B9" s="4"/>
      <c r="C9" s="4"/>
      <c r="D9" s="5">
        <f>62012.34</f>
        <v>62012.34</v>
      </c>
      <c r="E9" s="5">
        <f>103674.56</f>
        <v>103674.56</v>
      </c>
      <c r="F9" s="5">
        <f t="shared" si="0"/>
        <v>165686.9</v>
      </c>
      <c r="G9" t="s">
        <v>207</v>
      </c>
      <c r="I9" s="5">
        <f>103674.56</f>
        <v>103674.56</v>
      </c>
    </row>
    <row r="10" spans="1:9" x14ac:dyDescent="0.3">
      <c r="A10" s="3" t="s">
        <v>160</v>
      </c>
      <c r="B10" s="7">
        <f>(B8)+(B9)</f>
        <v>0</v>
      </c>
      <c r="C10" s="7">
        <f>(C8)+(C9)</f>
        <v>0</v>
      </c>
      <c r="D10" s="7">
        <f>(D8)+(D9)</f>
        <v>62012.34</v>
      </c>
      <c r="E10" s="7">
        <f>(E8)+(E9)</f>
        <v>103674.56</v>
      </c>
      <c r="F10" s="7">
        <f t="shared" si="0"/>
        <v>165686.9</v>
      </c>
      <c r="G10">
        <f>_xlfn.XLOOKUP(A10,SFVKey!$A$5:$A$71,SFVKey!$B$5:$B$71,0)</f>
        <v>0</v>
      </c>
      <c r="I10" s="7">
        <f>(I8)+(I9)</f>
        <v>103674.56</v>
      </c>
    </row>
    <row r="11" spans="1:9" x14ac:dyDescent="0.3">
      <c r="A11" s="3" t="s">
        <v>159</v>
      </c>
      <c r="B11" s="4"/>
      <c r="C11" s="4"/>
      <c r="D11" s="4"/>
      <c r="E11" s="5">
        <f>6117.83</f>
        <v>6117.83</v>
      </c>
      <c r="F11" s="5">
        <f t="shared" si="0"/>
        <v>6117.83</v>
      </c>
      <c r="G11" t="s">
        <v>166</v>
      </c>
      <c r="I11" s="5">
        <f>6117.83</f>
        <v>6117.83</v>
      </c>
    </row>
    <row r="12" spans="1:9" x14ac:dyDescent="0.3">
      <c r="A12" s="3" t="s">
        <v>158</v>
      </c>
      <c r="B12" s="4"/>
      <c r="C12" s="5">
        <f>2149.93</f>
        <v>2149.9299999999998</v>
      </c>
      <c r="D12" s="5">
        <f>3420.18</f>
        <v>3420.18</v>
      </c>
      <c r="E12" s="5">
        <f>4747.74</f>
        <v>4747.74</v>
      </c>
      <c r="F12" s="5">
        <f t="shared" si="0"/>
        <v>10317.849999999999</v>
      </c>
      <c r="G12" t="s">
        <v>166</v>
      </c>
      <c r="I12" s="5">
        <f>4747.74</f>
        <v>4747.74</v>
      </c>
    </row>
    <row r="13" spans="1:9" x14ac:dyDescent="0.3">
      <c r="A13" s="3" t="s">
        <v>157</v>
      </c>
      <c r="B13" s="5">
        <f>4503.1</f>
        <v>4503.1000000000004</v>
      </c>
      <c r="C13" s="5">
        <f>6134.57</f>
        <v>6134.57</v>
      </c>
      <c r="D13" s="5">
        <f>4115.35</f>
        <v>4115.3500000000004</v>
      </c>
      <c r="E13" s="5">
        <f>4220.22</f>
        <v>4220.22</v>
      </c>
      <c r="F13" s="5">
        <f t="shared" si="0"/>
        <v>18973.240000000002</v>
      </c>
      <c r="G13" t="s">
        <v>166</v>
      </c>
      <c r="I13" s="5">
        <f>4220.22</f>
        <v>4220.22</v>
      </c>
    </row>
    <row r="14" spans="1:9" x14ac:dyDescent="0.3">
      <c r="A14" s="3" t="s">
        <v>156</v>
      </c>
      <c r="B14" s="5">
        <f>14460.73</f>
        <v>14460.73</v>
      </c>
      <c r="C14" s="5">
        <f>20472.44</f>
        <v>20472.439999999999</v>
      </c>
      <c r="D14" s="5">
        <f>14346.1</f>
        <v>14346.1</v>
      </c>
      <c r="E14" s="5">
        <f>12962.21</f>
        <v>12962.21</v>
      </c>
      <c r="F14" s="5">
        <f t="shared" si="0"/>
        <v>62241.479999999996</v>
      </c>
      <c r="G14" t="s">
        <v>166</v>
      </c>
      <c r="I14" s="5">
        <f>12962.21</f>
        <v>12962.21</v>
      </c>
    </row>
    <row r="15" spans="1:9" x14ac:dyDescent="0.3">
      <c r="A15" s="3" t="s">
        <v>155</v>
      </c>
      <c r="B15" s="4"/>
      <c r="C15" s="4"/>
      <c r="D15" s="5">
        <f>75914</f>
        <v>75914</v>
      </c>
      <c r="E15" s="5">
        <f>94748.89</f>
        <v>94748.89</v>
      </c>
      <c r="F15" s="5">
        <f t="shared" si="0"/>
        <v>170662.89</v>
      </c>
      <c r="G15" t="s">
        <v>166</v>
      </c>
      <c r="I15" s="5">
        <f>94748.89</f>
        <v>94748.89</v>
      </c>
    </row>
    <row r="16" spans="1:9" x14ac:dyDescent="0.3">
      <c r="A16" s="3" t="s">
        <v>154</v>
      </c>
      <c r="B16" s="7">
        <f>((((B11)+(B12))+(B13))+(B14))+(B15)</f>
        <v>18963.830000000002</v>
      </c>
      <c r="C16" s="7">
        <f>((((C11)+(C12))+(C13))+(C14))+(C15)</f>
        <v>28756.94</v>
      </c>
      <c r="D16" s="7">
        <f>((((D11)+(D12))+(D13))+(D14))+(D15)</f>
        <v>97795.63</v>
      </c>
      <c r="E16" s="7">
        <f>((((E11)+(E12))+(E13))+(E14))+(E15)</f>
        <v>122796.89</v>
      </c>
      <c r="F16" s="7">
        <f t="shared" si="0"/>
        <v>268313.29000000004</v>
      </c>
      <c r="G16">
        <f>_xlfn.XLOOKUP(A16,SFVKey!$A$5:$A$71,SFVKey!$B$5:$B$71,0)</f>
        <v>0</v>
      </c>
      <c r="I16" s="7">
        <f>((((I11)+(I12))+(I13))+(I14))+(I15)</f>
        <v>122796.89</v>
      </c>
    </row>
    <row r="17" spans="1:9" x14ac:dyDescent="0.3">
      <c r="A17" s="3" t="s">
        <v>153</v>
      </c>
      <c r="B17" s="4"/>
      <c r="C17" s="4"/>
      <c r="D17" s="4"/>
      <c r="E17" s="4"/>
      <c r="F17" s="5">
        <f t="shared" si="0"/>
        <v>0</v>
      </c>
      <c r="G17">
        <f>_xlfn.XLOOKUP(A17,SFVKey!$A$5:$A$71,SFVKey!$B$5:$B$71,0)</f>
        <v>0</v>
      </c>
      <c r="I17" s="4"/>
    </row>
    <row r="18" spans="1:9" x14ac:dyDescent="0.3">
      <c r="A18" s="3" t="s">
        <v>152</v>
      </c>
      <c r="B18" s="4"/>
      <c r="C18" s="5">
        <f>7899</f>
        <v>7899</v>
      </c>
      <c r="D18" s="5">
        <f>-7899</f>
        <v>-7899</v>
      </c>
      <c r="E18" s="4"/>
      <c r="F18" s="5">
        <f t="shared" si="0"/>
        <v>0</v>
      </c>
      <c r="G18" t="s">
        <v>167</v>
      </c>
      <c r="I18" s="4"/>
    </row>
    <row r="19" spans="1:9" x14ac:dyDescent="0.3">
      <c r="A19" s="3" t="s">
        <v>151</v>
      </c>
      <c r="B19" s="5">
        <f>411.25</f>
        <v>411.25</v>
      </c>
      <c r="C19" s="5">
        <f>2579.85</f>
        <v>2579.85</v>
      </c>
      <c r="D19" s="4"/>
      <c r="E19" s="4"/>
      <c r="F19" s="5">
        <f t="shared" si="0"/>
        <v>2991.1</v>
      </c>
      <c r="G19" t="s">
        <v>167</v>
      </c>
      <c r="I19" s="4"/>
    </row>
    <row r="20" spans="1:9" x14ac:dyDescent="0.3">
      <c r="A20" s="3" t="s">
        <v>150</v>
      </c>
      <c r="B20" s="4"/>
      <c r="C20" s="5">
        <f>549.15</f>
        <v>549.15</v>
      </c>
      <c r="D20" s="5">
        <f>615.5</f>
        <v>615.5</v>
      </c>
      <c r="E20" s="5">
        <f>1101.7</f>
        <v>1101.7</v>
      </c>
      <c r="F20" s="5">
        <f t="shared" si="0"/>
        <v>2266.3500000000004</v>
      </c>
      <c r="G20" t="s">
        <v>167</v>
      </c>
      <c r="I20" s="5">
        <f>1101.7</f>
        <v>1101.7</v>
      </c>
    </row>
    <row r="21" spans="1:9" x14ac:dyDescent="0.3">
      <c r="A21" s="3" t="s">
        <v>149</v>
      </c>
      <c r="B21" s="5">
        <f>-131615.79</f>
        <v>-131615.79</v>
      </c>
      <c r="C21" s="5">
        <f>-301254.61</f>
        <v>-301254.61</v>
      </c>
      <c r="D21" s="4"/>
      <c r="E21" s="4"/>
      <c r="F21" s="5">
        <f t="shared" si="0"/>
        <v>-432870.40000000002</v>
      </c>
      <c r="G21">
        <f>_xlfn.XLOOKUP(A21,SFVKey!$A$5:$A$71,SFVKey!$B$5:$B$71,0)</f>
        <v>0</v>
      </c>
      <c r="I21" s="4"/>
    </row>
    <row r="22" spans="1:9" x14ac:dyDescent="0.3">
      <c r="A22" s="3" t="s">
        <v>148</v>
      </c>
      <c r="B22" s="7">
        <f>((((B17)+(B18))+(B19))+(B20))+(B21)</f>
        <v>-131204.54</v>
      </c>
      <c r="C22" s="7">
        <f>((((C17)+(C18))+(C19))+(C20))+(C21)</f>
        <v>-290226.61</v>
      </c>
      <c r="D22" s="7">
        <f>((((D17)+(D18))+(D19))+(D20))+(D21)</f>
        <v>-7283.5</v>
      </c>
      <c r="E22" s="7">
        <f>((((E17)+(E18))+(E19))+(E20))+(E21)</f>
        <v>1101.7</v>
      </c>
      <c r="F22" s="7">
        <f t="shared" si="0"/>
        <v>-427612.95</v>
      </c>
      <c r="G22">
        <f>_xlfn.XLOOKUP(A22,SFVKey!$A$5:$A$71,SFVKey!$B$5:$B$71,0)</f>
        <v>0</v>
      </c>
      <c r="I22" s="7">
        <f>((((I17)+(I18))+(I19))+(I20))+(I21)</f>
        <v>1101.7</v>
      </c>
    </row>
    <row r="23" spans="1:9" x14ac:dyDescent="0.3">
      <c r="A23" s="3" t="s">
        <v>147</v>
      </c>
      <c r="B23" s="7">
        <f>(((B7)+(B10))+(B16))+(B22)</f>
        <v>-112240.71</v>
      </c>
      <c r="C23" s="7">
        <f>(((C7)+(C10))+(C16))+(C22)</f>
        <v>-261469.66999999998</v>
      </c>
      <c r="D23" s="7">
        <f>(((D7)+(D10))+(D16))+(D22)</f>
        <v>152524.47</v>
      </c>
      <c r="E23" s="7">
        <f>(((E7)+(E10))+(E16))+(E22)</f>
        <v>227573.15000000002</v>
      </c>
      <c r="F23" s="7">
        <f t="shared" si="0"/>
        <v>6387.2400000000198</v>
      </c>
      <c r="G23">
        <f>_xlfn.XLOOKUP(A23,SFVKey!$A$5:$A$71,SFVKey!$B$5:$B$71,0)</f>
        <v>0</v>
      </c>
      <c r="I23" s="7">
        <f>(((I7)+(I10))+(I16))+(I22)</f>
        <v>227573.15000000002</v>
      </c>
    </row>
    <row r="24" spans="1:9" x14ac:dyDescent="0.3">
      <c r="A24" s="3" t="s">
        <v>61</v>
      </c>
      <c r="B24" s="7">
        <f>B23</f>
        <v>-112240.71</v>
      </c>
      <c r="C24" s="7">
        <f>C23</f>
        <v>-261469.66999999998</v>
      </c>
      <c r="D24" s="7">
        <f>D23</f>
        <v>152524.47</v>
      </c>
      <c r="E24" s="7">
        <f>E23</f>
        <v>227573.15000000002</v>
      </c>
      <c r="F24" s="7">
        <f t="shared" si="0"/>
        <v>6387.2400000000198</v>
      </c>
      <c r="G24">
        <f>_xlfn.XLOOKUP(A24,SFVKey!$A$5:$A$71,SFVKey!$B$5:$B$71,0)</f>
        <v>0</v>
      </c>
      <c r="I24" s="7">
        <f>I23</f>
        <v>227573.15000000002</v>
      </c>
    </row>
    <row r="25" spans="1:9" x14ac:dyDescent="0.3">
      <c r="A25" s="3" t="s">
        <v>62</v>
      </c>
      <c r="B25" s="7">
        <f>(0)-(B24)</f>
        <v>112240.71</v>
      </c>
      <c r="C25" s="7">
        <f>(0)-(C24)</f>
        <v>261469.66999999998</v>
      </c>
      <c r="D25" s="7">
        <f>(0)-(D24)</f>
        <v>-152524.47</v>
      </c>
      <c r="E25" s="7">
        <f>(0)-(E24)</f>
        <v>-227573.15000000002</v>
      </c>
      <c r="F25" s="7">
        <f t="shared" si="0"/>
        <v>-6387.2400000000198</v>
      </c>
      <c r="G25">
        <f>_xlfn.XLOOKUP(A25,SFVKey!$A$5:$A$71,SFVKey!$B$5:$B$71,0)</f>
        <v>0</v>
      </c>
      <c r="I25" s="7">
        <f>(0)-(I24)</f>
        <v>-227573.15000000002</v>
      </c>
    </row>
    <row r="26" spans="1:9" x14ac:dyDescent="0.3">
      <c r="A26" s="3" t="s">
        <v>63</v>
      </c>
      <c r="B26" s="4"/>
      <c r="C26" s="4"/>
      <c r="D26" s="4"/>
      <c r="E26" s="4"/>
      <c r="F26" s="4"/>
      <c r="G26">
        <f>_xlfn.XLOOKUP(A26,SFVKey!$A$5:$A$71,SFVKey!$B$5:$B$71,0)</f>
        <v>0</v>
      </c>
      <c r="I26" s="4"/>
    </row>
    <row r="27" spans="1:9" x14ac:dyDescent="0.3">
      <c r="A27" s="3" t="s">
        <v>146</v>
      </c>
      <c r="B27" s="4"/>
      <c r="C27" s="4"/>
      <c r="D27" s="4"/>
      <c r="E27" s="4"/>
      <c r="F27" s="5">
        <f t="shared" ref="F27:F68" si="1">(((B27)+(C27))+(D27))+(E27)</f>
        <v>0</v>
      </c>
      <c r="G27">
        <f>_xlfn.XLOOKUP(A27,SFVKey!$A$5:$A$71,SFVKey!$B$5:$B$71,0)</f>
        <v>0</v>
      </c>
      <c r="I27" s="4"/>
    </row>
    <row r="28" spans="1:9" x14ac:dyDescent="0.3">
      <c r="A28" s="3" t="s">
        <v>145</v>
      </c>
      <c r="B28" s="4"/>
      <c r="C28" s="4"/>
      <c r="D28" s="4"/>
      <c r="E28" s="4"/>
      <c r="F28" s="5">
        <f t="shared" si="1"/>
        <v>0</v>
      </c>
      <c r="G28">
        <f>_xlfn.XLOOKUP(A28,SFVKey!$A$5:$A$71,SFVKey!$B$5:$B$71,0)</f>
        <v>0</v>
      </c>
      <c r="I28" s="4"/>
    </row>
    <row r="29" spans="1:9" x14ac:dyDescent="0.3">
      <c r="A29" s="3" t="s">
        <v>144</v>
      </c>
      <c r="B29" s="4"/>
      <c r="C29" s="4"/>
      <c r="D29" s="5">
        <f>18479.04</f>
        <v>18479.04</v>
      </c>
      <c r="E29" s="5">
        <f>33876.25</f>
        <v>33876.25</v>
      </c>
      <c r="F29" s="5">
        <f t="shared" si="1"/>
        <v>52355.29</v>
      </c>
      <c r="G29" t="s">
        <v>168</v>
      </c>
      <c r="I29" s="5">
        <f>33876.25</f>
        <v>33876.25</v>
      </c>
    </row>
    <row r="30" spans="1:9" x14ac:dyDescent="0.3">
      <c r="A30" s="3" t="s">
        <v>143</v>
      </c>
      <c r="B30" s="7">
        <f>(B28)+(B29)</f>
        <v>0</v>
      </c>
      <c r="C30" s="7">
        <f>(C28)+(C29)</f>
        <v>0</v>
      </c>
      <c r="D30" s="7">
        <f>(D28)+(D29)</f>
        <v>18479.04</v>
      </c>
      <c r="E30" s="7">
        <f>(E28)+(E29)</f>
        <v>33876.25</v>
      </c>
      <c r="F30" s="7">
        <f t="shared" si="1"/>
        <v>52355.29</v>
      </c>
      <c r="G30">
        <f>_xlfn.XLOOKUP(A30,SFVKey!$A$5:$A$71,SFVKey!$B$5:$B$71,0)</f>
        <v>0</v>
      </c>
      <c r="I30" s="7">
        <f>(I28)+(I29)</f>
        <v>33876.25</v>
      </c>
    </row>
    <row r="31" spans="1:9" x14ac:dyDescent="0.3">
      <c r="A31" s="3" t="s">
        <v>142</v>
      </c>
      <c r="B31" s="4"/>
      <c r="C31" s="4"/>
      <c r="D31" s="4"/>
      <c r="E31" s="4"/>
      <c r="F31" s="5">
        <f t="shared" si="1"/>
        <v>0</v>
      </c>
      <c r="G31">
        <f>_xlfn.XLOOKUP(A31,SFVKey!$A$5:$A$71,SFVKey!$B$5:$B$71,0)</f>
        <v>0</v>
      </c>
      <c r="I31" s="4"/>
    </row>
    <row r="32" spans="1:9" x14ac:dyDescent="0.3">
      <c r="A32" s="3" t="s">
        <v>141</v>
      </c>
      <c r="B32" s="5">
        <f>5085.81</f>
        <v>5085.8100000000004</v>
      </c>
      <c r="C32" s="5">
        <f>3714.62</f>
        <v>3714.62</v>
      </c>
      <c r="D32" s="5">
        <f>4728.02</f>
        <v>4728.0200000000004</v>
      </c>
      <c r="E32" s="5">
        <f>1552.45</f>
        <v>1552.45</v>
      </c>
      <c r="F32" s="5">
        <f t="shared" si="1"/>
        <v>15080.900000000001</v>
      </c>
      <c r="G32" t="s">
        <v>208</v>
      </c>
      <c r="I32" s="5">
        <f>1552.45</f>
        <v>1552.45</v>
      </c>
    </row>
    <row r="33" spans="1:9" x14ac:dyDescent="0.3">
      <c r="A33" s="3" t="s">
        <v>140</v>
      </c>
      <c r="B33" s="4"/>
      <c r="C33" s="5">
        <f>1073.25</f>
        <v>1073.25</v>
      </c>
      <c r="D33" s="5">
        <f>1134</f>
        <v>1134</v>
      </c>
      <c r="E33" s="5">
        <f>1150</f>
        <v>1150</v>
      </c>
      <c r="F33" s="5">
        <f t="shared" si="1"/>
        <v>3357.25</v>
      </c>
      <c r="G33" t="s">
        <v>208</v>
      </c>
      <c r="I33" s="5">
        <f>1150</f>
        <v>1150</v>
      </c>
    </row>
    <row r="34" spans="1:9" x14ac:dyDescent="0.3">
      <c r="A34" s="3" t="s">
        <v>139</v>
      </c>
      <c r="B34" s="4"/>
      <c r="C34" s="4"/>
      <c r="D34" s="5">
        <f>1641.23</f>
        <v>1641.23</v>
      </c>
      <c r="E34" s="5">
        <f>16101</f>
        <v>16101</v>
      </c>
      <c r="F34" s="5">
        <f t="shared" si="1"/>
        <v>17742.23</v>
      </c>
      <c r="G34" t="s">
        <v>212</v>
      </c>
      <c r="I34" s="5">
        <f>16101</f>
        <v>16101</v>
      </c>
    </row>
    <row r="35" spans="1:9" x14ac:dyDescent="0.3">
      <c r="A35" s="3" t="s">
        <v>138</v>
      </c>
      <c r="B35" s="7">
        <f>(((B31)+(B32))+(B33))+(B34)</f>
        <v>5085.8100000000004</v>
      </c>
      <c r="C35" s="7">
        <f>(((C31)+(C32))+(C33))+(C34)</f>
        <v>4787.87</v>
      </c>
      <c r="D35" s="7">
        <f>(((D31)+(D32))+(D33))+(D34)</f>
        <v>7503.25</v>
      </c>
      <c r="E35" s="7">
        <f>(((E31)+(E32))+(E33))+(E34)</f>
        <v>18803.45</v>
      </c>
      <c r="F35" s="7">
        <f t="shared" si="1"/>
        <v>36180.380000000005</v>
      </c>
      <c r="G35">
        <f>_xlfn.XLOOKUP(A35,SFVKey!$A$5:$A$71,SFVKey!$B$5:$B$71,0)</f>
        <v>0</v>
      </c>
      <c r="I35" s="7">
        <f>(((I31)+(I32))+(I33))+(I34)</f>
        <v>18803.45</v>
      </c>
    </row>
    <row r="36" spans="1:9" x14ac:dyDescent="0.3">
      <c r="A36" s="3" t="s">
        <v>137</v>
      </c>
      <c r="B36" s="4"/>
      <c r="C36" s="4"/>
      <c r="D36" s="4"/>
      <c r="E36" s="4"/>
      <c r="F36" s="5">
        <f t="shared" si="1"/>
        <v>0</v>
      </c>
      <c r="G36">
        <f>_xlfn.XLOOKUP(A36,SFVKey!$A$5:$A$71,SFVKey!$B$5:$B$71,0)</f>
        <v>0</v>
      </c>
      <c r="I36" s="4"/>
    </row>
    <row r="37" spans="1:9" x14ac:dyDescent="0.3">
      <c r="A37" s="3" t="s">
        <v>136</v>
      </c>
      <c r="B37" s="4"/>
      <c r="C37" s="4"/>
      <c r="D37" s="4"/>
      <c r="E37" s="4"/>
      <c r="F37" s="5">
        <f t="shared" si="1"/>
        <v>0</v>
      </c>
      <c r="G37">
        <f>_xlfn.XLOOKUP(A37,SFVKey!$A$5:$A$71,SFVKey!$B$5:$B$71,0)</f>
        <v>0</v>
      </c>
      <c r="I37" s="4"/>
    </row>
    <row r="38" spans="1:9" x14ac:dyDescent="0.3">
      <c r="A38" s="3" t="s">
        <v>135</v>
      </c>
      <c r="B38" s="5">
        <f>47690.83</f>
        <v>47690.83</v>
      </c>
      <c r="C38" s="5">
        <f>48342.04</f>
        <v>48342.04</v>
      </c>
      <c r="D38" s="5">
        <f>48166.27</f>
        <v>48166.27</v>
      </c>
      <c r="E38" s="5">
        <f>48166.27</f>
        <v>48166.27</v>
      </c>
      <c r="F38" s="5">
        <f t="shared" si="1"/>
        <v>192365.40999999997</v>
      </c>
      <c r="G38" t="s">
        <v>171</v>
      </c>
      <c r="I38" s="5">
        <f>48166.27</f>
        <v>48166.27</v>
      </c>
    </row>
    <row r="39" spans="1:9" x14ac:dyDescent="0.3">
      <c r="A39" s="3" t="s">
        <v>134</v>
      </c>
      <c r="B39" s="7">
        <f>(B37)+(B38)</f>
        <v>47690.83</v>
      </c>
      <c r="C39" s="7">
        <f>(C37)+(C38)</f>
        <v>48342.04</v>
      </c>
      <c r="D39" s="7">
        <f>(D37)+(D38)</f>
        <v>48166.27</v>
      </c>
      <c r="E39" s="7">
        <f>(E37)+(E38)</f>
        <v>48166.27</v>
      </c>
      <c r="F39" s="7">
        <f t="shared" si="1"/>
        <v>192365.40999999997</v>
      </c>
      <c r="G39">
        <f>_xlfn.XLOOKUP(A39,SFVKey!$A$5:$A$71,SFVKey!$B$5:$B$71,0)</f>
        <v>0</v>
      </c>
      <c r="I39" s="7">
        <f>(I37)+(I38)</f>
        <v>48166.27</v>
      </c>
    </row>
    <row r="40" spans="1:9" x14ac:dyDescent="0.3">
      <c r="A40" s="3" t="s">
        <v>133</v>
      </c>
      <c r="B40" s="5">
        <f>226.82</f>
        <v>226.82</v>
      </c>
      <c r="C40" s="5">
        <f>224.13</f>
        <v>224.13</v>
      </c>
      <c r="D40" s="5">
        <f>1059.24</f>
        <v>1059.24</v>
      </c>
      <c r="E40" s="5">
        <f>855.44</f>
        <v>855.44</v>
      </c>
      <c r="F40" s="5">
        <f t="shared" si="1"/>
        <v>2365.63</v>
      </c>
      <c r="G40" t="s">
        <v>172</v>
      </c>
      <c r="I40" s="5">
        <f>855.44</f>
        <v>855.44</v>
      </c>
    </row>
    <row r="41" spans="1:9" x14ac:dyDescent="0.3">
      <c r="A41" s="3" t="s">
        <v>132</v>
      </c>
      <c r="B41" s="5">
        <f>1009.7</f>
        <v>1009.7</v>
      </c>
      <c r="C41" s="5">
        <f>524.69</f>
        <v>524.69000000000005</v>
      </c>
      <c r="D41" s="5">
        <f>1894.31</f>
        <v>1894.31</v>
      </c>
      <c r="E41" s="5">
        <f>-560.17</f>
        <v>-560.16999999999996</v>
      </c>
      <c r="F41" s="5">
        <f t="shared" si="1"/>
        <v>2868.5299999999997</v>
      </c>
      <c r="G41" t="s">
        <v>172</v>
      </c>
      <c r="I41" s="5">
        <f>-560.17</f>
        <v>-560.16999999999996</v>
      </c>
    </row>
    <row r="42" spans="1:9" x14ac:dyDescent="0.3">
      <c r="A42" s="3" t="s">
        <v>131</v>
      </c>
      <c r="B42" s="4"/>
      <c r="C42" s="5">
        <f>2848.67</f>
        <v>2848.67</v>
      </c>
      <c r="D42" s="5">
        <f>2099.09</f>
        <v>2099.09</v>
      </c>
      <c r="E42" s="5">
        <f>2099.09</f>
        <v>2099.09</v>
      </c>
      <c r="F42" s="5">
        <f t="shared" si="1"/>
        <v>7046.85</v>
      </c>
      <c r="G42" t="s">
        <v>172</v>
      </c>
      <c r="I42" s="5">
        <f>2099.09</f>
        <v>2099.09</v>
      </c>
    </row>
    <row r="43" spans="1:9" x14ac:dyDescent="0.3">
      <c r="A43" s="3" t="s">
        <v>130</v>
      </c>
      <c r="B43" s="4"/>
      <c r="C43" s="5">
        <f>116</f>
        <v>116</v>
      </c>
      <c r="D43" s="5">
        <f>115.99</f>
        <v>115.99</v>
      </c>
      <c r="E43" s="5">
        <f>151.04</f>
        <v>151.04</v>
      </c>
      <c r="F43" s="5">
        <f t="shared" si="1"/>
        <v>383.03</v>
      </c>
      <c r="G43" t="s">
        <v>172</v>
      </c>
      <c r="I43" s="5">
        <f>151.04</f>
        <v>151.04</v>
      </c>
    </row>
    <row r="44" spans="1:9" x14ac:dyDescent="0.3">
      <c r="A44" s="3" t="s">
        <v>129</v>
      </c>
      <c r="B44" s="4"/>
      <c r="C44" s="5">
        <f>229.46</f>
        <v>229.46</v>
      </c>
      <c r="D44" s="4"/>
      <c r="E44" s="4"/>
      <c r="F44" s="5">
        <f t="shared" si="1"/>
        <v>229.46</v>
      </c>
      <c r="G44" t="s">
        <v>172</v>
      </c>
      <c r="I44" s="4"/>
    </row>
    <row r="45" spans="1:9" x14ac:dyDescent="0.3">
      <c r="A45" s="3" t="s">
        <v>128</v>
      </c>
      <c r="B45" s="4"/>
      <c r="C45" s="5">
        <f>960.67</f>
        <v>960.67</v>
      </c>
      <c r="D45" s="5">
        <f>2403.84</f>
        <v>2403.84</v>
      </c>
      <c r="E45" s="5">
        <f>677.11</f>
        <v>677.11</v>
      </c>
      <c r="F45" s="5">
        <f t="shared" si="1"/>
        <v>4041.6200000000003</v>
      </c>
      <c r="G45" t="s">
        <v>172</v>
      </c>
      <c r="I45" s="5">
        <f>677.11</f>
        <v>677.11</v>
      </c>
    </row>
    <row r="46" spans="1:9" x14ac:dyDescent="0.3">
      <c r="A46" s="3" t="s">
        <v>127</v>
      </c>
      <c r="B46" s="5">
        <f>25</f>
        <v>25</v>
      </c>
      <c r="C46" s="5">
        <f>1341.35</f>
        <v>1341.35</v>
      </c>
      <c r="D46" s="5">
        <f>13911.79</f>
        <v>13911.79</v>
      </c>
      <c r="E46" s="5">
        <f>1740.01</f>
        <v>1740.01</v>
      </c>
      <c r="F46" s="5">
        <f t="shared" si="1"/>
        <v>17018.150000000001</v>
      </c>
      <c r="G46" t="s">
        <v>172</v>
      </c>
      <c r="I46" s="5">
        <f>1740.01</f>
        <v>1740.01</v>
      </c>
    </row>
    <row r="47" spans="1:9" x14ac:dyDescent="0.3">
      <c r="A47" s="3" t="s">
        <v>126</v>
      </c>
      <c r="B47" s="4"/>
      <c r="C47" s="5">
        <f>1719.67</f>
        <v>1719.67</v>
      </c>
      <c r="D47" s="5">
        <f>3292.38</f>
        <v>3292.38</v>
      </c>
      <c r="E47" s="5">
        <f>1788.42</f>
        <v>1788.42</v>
      </c>
      <c r="F47" s="5">
        <f t="shared" si="1"/>
        <v>6800.47</v>
      </c>
      <c r="G47" t="s">
        <v>172</v>
      </c>
      <c r="I47" s="5">
        <f>1788.42</f>
        <v>1788.42</v>
      </c>
    </row>
    <row r="48" spans="1:9" x14ac:dyDescent="0.3">
      <c r="A48" s="3" t="s">
        <v>125</v>
      </c>
      <c r="B48" s="7">
        <f>(((((((((B36)+(B39))+(B40))+(B41))+(B42))+(B43))+(B44))+(B45))+(B46))+(B47)</f>
        <v>48952.35</v>
      </c>
      <c r="C48" s="7">
        <f>(((((((((C36)+(C39))+(C40))+(C41))+(C42))+(C43))+(C44))+(C45))+(C46))+(C47)</f>
        <v>56306.679999999993</v>
      </c>
      <c r="D48" s="7">
        <f>(((((((((D36)+(D39))+(D40))+(D41))+(D42))+(D43))+(D44))+(D45))+(D46))+(D47)</f>
        <v>72942.91</v>
      </c>
      <c r="E48" s="7">
        <f>(((((((((E36)+(E39))+(E40))+(E41))+(E42))+(E43))+(E44))+(E45))+(E46))+(E47)</f>
        <v>54917.210000000006</v>
      </c>
      <c r="F48" s="7">
        <f t="shared" si="1"/>
        <v>233119.15000000002</v>
      </c>
      <c r="G48">
        <f>_xlfn.XLOOKUP(A48,SFVKey!$A$5:$A$71,SFVKey!$B$5:$B$71,0)</f>
        <v>0</v>
      </c>
      <c r="I48" s="7">
        <f>(((((((((I36)+(I39))+(I40))+(I41))+(I42))+(I43))+(I44))+(I45))+(I46))+(I47)</f>
        <v>54917.210000000006</v>
      </c>
    </row>
    <row r="49" spans="1:9" x14ac:dyDescent="0.3">
      <c r="A49" s="3" t="s">
        <v>124</v>
      </c>
      <c r="B49" s="4"/>
      <c r="C49" s="4"/>
      <c r="D49" s="4"/>
      <c r="E49" s="4"/>
      <c r="F49" s="5">
        <f t="shared" si="1"/>
        <v>0</v>
      </c>
      <c r="G49">
        <f>_xlfn.XLOOKUP(A49,SFVKey!$A$5:$A$71,SFVKey!$B$5:$B$71,0)</f>
        <v>0</v>
      </c>
      <c r="I49" s="4"/>
    </row>
    <row r="50" spans="1:9" x14ac:dyDescent="0.3">
      <c r="A50" s="3" t="s">
        <v>123</v>
      </c>
      <c r="B50" s="4"/>
      <c r="C50" s="4"/>
      <c r="D50" s="5">
        <f>422.12</f>
        <v>422.12</v>
      </c>
      <c r="E50" s="4"/>
      <c r="F50" s="5">
        <f t="shared" si="1"/>
        <v>422.12</v>
      </c>
      <c r="G50" t="s">
        <v>173</v>
      </c>
      <c r="I50" s="4"/>
    </row>
    <row r="51" spans="1:9" x14ac:dyDescent="0.3">
      <c r="A51" s="3" t="s">
        <v>122</v>
      </c>
      <c r="B51" s="4"/>
      <c r="C51" s="4"/>
      <c r="D51" s="5">
        <f>424.2</f>
        <v>424.2</v>
      </c>
      <c r="E51" s="4"/>
      <c r="F51" s="5">
        <f t="shared" si="1"/>
        <v>424.2</v>
      </c>
      <c r="G51" t="s">
        <v>173</v>
      </c>
      <c r="I51" s="4"/>
    </row>
    <row r="52" spans="1:9" x14ac:dyDescent="0.3">
      <c r="A52" s="3" t="s">
        <v>121</v>
      </c>
      <c r="B52" s="4"/>
      <c r="C52" s="4"/>
      <c r="D52" s="5">
        <f>13.97</f>
        <v>13.97</v>
      </c>
      <c r="E52" s="4"/>
      <c r="F52" s="5">
        <f t="shared" si="1"/>
        <v>13.97</v>
      </c>
      <c r="G52" t="s">
        <v>173</v>
      </c>
      <c r="I52" s="4"/>
    </row>
    <row r="53" spans="1:9" x14ac:dyDescent="0.3">
      <c r="A53" s="3" t="s">
        <v>120</v>
      </c>
      <c r="B53" s="4"/>
      <c r="C53" s="4"/>
      <c r="D53" s="5">
        <f>2056.02</f>
        <v>2056.02</v>
      </c>
      <c r="E53" s="4"/>
      <c r="F53" s="5">
        <f t="shared" si="1"/>
        <v>2056.02</v>
      </c>
      <c r="G53" t="s">
        <v>173</v>
      </c>
      <c r="I53" s="4"/>
    </row>
    <row r="54" spans="1:9" x14ac:dyDescent="0.3">
      <c r="A54" s="3" t="s">
        <v>119</v>
      </c>
      <c r="B54" s="7">
        <f>((((B49)+(B50))+(B51))+(B52))+(B53)</f>
        <v>0</v>
      </c>
      <c r="C54" s="7">
        <f>((((C49)+(C50))+(C51))+(C52))+(C53)</f>
        <v>0</v>
      </c>
      <c r="D54" s="7">
        <f>((((D49)+(D50))+(D51))+(D52))+(D53)</f>
        <v>2916.31</v>
      </c>
      <c r="E54" s="7">
        <f>((((E49)+(E50))+(E51))+(E52))+(E53)</f>
        <v>0</v>
      </c>
      <c r="F54" s="7">
        <f t="shared" si="1"/>
        <v>2916.31</v>
      </c>
      <c r="G54">
        <f>_xlfn.XLOOKUP(A54,SFVKey!$A$5:$A$71,SFVKey!$B$5:$B$71,0)</f>
        <v>0</v>
      </c>
      <c r="I54" s="7">
        <f>((((I49)+(I50))+(I51))+(I52))+(I53)</f>
        <v>0</v>
      </c>
    </row>
    <row r="55" spans="1:9" x14ac:dyDescent="0.3">
      <c r="A55" s="3" t="s">
        <v>118</v>
      </c>
      <c r="B55" s="4"/>
      <c r="C55" s="4"/>
      <c r="D55" s="4"/>
      <c r="E55" s="4"/>
      <c r="F55" s="5">
        <f t="shared" si="1"/>
        <v>0</v>
      </c>
      <c r="G55">
        <f>_xlfn.XLOOKUP(A55,SFVKey!$A$5:$A$71,SFVKey!$B$5:$B$71,0)</f>
        <v>0</v>
      </c>
      <c r="I55" s="4"/>
    </row>
    <row r="56" spans="1:9" x14ac:dyDescent="0.3">
      <c r="A56" s="3" t="s">
        <v>117</v>
      </c>
      <c r="B56" s="4"/>
      <c r="C56" s="4"/>
      <c r="D56" s="5">
        <f>1575.57</f>
        <v>1575.57</v>
      </c>
      <c r="E56" s="5">
        <f>446.25</f>
        <v>446.25</v>
      </c>
      <c r="F56" s="5">
        <f t="shared" si="1"/>
        <v>2021.82</v>
      </c>
      <c r="G56" t="s">
        <v>174</v>
      </c>
      <c r="I56" s="5">
        <f>446.25</f>
        <v>446.25</v>
      </c>
    </row>
    <row r="57" spans="1:9" x14ac:dyDescent="0.3">
      <c r="A57" s="3" t="s">
        <v>116</v>
      </c>
      <c r="B57" s="4"/>
      <c r="C57" s="5">
        <f>113.53</f>
        <v>113.53</v>
      </c>
      <c r="D57" s="5">
        <f>110.4</f>
        <v>110.4</v>
      </c>
      <c r="E57" s="5">
        <f>110</f>
        <v>110</v>
      </c>
      <c r="F57" s="5">
        <f t="shared" si="1"/>
        <v>333.93</v>
      </c>
      <c r="G57" t="s">
        <v>174</v>
      </c>
      <c r="I57" s="5">
        <f>110</f>
        <v>110</v>
      </c>
    </row>
    <row r="58" spans="1:9" x14ac:dyDescent="0.3">
      <c r="A58" s="3" t="s">
        <v>115</v>
      </c>
      <c r="B58" s="7">
        <f>((B55)+(B56))+(B57)</f>
        <v>0</v>
      </c>
      <c r="C58" s="7">
        <f>((C55)+(C56))+(C57)</f>
        <v>113.53</v>
      </c>
      <c r="D58" s="7">
        <f>((D55)+(D56))+(D57)</f>
        <v>1685.97</v>
      </c>
      <c r="E58" s="7">
        <f>((E55)+(E56))+(E57)</f>
        <v>556.25</v>
      </c>
      <c r="F58" s="7">
        <f t="shared" si="1"/>
        <v>2355.75</v>
      </c>
      <c r="G58">
        <f>_xlfn.XLOOKUP(A58,SFVKey!$A$5:$A$71,SFVKey!$B$5:$B$71,0)</f>
        <v>0</v>
      </c>
      <c r="I58" s="7">
        <f>((I55)+(I56))+(I57)</f>
        <v>556.25</v>
      </c>
    </row>
    <row r="59" spans="1:9" x14ac:dyDescent="0.3">
      <c r="A59" s="3" t="s">
        <v>114</v>
      </c>
      <c r="B59" s="4"/>
      <c r="C59" s="4"/>
      <c r="D59" s="4"/>
      <c r="E59" s="4"/>
      <c r="F59" s="5">
        <f t="shared" si="1"/>
        <v>0</v>
      </c>
      <c r="G59">
        <f>_xlfn.XLOOKUP(A59,SFVKey!$A$5:$A$71,SFVKey!$B$5:$B$71,0)</f>
        <v>0</v>
      </c>
      <c r="I59" s="4"/>
    </row>
    <row r="60" spans="1:9" x14ac:dyDescent="0.3">
      <c r="A60" s="3" t="s">
        <v>113</v>
      </c>
      <c r="B60" s="5">
        <f>37.5</f>
        <v>37.5</v>
      </c>
      <c r="C60" s="5">
        <f>45</f>
        <v>45</v>
      </c>
      <c r="D60" s="5">
        <f>407.16</f>
        <v>407.16</v>
      </c>
      <c r="E60" s="5">
        <f>127.5</f>
        <v>127.5</v>
      </c>
      <c r="F60" s="5">
        <f t="shared" si="1"/>
        <v>617.16000000000008</v>
      </c>
      <c r="G60" t="s">
        <v>175</v>
      </c>
      <c r="I60" s="5">
        <f>127.5</f>
        <v>127.5</v>
      </c>
    </row>
    <row r="61" spans="1:9" x14ac:dyDescent="0.3">
      <c r="A61" s="3" t="s">
        <v>112</v>
      </c>
      <c r="B61" s="4"/>
      <c r="C61" s="4"/>
      <c r="D61" s="5">
        <f>240</f>
        <v>240</v>
      </c>
      <c r="E61" s="4"/>
      <c r="F61" s="5">
        <f t="shared" si="1"/>
        <v>240</v>
      </c>
      <c r="G61" t="s">
        <v>175</v>
      </c>
      <c r="I61" s="4"/>
    </row>
    <row r="62" spans="1:9" x14ac:dyDescent="0.3">
      <c r="A62" s="3" t="s">
        <v>111</v>
      </c>
      <c r="B62" s="4"/>
      <c r="C62" s="4"/>
      <c r="D62" s="4"/>
      <c r="E62" s="5">
        <f>302.4</f>
        <v>302.39999999999998</v>
      </c>
      <c r="F62" s="5">
        <f t="shared" si="1"/>
        <v>302.39999999999998</v>
      </c>
      <c r="G62" t="s">
        <v>175</v>
      </c>
      <c r="I62" s="5">
        <f>302.4</f>
        <v>302.39999999999998</v>
      </c>
    </row>
    <row r="63" spans="1:9" x14ac:dyDescent="0.3">
      <c r="A63" s="3" t="s">
        <v>110</v>
      </c>
      <c r="B63" s="7">
        <f>(((B59)+(B60))+(B61))+(B62)</f>
        <v>37.5</v>
      </c>
      <c r="C63" s="7">
        <f>(((C59)+(C60))+(C61))+(C62)</f>
        <v>45</v>
      </c>
      <c r="D63" s="7">
        <f>(((D59)+(D60))+(D61))+(D62)</f>
        <v>647.16000000000008</v>
      </c>
      <c r="E63" s="7">
        <f>(((E59)+(E60))+(E61))+(E62)</f>
        <v>429.9</v>
      </c>
      <c r="F63" s="7">
        <f t="shared" si="1"/>
        <v>1159.56</v>
      </c>
      <c r="G63">
        <f>_xlfn.XLOOKUP(A63,SFVKey!$A$5:$A$71,SFVKey!$B$5:$B$71,0)</f>
        <v>0</v>
      </c>
      <c r="I63" s="7">
        <f>(((I59)+(I60))+(I61))+(I62)</f>
        <v>429.9</v>
      </c>
    </row>
    <row r="64" spans="1:9" x14ac:dyDescent="0.3">
      <c r="A64" s="3" t="s">
        <v>109</v>
      </c>
      <c r="B64" s="7">
        <f>((((((B27)+(B30))+(B35))+(B48))+(B54))+(B58))+(B63)</f>
        <v>54075.659999999996</v>
      </c>
      <c r="C64" s="7">
        <f>((((((C27)+(C30))+(C35))+(C48))+(C54))+(C58))+(C63)</f>
        <v>61253.079999999994</v>
      </c>
      <c r="D64" s="7">
        <f>((((((D27)+(D30))+(D35))+(D48))+(D54))+(D58))+(D63)</f>
        <v>104174.64000000001</v>
      </c>
      <c r="E64" s="7">
        <f>((((((E27)+(E30))+(E35))+(E48))+(E54))+(E58))+(E63)</f>
        <v>108583.06</v>
      </c>
      <c r="F64" s="7">
        <f t="shared" si="1"/>
        <v>328086.44</v>
      </c>
      <c r="G64">
        <f>_xlfn.XLOOKUP(A64,SFVKey!$A$5:$A$71,SFVKey!$B$5:$B$71,0)</f>
        <v>0</v>
      </c>
      <c r="I64" s="7">
        <f>((((((I27)+(I30))+(I35))+(I48))+(I54))+(I58))+(I63)</f>
        <v>108583.06</v>
      </c>
    </row>
    <row r="65" spans="1:9" x14ac:dyDescent="0.3">
      <c r="A65" s="3" t="s">
        <v>108</v>
      </c>
      <c r="B65" s="4"/>
      <c r="C65" s="4"/>
      <c r="D65" s="5">
        <f>357.53</f>
        <v>357.53</v>
      </c>
      <c r="E65" s="5">
        <f>571.83</f>
        <v>571.83000000000004</v>
      </c>
      <c r="F65" s="5">
        <f t="shared" si="1"/>
        <v>929.36</v>
      </c>
      <c r="G65" t="s">
        <v>175</v>
      </c>
      <c r="I65" s="5">
        <f>571.83</f>
        <v>571.83000000000004</v>
      </c>
    </row>
    <row r="66" spans="1:9" x14ac:dyDescent="0.3">
      <c r="A66" s="3" t="s">
        <v>107</v>
      </c>
      <c r="B66" s="4"/>
      <c r="C66" s="5">
        <f>6096.39</f>
        <v>6096.39</v>
      </c>
      <c r="D66" s="5">
        <f>4013.15</f>
        <v>4013.15</v>
      </c>
      <c r="E66" s="5">
        <f>4172.84</f>
        <v>4172.84</v>
      </c>
      <c r="F66" s="5">
        <f t="shared" si="1"/>
        <v>14282.380000000001</v>
      </c>
      <c r="G66" t="s">
        <v>175</v>
      </c>
      <c r="I66" s="5">
        <f>4172.84</f>
        <v>4172.84</v>
      </c>
    </row>
    <row r="67" spans="1:9" x14ac:dyDescent="0.3">
      <c r="A67" s="3" t="s">
        <v>106</v>
      </c>
      <c r="B67" s="4"/>
      <c r="C67" s="4"/>
      <c r="D67" s="5">
        <f>637.36</f>
        <v>637.36</v>
      </c>
      <c r="E67" s="5">
        <f>600</f>
        <v>600</v>
      </c>
      <c r="F67" s="5">
        <f t="shared" si="1"/>
        <v>1237.3600000000001</v>
      </c>
      <c r="G67" t="s">
        <v>175</v>
      </c>
      <c r="I67" s="5">
        <f>600</f>
        <v>600</v>
      </c>
    </row>
    <row r="68" spans="1:9" x14ac:dyDescent="0.3">
      <c r="A68" s="3" t="s">
        <v>89</v>
      </c>
      <c r="B68" s="7">
        <f>(((B64)+(B65))+(B66))+(B67)</f>
        <v>54075.659999999996</v>
      </c>
      <c r="C68" s="7">
        <f>(((C64)+(C65))+(C66))+(C67)</f>
        <v>67349.47</v>
      </c>
      <c r="D68" s="7">
        <f>(((D64)+(D65))+(D66))+(D67)</f>
        <v>109182.68000000001</v>
      </c>
      <c r="E68" s="7">
        <f>(((E64)+(E65))+(E66))+(E67)</f>
        <v>113927.73</v>
      </c>
      <c r="F68" s="7">
        <f t="shared" si="1"/>
        <v>344535.54</v>
      </c>
      <c r="G68">
        <f>_xlfn.XLOOKUP(A68,SFVKey!$A$5:$A$71,SFVKey!$B$5:$B$71,0)</f>
        <v>0</v>
      </c>
      <c r="I68" s="7">
        <f>(((I64)+(I65))+(I66))+(I67)</f>
        <v>113927.73</v>
      </c>
    </row>
    <row r="69" spans="1:9" x14ac:dyDescent="0.3">
      <c r="A69" s="3" t="s">
        <v>90</v>
      </c>
      <c r="B69" s="4"/>
      <c r="C69" s="4"/>
      <c r="D69" s="4"/>
      <c r="E69" s="4"/>
      <c r="F69" s="4"/>
      <c r="G69">
        <f>_xlfn.XLOOKUP(A69,SFVKey!$A$5:$A$71,SFVKey!$B$5:$B$71,0)</f>
        <v>0</v>
      </c>
      <c r="I69" s="4"/>
    </row>
    <row r="70" spans="1:9" x14ac:dyDescent="0.3">
      <c r="A70" s="3" t="s">
        <v>105</v>
      </c>
      <c r="B70" s="4"/>
      <c r="C70" s="4"/>
      <c r="D70" s="4"/>
      <c r="E70" s="4"/>
      <c r="F70" s="5">
        <f t="shared" ref="F70:F77" si="2">(((B70)+(C70))+(D70))+(E70)</f>
        <v>0</v>
      </c>
      <c r="G70">
        <f>_xlfn.XLOOKUP(A70,SFVKey!$A$5:$A$71,SFVKey!$B$5:$B$71,0)</f>
        <v>0</v>
      </c>
      <c r="I70" s="4"/>
    </row>
    <row r="71" spans="1:9" x14ac:dyDescent="0.3">
      <c r="A71" s="3" t="s">
        <v>104</v>
      </c>
      <c r="B71" s="12">
        <f>10928.25</f>
        <v>10928.25</v>
      </c>
      <c r="C71" s="12">
        <f>10928.25</f>
        <v>10928.25</v>
      </c>
      <c r="D71" s="12">
        <f>10999.57</f>
        <v>10999.57</v>
      </c>
      <c r="E71" s="12">
        <f>10999.57</f>
        <v>10999.57</v>
      </c>
      <c r="F71" s="12">
        <f t="shared" si="2"/>
        <v>43855.64</v>
      </c>
      <c r="G71" t="str">
        <f>_xlfn.XLOOKUP(A71,SFVKey!$A$5:$A$71,SFVKey!$B$5:$B$71,0)</f>
        <v>General &amp; administrative</v>
      </c>
      <c r="I71" s="5">
        <f>10999.57</f>
        <v>10999.57</v>
      </c>
    </row>
    <row r="72" spans="1:9" x14ac:dyDescent="0.3">
      <c r="A72" s="3" t="s">
        <v>103</v>
      </c>
      <c r="B72" s="12">
        <f>1297.55</f>
        <v>1297.55</v>
      </c>
      <c r="C72" s="12">
        <f>1297.55</f>
        <v>1297.55</v>
      </c>
      <c r="D72" s="12">
        <f>1297.55</f>
        <v>1297.55</v>
      </c>
      <c r="E72" s="12">
        <f>1297.55</f>
        <v>1297.55</v>
      </c>
      <c r="F72" s="12">
        <f t="shared" si="2"/>
        <v>5190.2</v>
      </c>
      <c r="G72" t="str">
        <f>_xlfn.XLOOKUP(A72,SFVKey!$A$5:$A$71,SFVKey!$B$5:$B$71,0)</f>
        <v>General &amp; administrative</v>
      </c>
      <c r="I72" s="5">
        <f>1297.55</f>
        <v>1297.55</v>
      </c>
    </row>
    <row r="73" spans="1:9" x14ac:dyDescent="0.3">
      <c r="A73" s="3" t="s">
        <v>102</v>
      </c>
      <c r="B73" s="4"/>
      <c r="C73" s="4"/>
      <c r="D73" s="5">
        <f>888.94</f>
        <v>888.94</v>
      </c>
      <c r="E73" s="5">
        <f>900</f>
        <v>900</v>
      </c>
      <c r="F73" s="5">
        <f t="shared" si="2"/>
        <v>1788.94</v>
      </c>
      <c r="G73" t="str">
        <f>_xlfn.XLOOKUP(A73,SFVKey!$A$5:$A$71,SFVKey!$B$5:$B$71,0)</f>
        <v>General &amp; administrative</v>
      </c>
      <c r="I73" s="5">
        <f>900</f>
        <v>900</v>
      </c>
    </row>
    <row r="74" spans="1:9" x14ac:dyDescent="0.3">
      <c r="A74" s="3" t="s">
        <v>101</v>
      </c>
      <c r="B74" s="7">
        <f>(((B70)+(B71))+(B72))+(B73)</f>
        <v>12225.8</v>
      </c>
      <c r="C74" s="7">
        <f>(((C70)+(C71))+(C72))+(C73)</f>
        <v>12225.8</v>
      </c>
      <c r="D74" s="7">
        <f>(((D70)+(D71))+(D72))+(D73)</f>
        <v>13186.06</v>
      </c>
      <c r="E74" s="7">
        <f>(((E70)+(E71))+(E72))+(E73)</f>
        <v>13197.119999999999</v>
      </c>
      <c r="F74" s="7">
        <f t="shared" si="2"/>
        <v>50834.78</v>
      </c>
      <c r="G74">
        <f>_xlfn.XLOOKUP(A74,SFVKey!$A$5:$A$71,SFVKey!$B$5:$B$71,0)</f>
        <v>0</v>
      </c>
      <c r="I74" s="7">
        <f>(((I70)+(I71))+(I72))+(I73)</f>
        <v>13197.119999999999</v>
      </c>
    </row>
    <row r="75" spans="1:9" x14ac:dyDescent="0.3">
      <c r="A75" s="3" t="s">
        <v>100</v>
      </c>
      <c r="B75" s="4"/>
      <c r="C75" s="4"/>
      <c r="D75" s="5">
        <f>-8.34</f>
        <v>-8.34</v>
      </c>
      <c r="E75" s="4"/>
      <c r="F75" s="5">
        <f t="shared" si="2"/>
        <v>-8.34</v>
      </c>
      <c r="G75" t="str">
        <f>_xlfn.XLOOKUP(A75,SFVKey!$A$5:$A$71,SFVKey!$B$5:$B$71,0)</f>
        <v>General &amp; administrative</v>
      </c>
      <c r="I75" s="4"/>
    </row>
    <row r="76" spans="1:9" x14ac:dyDescent="0.3">
      <c r="A76" s="3" t="s">
        <v>93</v>
      </c>
      <c r="B76" s="7">
        <f>(B74)+(B75)</f>
        <v>12225.8</v>
      </c>
      <c r="C76" s="7">
        <f>(C74)+(C75)</f>
        <v>12225.8</v>
      </c>
      <c r="D76" s="7">
        <f>(D74)+(D75)</f>
        <v>13177.72</v>
      </c>
      <c r="E76" s="7">
        <f>(E74)+(E75)</f>
        <v>13197.119999999999</v>
      </c>
      <c r="F76" s="7">
        <f t="shared" si="2"/>
        <v>50826.44</v>
      </c>
      <c r="G76">
        <v>0</v>
      </c>
      <c r="I76" s="7">
        <f>(I74)+(I75)</f>
        <v>13197.119999999999</v>
      </c>
    </row>
    <row r="77" spans="1:9" x14ac:dyDescent="0.3">
      <c r="A77" s="3" t="s">
        <v>94</v>
      </c>
      <c r="B77" s="7">
        <f>(((B25)-(B68))+(0))-(B76)</f>
        <v>45939.250000000015</v>
      </c>
      <c r="C77" s="7">
        <f>(((C25)-(C68))+(0))-(C76)</f>
        <v>181894.39999999999</v>
      </c>
      <c r="D77" s="7">
        <f>(((D25)-(D68))+(0))-(D76)</f>
        <v>-274884.87</v>
      </c>
      <c r="E77" s="7">
        <f>(((E25)-(E68))+(0))-(E76)</f>
        <v>-354698</v>
      </c>
      <c r="F77" s="7">
        <f t="shared" si="2"/>
        <v>-401749.22</v>
      </c>
      <c r="G77">
        <f>_xlfn.XLOOKUP(A77,SFVKey!$A$5:$A$71,SFVKey!$B$5:$B$71,0)</f>
        <v>0</v>
      </c>
    </row>
    <row r="78" spans="1:9" x14ac:dyDescent="0.3">
      <c r="A78" s="3"/>
      <c r="B78" s="4"/>
      <c r="C78" s="4"/>
      <c r="D78" s="4"/>
      <c r="E78" s="4"/>
      <c r="F78" s="4"/>
    </row>
    <row r="79" spans="1:9" x14ac:dyDescent="0.3">
      <c r="A79" s="3" t="s">
        <v>216</v>
      </c>
      <c r="B79" s="10">
        <f>B71+B72</f>
        <v>12225.8</v>
      </c>
      <c r="C79" s="10">
        <f t="shared" ref="C79:F79" si="3">C71+C72</f>
        <v>12225.8</v>
      </c>
      <c r="D79" s="10">
        <f t="shared" si="3"/>
        <v>12297.119999999999</v>
      </c>
      <c r="E79" s="10">
        <f t="shared" si="3"/>
        <v>12297.119999999999</v>
      </c>
      <c r="F79" s="10">
        <f t="shared" si="3"/>
        <v>49045.84</v>
      </c>
    </row>
    <row r="80" spans="1:9" x14ac:dyDescent="0.3">
      <c r="A80" s="3"/>
      <c r="B80" s="10">
        <f>Genesis!B92</f>
        <v>1532.88</v>
      </c>
      <c r="C80" s="10">
        <f>Genesis!C92</f>
        <v>1532.88</v>
      </c>
      <c r="D80" s="10">
        <f>Genesis!D92</f>
        <v>1461.56</v>
      </c>
      <c r="E80" s="10">
        <f>Genesis!E92</f>
        <v>1496.96</v>
      </c>
      <c r="F80" s="10">
        <f>Genesis!F92</f>
        <v>6024.28</v>
      </c>
    </row>
    <row r="81" spans="1:6" x14ac:dyDescent="0.3">
      <c r="A81" s="3" t="s">
        <v>4</v>
      </c>
      <c r="B81" s="10">
        <f>B79+B80</f>
        <v>13758.68</v>
      </c>
      <c r="C81" s="10">
        <f t="shared" ref="C81:F81" si="4">C79+C80</f>
        <v>13758.68</v>
      </c>
      <c r="D81" s="10">
        <f t="shared" si="4"/>
        <v>13758.679999999998</v>
      </c>
      <c r="E81" s="10">
        <f t="shared" si="4"/>
        <v>13794.079999999998</v>
      </c>
      <c r="F81" s="10">
        <f t="shared" si="4"/>
        <v>55070.119999999995</v>
      </c>
    </row>
    <row r="82" spans="1:6" x14ac:dyDescent="0.3">
      <c r="A82" s="3"/>
    </row>
    <row r="83" spans="1:6" x14ac:dyDescent="0.3">
      <c r="A83" s="3"/>
    </row>
    <row r="84" spans="1:6" x14ac:dyDescent="0.3">
      <c r="A84" s="3"/>
    </row>
    <row r="85" spans="1:6" x14ac:dyDescent="0.3">
      <c r="A85" s="3"/>
    </row>
    <row r="86" spans="1:6" x14ac:dyDescent="0.3">
      <c r="A86" s="3"/>
    </row>
    <row r="87" spans="1:6" x14ac:dyDescent="0.3">
      <c r="A87" s="3"/>
    </row>
    <row r="88" spans="1:6" x14ac:dyDescent="0.3">
      <c r="A88" s="3"/>
    </row>
    <row r="89" spans="1:6" x14ac:dyDescent="0.3">
      <c r="A89" s="3"/>
    </row>
    <row r="90" spans="1:6" x14ac:dyDescent="0.3">
      <c r="A90" s="44" t="s">
        <v>99</v>
      </c>
      <c r="B90" s="45"/>
      <c r="C90" s="45"/>
      <c r="D90" s="45"/>
      <c r="E90" s="45"/>
      <c r="F90" s="45"/>
    </row>
  </sheetData>
  <mergeCells count="4">
    <mergeCell ref="A90:F90"/>
    <mergeCell ref="A1:F1"/>
    <mergeCell ref="A2:F2"/>
    <mergeCell ref="A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58E7-0C36-4F48-AFE1-DBD852CD5E7C}">
  <dimension ref="A1:B76"/>
  <sheetViews>
    <sheetView topLeftCell="A37" workbookViewId="0">
      <selection activeCell="D21" sqref="D21"/>
    </sheetView>
  </sheetViews>
  <sheetFormatPr defaultRowHeight="14.4" x14ac:dyDescent="0.3"/>
  <cols>
    <col min="1" max="1" width="40.44140625" customWidth="1"/>
    <col min="2" max="2" width="17.88671875" customWidth="1"/>
  </cols>
  <sheetData>
    <row r="1" spans="1:2" x14ac:dyDescent="0.3">
      <c r="A1" s="1"/>
    </row>
    <row r="2" spans="1:2" x14ac:dyDescent="0.3">
      <c r="A2" s="3" t="s">
        <v>48</v>
      </c>
    </row>
    <row r="3" spans="1:2" x14ac:dyDescent="0.3">
      <c r="A3" s="3" t="s">
        <v>163</v>
      </c>
    </row>
    <row r="4" spans="1:2" x14ac:dyDescent="0.3">
      <c r="A4" s="3" t="s">
        <v>162</v>
      </c>
    </row>
    <row r="5" spans="1:2" x14ac:dyDescent="0.3">
      <c r="A5" s="3" t="s">
        <v>161</v>
      </c>
      <c r="B5" t="s">
        <v>165</v>
      </c>
    </row>
    <row r="6" spans="1:2" x14ac:dyDescent="0.3">
      <c r="A6" s="3" t="s">
        <v>160</v>
      </c>
    </row>
    <row r="7" spans="1:2" x14ac:dyDescent="0.3">
      <c r="A7" s="3" t="s">
        <v>159</v>
      </c>
    </row>
    <row r="8" spans="1:2" x14ac:dyDescent="0.3">
      <c r="A8" s="3" t="s">
        <v>158</v>
      </c>
      <c r="B8" t="s">
        <v>166</v>
      </c>
    </row>
    <row r="9" spans="1:2" x14ac:dyDescent="0.3">
      <c r="A9" s="3" t="s">
        <v>157</v>
      </c>
      <c r="B9" t="s">
        <v>166</v>
      </c>
    </row>
    <row r="10" spans="1:2" x14ac:dyDescent="0.3">
      <c r="A10" s="3" t="s">
        <v>156</v>
      </c>
      <c r="B10" t="s">
        <v>166</v>
      </c>
    </row>
    <row r="11" spans="1:2" x14ac:dyDescent="0.3">
      <c r="A11" s="3" t="s">
        <v>155</v>
      </c>
      <c r="B11" t="s">
        <v>166</v>
      </c>
    </row>
    <row r="12" spans="1:2" x14ac:dyDescent="0.3">
      <c r="A12" s="3" t="s">
        <v>154</v>
      </c>
    </row>
    <row r="13" spans="1:2" x14ac:dyDescent="0.3">
      <c r="A13" s="3" t="s">
        <v>153</v>
      </c>
    </row>
    <row r="14" spans="1:2" x14ac:dyDescent="0.3">
      <c r="A14" s="3" t="s">
        <v>152</v>
      </c>
      <c r="B14" t="s">
        <v>167</v>
      </c>
    </row>
    <row r="15" spans="1:2" x14ac:dyDescent="0.3">
      <c r="A15" s="3" t="s">
        <v>151</v>
      </c>
      <c r="B15" t="s">
        <v>167</v>
      </c>
    </row>
    <row r="16" spans="1:2" x14ac:dyDescent="0.3">
      <c r="A16" s="3" t="s">
        <v>150</v>
      </c>
      <c r="B16" t="s">
        <v>167</v>
      </c>
    </row>
    <row r="17" spans="1:2" x14ac:dyDescent="0.3">
      <c r="A17" s="3" t="s">
        <v>149</v>
      </c>
    </row>
    <row r="18" spans="1:2" x14ac:dyDescent="0.3">
      <c r="A18" s="3" t="s">
        <v>148</v>
      </c>
    </row>
    <row r="19" spans="1:2" x14ac:dyDescent="0.3">
      <c r="A19" s="3" t="s">
        <v>147</v>
      </c>
    </row>
    <row r="20" spans="1:2" x14ac:dyDescent="0.3">
      <c r="A20" s="3" t="s">
        <v>61</v>
      </c>
    </row>
    <row r="21" spans="1:2" x14ac:dyDescent="0.3">
      <c r="A21" s="3" t="s">
        <v>62</v>
      </c>
    </row>
    <row r="22" spans="1:2" x14ac:dyDescent="0.3">
      <c r="A22" s="3" t="s">
        <v>63</v>
      </c>
    </row>
    <row r="23" spans="1:2" x14ac:dyDescent="0.3">
      <c r="A23" s="3" t="s">
        <v>146</v>
      </c>
    </row>
    <row r="24" spans="1:2" x14ac:dyDescent="0.3">
      <c r="A24" s="3" t="s">
        <v>145</v>
      </c>
    </row>
    <row r="25" spans="1:2" x14ac:dyDescent="0.3">
      <c r="A25" s="3" t="s">
        <v>144</v>
      </c>
      <c r="B25" t="s">
        <v>168</v>
      </c>
    </row>
    <row r="26" spans="1:2" x14ac:dyDescent="0.3">
      <c r="A26" s="3" t="s">
        <v>143</v>
      </c>
    </row>
    <row r="27" spans="1:2" x14ac:dyDescent="0.3">
      <c r="A27" s="3" t="s">
        <v>142</v>
      </c>
    </row>
    <row r="28" spans="1:2" x14ac:dyDescent="0.3">
      <c r="A28" s="3" t="s">
        <v>141</v>
      </c>
      <c r="B28" t="s">
        <v>169</v>
      </c>
    </row>
    <row r="29" spans="1:2" x14ac:dyDescent="0.3">
      <c r="A29" s="3" t="s">
        <v>140</v>
      </c>
      <c r="B29" t="s">
        <v>169</v>
      </c>
    </row>
    <row r="30" spans="1:2" x14ac:dyDescent="0.3">
      <c r="A30" s="3" t="s">
        <v>139</v>
      </c>
      <c r="B30" t="s">
        <v>170</v>
      </c>
    </row>
    <row r="31" spans="1:2" x14ac:dyDescent="0.3">
      <c r="A31" s="3" t="s">
        <v>138</v>
      </c>
    </row>
    <row r="32" spans="1:2" x14ac:dyDescent="0.3">
      <c r="A32" s="3" t="s">
        <v>137</v>
      </c>
    </row>
    <row r="33" spans="1:2" x14ac:dyDescent="0.3">
      <c r="A33" s="3" t="s">
        <v>136</v>
      </c>
    </row>
    <row r="34" spans="1:2" x14ac:dyDescent="0.3">
      <c r="A34" s="3" t="s">
        <v>135</v>
      </c>
      <c r="B34" t="s">
        <v>171</v>
      </c>
    </row>
    <row r="35" spans="1:2" x14ac:dyDescent="0.3">
      <c r="A35" s="3" t="s">
        <v>134</v>
      </c>
    </row>
    <row r="36" spans="1:2" x14ac:dyDescent="0.3">
      <c r="A36" s="3" t="s">
        <v>133</v>
      </c>
      <c r="B36" t="s">
        <v>172</v>
      </c>
    </row>
    <row r="37" spans="1:2" x14ac:dyDescent="0.3">
      <c r="A37" s="3" t="s">
        <v>132</v>
      </c>
      <c r="B37" t="s">
        <v>172</v>
      </c>
    </row>
    <row r="38" spans="1:2" x14ac:dyDescent="0.3">
      <c r="A38" s="3" t="s">
        <v>131</v>
      </c>
      <c r="B38" t="s">
        <v>172</v>
      </c>
    </row>
    <row r="39" spans="1:2" x14ac:dyDescent="0.3">
      <c r="A39" s="3" t="s">
        <v>130</v>
      </c>
      <c r="B39" t="s">
        <v>172</v>
      </c>
    </row>
    <row r="40" spans="1:2" x14ac:dyDescent="0.3">
      <c r="A40" s="3" t="s">
        <v>129</v>
      </c>
      <c r="B40" t="s">
        <v>172</v>
      </c>
    </row>
    <row r="41" spans="1:2" x14ac:dyDescent="0.3">
      <c r="A41" s="3" t="s">
        <v>128</v>
      </c>
      <c r="B41" t="s">
        <v>172</v>
      </c>
    </row>
    <row r="42" spans="1:2" x14ac:dyDescent="0.3">
      <c r="A42" s="3" t="s">
        <v>127</v>
      </c>
      <c r="B42" t="s">
        <v>172</v>
      </c>
    </row>
    <row r="43" spans="1:2" x14ac:dyDescent="0.3">
      <c r="A43" s="3" t="s">
        <v>126</v>
      </c>
      <c r="B43" t="s">
        <v>172</v>
      </c>
    </row>
    <row r="44" spans="1:2" x14ac:dyDescent="0.3">
      <c r="A44" s="3" t="s">
        <v>125</v>
      </c>
    </row>
    <row r="45" spans="1:2" x14ac:dyDescent="0.3">
      <c r="A45" s="3" t="s">
        <v>124</v>
      </c>
    </row>
    <row r="46" spans="1:2" x14ac:dyDescent="0.3">
      <c r="A46" s="3" t="s">
        <v>123</v>
      </c>
      <c r="B46" t="s">
        <v>173</v>
      </c>
    </row>
    <row r="47" spans="1:2" x14ac:dyDescent="0.3">
      <c r="A47" s="3" t="s">
        <v>122</v>
      </c>
      <c r="B47" t="s">
        <v>173</v>
      </c>
    </row>
    <row r="48" spans="1:2" x14ac:dyDescent="0.3">
      <c r="A48" s="3" t="s">
        <v>121</v>
      </c>
      <c r="B48" t="s">
        <v>173</v>
      </c>
    </row>
    <row r="49" spans="1:2" x14ac:dyDescent="0.3">
      <c r="A49" s="3" t="s">
        <v>120</v>
      </c>
      <c r="B49" t="s">
        <v>173</v>
      </c>
    </row>
    <row r="50" spans="1:2" x14ac:dyDescent="0.3">
      <c r="A50" s="3" t="s">
        <v>119</v>
      </c>
    </row>
    <row r="51" spans="1:2" x14ac:dyDescent="0.3">
      <c r="A51" s="3" t="s">
        <v>118</v>
      </c>
    </row>
    <row r="52" spans="1:2" x14ac:dyDescent="0.3">
      <c r="A52" s="3" t="s">
        <v>117</v>
      </c>
      <c r="B52" t="s">
        <v>174</v>
      </c>
    </row>
    <row r="53" spans="1:2" x14ac:dyDescent="0.3">
      <c r="A53" s="3" t="s">
        <v>116</v>
      </c>
      <c r="B53" t="s">
        <v>174</v>
      </c>
    </row>
    <row r="54" spans="1:2" x14ac:dyDescent="0.3">
      <c r="A54" s="3" t="s">
        <v>115</v>
      </c>
    </row>
    <row r="55" spans="1:2" x14ac:dyDescent="0.3">
      <c r="A55" s="3" t="s">
        <v>114</v>
      </c>
    </row>
    <row r="56" spans="1:2" x14ac:dyDescent="0.3">
      <c r="A56" s="3" t="s">
        <v>113</v>
      </c>
      <c r="B56" t="s">
        <v>175</v>
      </c>
    </row>
    <row r="57" spans="1:2" x14ac:dyDescent="0.3">
      <c r="A57" s="3" t="s">
        <v>112</v>
      </c>
      <c r="B57" t="s">
        <v>175</v>
      </c>
    </row>
    <row r="58" spans="1:2" x14ac:dyDescent="0.3">
      <c r="A58" s="3" t="s">
        <v>110</v>
      </c>
    </row>
    <row r="59" spans="1:2" x14ac:dyDescent="0.3">
      <c r="A59" s="3" t="s">
        <v>109</v>
      </c>
    </row>
    <row r="60" spans="1:2" x14ac:dyDescent="0.3">
      <c r="A60" s="3" t="s">
        <v>108</v>
      </c>
      <c r="B60" t="s">
        <v>175</v>
      </c>
    </row>
    <row r="61" spans="1:2" x14ac:dyDescent="0.3">
      <c r="A61" s="3" t="s">
        <v>107</v>
      </c>
      <c r="B61" t="s">
        <v>175</v>
      </c>
    </row>
    <row r="62" spans="1:2" x14ac:dyDescent="0.3">
      <c r="A62" s="3" t="s">
        <v>106</v>
      </c>
      <c r="B62" t="s">
        <v>175</v>
      </c>
    </row>
    <row r="63" spans="1:2" x14ac:dyDescent="0.3">
      <c r="A63" s="3" t="s">
        <v>89</v>
      </c>
    </row>
    <row r="64" spans="1:2" x14ac:dyDescent="0.3">
      <c r="A64" s="3" t="s">
        <v>90</v>
      </c>
    </row>
    <row r="65" spans="1:2" x14ac:dyDescent="0.3">
      <c r="A65" s="3" t="s">
        <v>105</v>
      </c>
    </row>
    <row r="66" spans="1:2" x14ac:dyDescent="0.3">
      <c r="A66" s="3" t="s">
        <v>104</v>
      </c>
      <c r="B66" t="s">
        <v>175</v>
      </c>
    </row>
    <row r="67" spans="1:2" x14ac:dyDescent="0.3">
      <c r="A67" s="3" t="s">
        <v>103</v>
      </c>
      <c r="B67" t="s">
        <v>175</v>
      </c>
    </row>
    <row r="68" spans="1:2" x14ac:dyDescent="0.3">
      <c r="A68" s="3" t="s">
        <v>102</v>
      </c>
      <c r="B68" t="s">
        <v>175</v>
      </c>
    </row>
    <row r="69" spans="1:2" x14ac:dyDescent="0.3">
      <c r="A69" s="3" t="s">
        <v>101</v>
      </c>
    </row>
    <row r="70" spans="1:2" x14ac:dyDescent="0.3">
      <c r="A70" s="3" t="s">
        <v>100</v>
      </c>
      <c r="B70" t="s">
        <v>175</v>
      </c>
    </row>
    <row r="71" spans="1:2" x14ac:dyDescent="0.3">
      <c r="A71" s="3" t="s">
        <v>93</v>
      </c>
      <c r="B71" t="s">
        <v>175</v>
      </c>
    </row>
    <row r="72" spans="1:2" x14ac:dyDescent="0.3">
      <c r="A72" s="3" t="s">
        <v>94</v>
      </c>
      <c r="B72" t="s">
        <v>175</v>
      </c>
    </row>
    <row r="73" spans="1:2" x14ac:dyDescent="0.3">
      <c r="A73" s="3"/>
    </row>
    <row r="76" spans="1:2" x14ac:dyDescent="0.3">
      <c r="A76" s="8" t="s">
        <v>176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7C77F-2623-4CAE-A4A5-8CFE12E6B3B9}">
  <dimension ref="A1:D102"/>
  <sheetViews>
    <sheetView topLeftCell="A54" workbookViewId="0">
      <selection activeCell="C15" sqref="C15"/>
    </sheetView>
  </sheetViews>
  <sheetFormatPr defaultRowHeight="14.4" x14ac:dyDescent="0.3"/>
  <cols>
    <col min="1" max="1" width="49" customWidth="1"/>
    <col min="2" max="2" width="28.21875" customWidth="1"/>
    <col min="3" max="3" width="10" bestFit="1" customWidth="1"/>
  </cols>
  <sheetData>
    <row r="1" spans="1:3" x14ac:dyDescent="0.3">
      <c r="A1" s="3" t="s">
        <v>5</v>
      </c>
    </row>
    <row r="2" spans="1:3" x14ac:dyDescent="0.3">
      <c r="A2" s="3" t="s">
        <v>6</v>
      </c>
      <c r="B2" t="s">
        <v>177</v>
      </c>
    </row>
    <row r="3" spans="1:3" x14ac:dyDescent="0.3">
      <c r="A3" s="3" t="s">
        <v>7</v>
      </c>
      <c r="B3" t="s">
        <v>177</v>
      </c>
    </row>
    <row r="4" spans="1:3" x14ac:dyDescent="0.3">
      <c r="A4" s="3" t="s">
        <v>8</v>
      </c>
      <c r="B4" t="s">
        <v>177</v>
      </c>
    </row>
    <row r="5" spans="1:3" x14ac:dyDescent="0.3">
      <c r="A5" s="3" t="s">
        <v>9</v>
      </c>
      <c r="B5" t="s">
        <v>177</v>
      </c>
    </row>
    <row r="6" spans="1:3" x14ac:dyDescent="0.3">
      <c r="A6" s="3" t="s">
        <v>10</v>
      </c>
      <c r="B6" t="s">
        <v>177</v>
      </c>
    </row>
    <row r="7" spans="1:3" x14ac:dyDescent="0.3">
      <c r="A7" s="3" t="s">
        <v>11</v>
      </c>
      <c r="B7" t="s">
        <v>177</v>
      </c>
    </row>
    <row r="8" spans="1:3" x14ac:dyDescent="0.3">
      <c r="A8" s="3" t="s">
        <v>12</v>
      </c>
      <c r="B8" t="s">
        <v>177</v>
      </c>
    </row>
    <row r="9" spans="1:3" x14ac:dyDescent="0.3">
      <c r="A9" s="3" t="s">
        <v>13</v>
      </c>
      <c r="B9" t="s">
        <v>177</v>
      </c>
    </row>
    <row r="10" spans="1:3" x14ac:dyDescent="0.3">
      <c r="A10" s="3" t="s">
        <v>14</v>
      </c>
      <c r="B10" t="s">
        <v>177</v>
      </c>
    </row>
    <row r="11" spans="1:3" x14ac:dyDescent="0.3">
      <c r="A11" s="3" t="s">
        <v>15</v>
      </c>
      <c r="B11" t="s">
        <v>177</v>
      </c>
    </row>
    <row r="12" spans="1:3" x14ac:dyDescent="0.3">
      <c r="A12" s="3" t="s">
        <v>16</v>
      </c>
      <c r="B12" t="s">
        <v>177</v>
      </c>
    </row>
    <row r="13" spans="1:3" x14ac:dyDescent="0.3">
      <c r="A13" s="3" t="s">
        <v>17</v>
      </c>
      <c r="B13" t="s">
        <v>177</v>
      </c>
    </row>
    <row r="14" spans="1:3" x14ac:dyDescent="0.3">
      <c r="A14" s="3" t="s">
        <v>18</v>
      </c>
      <c r="B14" t="s">
        <v>178</v>
      </c>
    </row>
    <row r="15" spans="1:3" x14ac:dyDescent="0.3">
      <c r="A15" s="3" t="s">
        <v>19</v>
      </c>
      <c r="B15" t="s">
        <v>178</v>
      </c>
      <c r="C15" s="9"/>
    </row>
    <row r="16" spans="1:3" x14ac:dyDescent="0.3">
      <c r="A16" s="3" t="s">
        <v>20</v>
      </c>
      <c r="B16" t="s">
        <v>178</v>
      </c>
    </row>
    <row r="17" spans="1:2" x14ac:dyDescent="0.3">
      <c r="A17" s="3" t="s">
        <v>21</v>
      </c>
      <c r="B17" t="s">
        <v>177</v>
      </c>
    </row>
    <row r="18" spans="1:2" x14ac:dyDescent="0.3">
      <c r="A18" s="3" t="s">
        <v>22</v>
      </c>
      <c r="B18" t="s">
        <v>177</v>
      </c>
    </row>
    <row r="19" spans="1:2" x14ac:dyDescent="0.3">
      <c r="A19" s="3" t="s">
        <v>23</v>
      </c>
      <c r="B19" t="s">
        <v>177</v>
      </c>
    </row>
    <row r="20" spans="1:2" x14ac:dyDescent="0.3">
      <c r="A20" s="3" t="s">
        <v>24</v>
      </c>
      <c r="B20" t="s">
        <v>177</v>
      </c>
    </row>
    <row r="21" spans="1:2" x14ac:dyDescent="0.3">
      <c r="A21" s="3" t="s">
        <v>25</v>
      </c>
      <c r="B21" t="s">
        <v>178</v>
      </c>
    </row>
    <row r="22" spans="1:2" x14ac:dyDescent="0.3">
      <c r="A22" s="3" t="s">
        <v>26</v>
      </c>
      <c r="B22" t="s">
        <v>179</v>
      </c>
    </row>
    <row r="23" spans="1:2" x14ac:dyDescent="0.3">
      <c r="A23" s="3" t="s">
        <v>27</v>
      </c>
      <c r="B23" t="s">
        <v>179</v>
      </c>
    </row>
    <row r="24" spans="1:2" x14ac:dyDescent="0.3">
      <c r="A24" s="3" t="s">
        <v>29</v>
      </c>
      <c r="B24" t="s">
        <v>179</v>
      </c>
    </row>
    <row r="25" spans="1:2" x14ac:dyDescent="0.3">
      <c r="A25" s="3" t="s">
        <v>30</v>
      </c>
      <c r="B25" t="s">
        <v>179</v>
      </c>
    </row>
    <row r="26" spans="1:2" x14ac:dyDescent="0.3">
      <c r="A26" s="3" t="s">
        <v>31</v>
      </c>
      <c r="B26" t="s">
        <v>179</v>
      </c>
    </row>
    <row r="27" spans="1:2" x14ac:dyDescent="0.3">
      <c r="A27" s="3" t="s">
        <v>32</v>
      </c>
      <c r="B27" t="s">
        <v>179</v>
      </c>
    </row>
    <row r="28" spans="1:2" x14ac:dyDescent="0.3">
      <c r="A28" s="3" t="s">
        <v>33</v>
      </c>
      <c r="B28" t="s">
        <v>179</v>
      </c>
    </row>
    <row r="29" spans="1:2" x14ac:dyDescent="0.3">
      <c r="A29" s="3" t="s">
        <v>34</v>
      </c>
      <c r="B29" t="s">
        <v>179</v>
      </c>
    </row>
    <row r="30" spans="1:2" x14ac:dyDescent="0.3">
      <c r="A30" s="3" t="s">
        <v>35</v>
      </c>
      <c r="B30" t="s">
        <v>179</v>
      </c>
    </row>
    <row r="31" spans="1:2" x14ac:dyDescent="0.3">
      <c r="A31" s="3" t="s">
        <v>36</v>
      </c>
      <c r="B31" t="s">
        <v>179</v>
      </c>
    </row>
    <row r="32" spans="1:2" x14ac:dyDescent="0.3">
      <c r="A32" s="3" t="s">
        <v>37</v>
      </c>
      <c r="B32" t="s">
        <v>179</v>
      </c>
    </row>
    <row r="33" spans="1:3" x14ac:dyDescent="0.3">
      <c r="A33" s="3" t="s">
        <v>38</v>
      </c>
      <c r="B33" t="s">
        <v>180</v>
      </c>
    </row>
    <row r="34" spans="1:3" x14ac:dyDescent="0.3">
      <c r="A34" s="3" t="s">
        <v>39</v>
      </c>
      <c r="B34" t="s">
        <v>180</v>
      </c>
    </row>
    <row r="35" spans="1:3" x14ac:dyDescent="0.3">
      <c r="A35" s="3" t="s">
        <v>40</v>
      </c>
      <c r="B35" t="s">
        <v>180</v>
      </c>
    </row>
    <row r="36" spans="1:3" x14ac:dyDescent="0.3">
      <c r="A36" s="3" t="s">
        <v>41</v>
      </c>
      <c r="B36" t="s">
        <v>180</v>
      </c>
    </row>
    <row r="37" spans="1:3" x14ac:dyDescent="0.3">
      <c r="A37" s="3" t="s">
        <v>42</v>
      </c>
      <c r="B37" t="s">
        <v>180</v>
      </c>
    </row>
    <row r="38" spans="1:3" x14ac:dyDescent="0.3">
      <c r="A38" s="3" t="s">
        <v>43</v>
      </c>
      <c r="B38" t="s">
        <v>180</v>
      </c>
    </row>
    <row r="39" spans="1:3" x14ac:dyDescent="0.3">
      <c r="A39" s="3" t="s">
        <v>44</v>
      </c>
      <c r="B39" t="s">
        <v>180</v>
      </c>
    </row>
    <row r="40" spans="1:3" x14ac:dyDescent="0.3">
      <c r="A40" s="3" t="s">
        <v>45</v>
      </c>
      <c r="B40" t="s">
        <v>181</v>
      </c>
    </row>
    <row r="41" spans="1:3" x14ac:dyDescent="0.3">
      <c r="A41" s="3" t="s">
        <v>46</v>
      </c>
      <c r="B41" t="s">
        <v>180</v>
      </c>
    </row>
    <row r="42" spans="1:3" x14ac:dyDescent="0.3">
      <c r="A42" s="3" t="s">
        <v>47</v>
      </c>
    </row>
    <row r="43" spans="1:3" x14ac:dyDescent="0.3">
      <c r="A43" s="3" t="s">
        <v>48</v>
      </c>
    </row>
    <row r="44" spans="1:3" x14ac:dyDescent="0.3">
      <c r="A44" s="3" t="s">
        <v>49</v>
      </c>
      <c r="B44" t="s">
        <v>165</v>
      </c>
    </row>
    <row r="45" spans="1:3" x14ac:dyDescent="0.3">
      <c r="A45" s="3" t="s">
        <v>50</v>
      </c>
      <c r="B45" t="s">
        <v>166</v>
      </c>
      <c r="C45" s="9" t="e">
        <f>#REF!+#REF!+#REF!</f>
        <v>#REF!</v>
      </c>
    </row>
    <row r="46" spans="1:3" x14ac:dyDescent="0.3">
      <c r="A46" s="3" t="s">
        <v>51</v>
      </c>
      <c r="B46" t="s">
        <v>166</v>
      </c>
      <c r="C46">
        <f>[1]SFV!D9</f>
        <v>62012.34</v>
      </c>
    </row>
    <row r="47" spans="1:3" x14ac:dyDescent="0.3">
      <c r="A47" s="3" t="s">
        <v>52</v>
      </c>
      <c r="B47" t="s">
        <v>166</v>
      </c>
      <c r="C47" s="9" t="e">
        <f>SUM(C45:C46)</f>
        <v>#REF!</v>
      </c>
    </row>
    <row r="48" spans="1:3" x14ac:dyDescent="0.3">
      <c r="A48" s="3" t="s">
        <v>53</v>
      </c>
      <c r="B48" t="s">
        <v>166</v>
      </c>
    </row>
    <row r="49" spans="1:4" x14ac:dyDescent="0.3">
      <c r="A49" s="3" t="s">
        <v>54</v>
      </c>
      <c r="B49" t="s">
        <v>166</v>
      </c>
    </row>
    <row r="50" spans="1:4" x14ac:dyDescent="0.3">
      <c r="A50" s="3" t="s">
        <v>55</v>
      </c>
      <c r="B50" t="s">
        <v>165</v>
      </c>
    </row>
    <row r="51" spans="1:4" x14ac:dyDescent="0.3">
      <c r="A51" s="3" t="s">
        <v>56</v>
      </c>
      <c r="B51" t="s">
        <v>166</v>
      </c>
    </row>
    <row r="52" spans="1:4" x14ac:dyDescent="0.3">
      <c r="A52" s="3" t="s">
        <v>57</v>
      </c>
      <c r="B52" t="s">
        <v>166</v>
      </c>
    </row>
    <row r="53" spans="1:4" x14ac:dyDescent="0.3">
      <c r="A53" s="3" t="s">
        <v>58</v>
      </c>
      <c r="B53" t="s">
        <v>166</v>
      </c>
    </row>
    <row r="54" spans="1:4" x14ac:dyDescent="0.3">
      <c r="A54" s="3" t="s">
        <v>59</v>
      </c>
      <c r="B54" t="s">
        <v>165</v>
      </c>
    </row>
    <row r="55" spans="1:4" x14ac:dyDescent="0.3">
      <c r="A55" s="3" t="s">
        <v>60</v>
      </c>
      <c r="B55" t="s">
        <v>169</v>
      </c>
    </row>
    <row r="56" spans="1:4" x14ac:dyDescent="0.3">
      <c r="A56" s="3" t="s">
        <v>61</v>
      </c>
    </row>
    <row r="57" spans="1:4" x14ac:dyDescent="0.3">
      <c r="A57" s="3" t="s">
        <v>62</v>
      </c>
    </row>
    <row r="58" spans="1:4" x14ac:dyDescent="0.3">
      <c r="A58" s="3" t="s">
        <v>63</v>
      </c>
      <c r="D58">
        <f>'[2]Genesis (Not Cons)'!$C$19-[1]SFV!C35</f>
        <v>179.15999999999985</v>
      </c>
    </row>
    <row r="59" spans="1:4" x14ac:dyDescent="0.3">
      <c r="A59" s="3" t="s">
        <v>64</v>
      </c>
      <c r="B59" t="s">
        <v>175</v>
      </c>
    </row>
    <row r="60" spans="1:4" x14ac:dyDescent="0.3">
      <c r="A60" s="3" t="s">
        <v>65</v>
      </c>
      <c r="B60" t="s">
        <v>175</v>
      </c>
    </row>
    <row r="61" spans="1:4" x14ac:dyDescent="0.3">
      <c r="A61" s="3" t="s">
        <v>66</v>
      </c>
      <c r="B61" t="s">
        <v>175</v>
      </c>
    </row>
    <row r="62" spans="1:4" x14ac:dyDescent="0.3">
      <c r="A62" s="3" t="s">
        <v>67</v>
      </c>
      <c r="B62" t="s">
        <v>174</v>
      </c>
    </row>
    <row r="63" spans="1:4" x14ac:dyDescent="0.3">
      <c r="A63" s="3" t="s">
        <v>68</v>
      </c>
      <c r="B63" t="s">
        <v>174</v>
      </c>
    </row>
    <row r="64" spans="1:4" x14ac:dyDescent="0.3">
      <c r="A64" s="3" t="s">
        <v>69</v>
      </c>
      <c r="B64" t="s">
        <v>175</v>
      </c>
    </row>
    <row r="65" spans="1:4" x14ac:dyDescent="0.3">
      <c r="A65" s="3" t="s">
        <v>70</v>
      </c>
      <c r="B65" t="s">
        <v>182</v>
      </c>
      <c r="D65" s="9" t="e">
        <f>#REF!+#REF!+[1]SFV!D29</f>
        <v>#REF!</v>
      </c>
    </row>
    <row r="66" spans="1:4" x14ac:dyDescent="0.3">
      <c r="A66" s="3" t="s">
        <v>71</v>
      </c>
      <c r="B66" t="s">
        <v>170</v>
      </c>
    </row>
    <row r="67" spans="1:4" x14ac:dyDescent="0.3">
      <c r="A67" s="3" t="s">
        <v>72</v>
      </c>
      <c r="B67" t="s">
        <v>170</v>
      </c>
    </row>
    <row r="68" spans="1:4" x14ac:dyDescent="0.3">
      <c r="A68" s="3" t="s">
        <v>73</v>
      </c>
    </row>
    <row r="69" spans="1:4" x14ac:dyDescent="0.3">
      <c r="A69" s="3" t="s">
        <v>74</v>
      </c>
      <c r="B69" t="s">
        <v>175</v>
      </c>
    </row>
    <row r="70" spans="1:4" x14ac:dyDescent="0.3">
      <c r="A70" s="3" t="s">
        <v>75</v>
      </c>
      <c r="B70" t="s">
        <v>175</v>
      </c>
    </row>
    <row r="71" spans="1:4" x14ac:dyDescent="0.3">
      <c r="A71" s="3" t="s">
        <v>76</v>
      </c>
      <c r="B71" t="s">
        <v>175</v>
      </c>
    </row>
    <row r="72" spans="1:4" x14ac:dyDescent="0.3">
      <c r="A72" s="3" t="s">
        <v>77</v>
      </c>
      <c r="B72" t="s">
        <v>175</v>
      </c>
    </row>
    <row r="73" spans="1:4" x14ac:dyDescent="0.3">
      <c r="A73" s="3" t="s">
        <v>78</v>
      </c>
      <c r="B73" t="s">
        <v>175</v>
      </c>
    </row>
    <row r="74" spans="1:4" x14ac:dyDescent="0.3">
      <c r="A74" s="3" t="s">
        <v>79</v>
      </c>
      <c r="B74" t="s">
        <v>168</v>
      </c>
    </row>
    <row r="75" spans="1:4" x14ac:dyDescent="0.3">
      <c r="A75" s="3" t="s">
        <v>80</v>
      </c>
      <c r="B75" t="s">
        <v>168</v>
      </c>
    </row>
    <row r="76" spans="1:4" x14ac:dyDescent="0.3">
      <c r="A76" s="3" t="s">
        <v>81</v>
      </c>
      <c r="B76" t="s">
        <v>175</v>
      </c>
    </row>
    <row r="77" spans="1:4" x14ac:dyDescent="0.3">
      <c r="A77" s="3" t="s">
        <v>82</v>
      </c>
      <c r="B77" t="s">
        <v>175</v>
      </c>
    </row>
    <row r="78" spans="1:4" x14ac:dyDescent="0.3">
      <c r="A78" s="3" t="s">
        <v>83</v>
      </c>
      <c r="B78" t="s">
        <v>175</v>
      </c>
    </row>
    <row r="79" spans="1:4" x14ac:dyDescent="0.3">
      <c r="A79" s="3" t="s">
        <v>84</v>
      </c>
      <c r="B79" t="s">
        <v>175</v>
      </c>
    </row>
    <row r="80" spans="1:4" x14ac:dyDescent="0.3">
      <c r="A80" s="3" t="s">
        <v>85</v>
      </c>
      <c r="B80" t="s">
        <v>175</v>
      </c>
      <c r="C80" s="9" t="e">
        <f>#REF!+#REF!</f>
        <v>#REF!</v>
      </c>
    </row>
    <row r="81" spans="1:4" x14ac:dyDescent="0.3">
      <c r="A81" s="3" t="s">
        <v>86</v>
      </c>
      <c r="B81" t="s">
        <v>175</v>
      </c>
    </row>
    <row r="82" spans="1:4" x14ac:dyDescent="0.3">
      <c r="A82" s="3" t="s">
        <v>87</v>
      </c>
      <c r="B82" t="s">
        <v>175</v>
      </c>
      <c r="D82" s="9" t="e">
        <f>#REF!+#REF!</f>
        <v>#REF!</v>
      </c>
    </row>
    <row r="83" spans="1:4" x14ac:dyDescent="0.3">
      <c r="A83" s="3" t="s">
        <v>88</v>
      </c>
      <c r="B83" t="s">
        <v>175</v>
      </c>
    </row>
    <row r="84" spans="1:4" x14ac:dyDescent="0.3">
      <c r="A84" s="3" t="s">
        <v>89</v>
      </c>
    </row>
    <row r="85" spans="1:4" x14ac:dyDescent="0.3">
      <c r="A85" s="3" t="s">
        <v>90</v>
      </c>
    </row>
    <row r="86" spans="1:4" x14ac:dyDescent="0.3">
      <c r="A86" s="3" t="s">
        <v>91</v>
      </c>
      <c r="B86" t="s">
        <v>175</v>
      </c>
    </row>
    <row r="87" spans="1:4" x14ac:dyDescent="0.3">
      <c r="A87" s="3" t="s">
        <v>92</v>
      </c>
      <c r="B87" t="s">
        <v>175</v>
      </c>
    </row>
    <row r="88" spans="1:4" x14ac:dyDescent="0.3">
      <c r="A88" s="3" t="s">
        <v>93</v>
      </c>
    </row>
    <row r="89" spans="1:4" x14ac:dyDescent="0.3">
      <c r="A89" s="3" t="s">
        <v>94</v>
      </c>
    </row>
    <row r="90" spans="1:4" x14ac:dyDescent="0.3">
      <c r="A90" s="3"/>
    </row>
    <row r="93" spans="1:4" x14ac:dyDescent="0.3">
      <c r="A93" s="8" t="s">
        <v>183</v>
      </c>
    </row>
    <row r="95" spans="1:4" x14ac:dyDescent="0.3">
      <c r="B95" s="11" t="e">
        <f>#REF!+[1]SFV!D76</f>
        <v>#REF!</v>
      </c>
    </row>
    <row r="98" spans="2:2" x14ac:dyDescent="0.3">
      <c r="B98" s="11" t="e">
        <f>#REF!+[1]SFV!E76</f>
        <v>#REF!</v>
      </c>
    </row>
    <row r="102" spans="2:2" x14ac:dyDescent="0.3">
      <c r="B102" s="9" t="e">
        <f>#REF!+[1]SFV!D70+[1]SFV!D71</f>
        <v>#REF!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Genesis (Not Cons)</vt:lpstr>
      <vt:lpstr>Genesis</vt:lpstr>
      <vt:lpstr>SFV</vt:lpstr>
      <vt:lpstr>SFVKey</vt:lpstr>
      <vt:lpstr>GenesisKey</vt:lpstr>
      <vt:lpstr>'Genesis (Not Cons)'!Print_Area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Rosel Villegas</cp:lastModifiedBy>
  <dcterms:created xsi:type="dcterms:W3CDTF">2022-06-14T05:18:32Z</dcterms:created>
  <dcterms:modified xsi:type="dcterms:W3CDTF">2022-07-03T16:09:42Z</dcterms:modified>
</cp:coreProperties>
</file>