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l.Villegas\Downloads\"/>
    </mc:Choice>
  </mc:AlternateContent>
  <xr:revisionPtr revIDLastSave="0" documentId="8_{F7FE21C5-6E7F-4CF8-9C36-F4A0341001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E101" i="1"/>
  <c r="D101" i="1"/>
  <c r="J100" i="1"/>
  <c r="D100" i="1"/>
  <c r="I99" i="1"/>
  <c r="I101" i="1" s="1"/>
  <c r="H99" i="1"/>
  <c r="H101" i="1" s="1"/>
  <c r="G99" i="1"/>
  <c r="G101" i="1" s="1"/>
  <c r="F99" i="1"/>
  <c r="E99" i="1"/>
  <c r="D99" i="1"/>
  <c r="C99" i="1"/>
  <c r="C101" i="1" s="1"/>
  <c r="B99" i="1"/>
  <c r="B101" i="1" s="1"/>
  <c r="F96" i="1"/>
  <c r="J96" i="1" s="1"/>
  <c r="D96" i="1"/>
  <c r="C95" i="1"/>
  <c r="J95" i="1" s="1"/>
  <c r="F94" i="1"/>
  <c r="J94" i="1" s="1"/>
  <c r="D93" i="1"/>
  <c r="C93" i="1"/>
  <c r="J93" i="1" s="1"/>
  <c r="B92" i="1"/>
  <c r="J92" i="1" s="1"/>
  <c r="J91" i="1"/>
  <c r="B91" i="1"/>
  <c r="B90" i="1"/>
  <c r="J90" i="1" s="1"/>
  <c r="G89" i="1"/>
  <c r="J89" i="1" s="1"/>
  <c r="B89" i="1"/>
  <c r="I88" i="1"/>
  <c r="J88" i="1" s="1"/>
  <c r="G88" i="1"/>
  <c r="D87" i="1"/>
  <c r="B87" i="1"/>
  <c r="J87" i="1" s="1"/>
  <c r="J86" i="1"/>
  <c r="H86" i="1"/>
  <c r="D86" i="1"/>
  <c r="C86" i="1"/>
  <c r="B86" i="1"/>
  <c r="I85" i="1"/>
  <c r="H85" i="1"/>
  <c r="G85" i="1"/>
  <c r="F85" i="1"/>
  <c r="E85" i="1"/>
  <c r="D85" i="1"/>
  <c r="C85" i="1"/>
  <c r="B85" i="1"/>
  <c r="J85" i="1" s="1"/>
  <c r="I84" i="1"/>
  <c r="H84" i="1"/>
  <c r="H97" i="1" s="1"/>
  <c r="G84" i="1"/>
  <c r="F84" i="1"/>
  <c r="E84" i="1"/>
  <c r="D84" i="1"/>
  <c r="C84" i="1"/>
  <c r="B84" i="1"/>
  <c r="J84" i="1" s="1"/>
  <c r="F83" i="1"/>
  <c r="J83" i="1" s="1"/>
  <c r="E83" i="1"/>
  <c r="B83" i="1"/>
  <c r="D82" i="1"/>
  <c r="C82" i="1"/>
  <c r="B82" i="1"/>
  <c r="J82" i="1" s="1"/>
  <c r="B81" i="1"/>
  <c r="J81" i="1" s="1"/>
  <c r="H80" i="1"/>
  <c r="G80" i="1"/>
  <c r="F80" i="1"/>
  <c r="E80" i="1"/>
  <c r="E97" i="1" s="1"/>
  <c r="D80" i="1"/>
  <c r="C80" i="1"/>
  <c r="B80" i="1"/>
  <c r="J80" i="1" s="1"/>
  <c r="C79" i="1"/>
  <c r="B79" i="1"/>
  <c r="J79" i="1" s="1"/>
  <c r="I78" i="1"/>
  <c r="F78" i="1"/>
  <c r="B78" i="1"/>
  <c r="J78" i="1" s="1"/>
  <c r="J77" i="1"/>
  <c r="D77" i="1"/>
  <c r="C76" i="1"/>
  <c r="J76" i="1" s="1"/>
  <c r="B76" i="1"/>
  <c r="B75" i="1"/>
  <c r="J75" i="1" s="1"/>
  <c r="G74" i="1"/>
  <c r="J74" i="1" s="1"/>
  <c r="D74" i="1"/>
  <c r="C74" i="1"/>
  <c r="B74" i="1"/>
  <c r="C73" i="1"/>
  <c r="J73" i="1" s="1"/>
  <c r="I72" i="1"/>
  <c r="I97" i="1" s="1"/>
  <c r="G72" i="1"/>
  <c r="J72" i="1" s="1"/>
  <c r="F72" i="1"/>
  <c r="D72" i="1"/>
  <c r="C72" i="1"/>
  <c r="B72" i="1"/>
  <c r="I71" i="1"/>
  <c r="H71" i="1"/>
  <c r="G71" i="1"/>
  <c r="G97" i="1" s="1"/>
  <c r="F71" i="1"/>
  <c r="F97" i="1" s="1"/>
  <c r="E71" i="1"/>
  <c r="D71" i="1"/>
  <c r="D97" i="1" s="1"/>
  <c r="C71" i="1"/>
  <c r="B71" i="1"/>
  <c r="J71" i="1" s="1"/>
  <c r="C70" i="1"/>
  <c r="C97" i="1" s="1"/>
  <c r="B70" i="1"/>
  <c r="B97" i="1" s="1"/>
  <c r="F67" i="1"/>
  <c r="E67" i="1"/>
  <c r="D67" i="1"/>
  <c r="C66" i="1"/>
  <c r="B66" i="1"/>
  <c r="J66" i="1" s="1"/>
  <c r="I65" i="1"/>
  <c r="H65" i="1"/>
  <c r="J65" i="1" s="1"/>
  <c r="G65" i="1"/>
  <c r="F65" i="1"/>
  <c r="E65" i="1"/>
  <c r="D65" i="1"/>
  <c r="C65" i="1"/>
  <c r="B65" i="1"/>
  <c r="D64" i="1"/>
  <c r="J64" i="1" s="1"/>
  <c r="C64" i="1"/>
  <c r="B64" i="1"/>
  <c r="C63" i="1"/>
  <c r="B63" i="1"/>
  <c r="J63" i="1" s="1"/>
  <c r="B62" i="1"/>
  <c r="J62" i="1" s="1"/>
  <c r="J61" i="1"/>
  <c r="I61" i="1"/>
  <c r="H61" i="1"/>
  <c r="G61" i="1"/>
  <c r="F61" i="1"/>
  <c r="E61" i="1"/>
  <c r="D61" i="1"/>
  <c r="C61" i="1"/>
  <c r="B61" i="1"/>
  <c r="H60" i="1"/>
  <c r="G60" i="1"/>
  <c r="F60" i="1"/>
  <c r="E60" i="1"/>
  <c r="D60" i="1"/>
  <c r="C60" i="1"/>
  <c r="B60" i="1"/>
  <c r="J60" i="1" s="1"/>
  <c r="D59" i="1"/>
  <c r="C59" i="1"/>
  <c r="J59" i="1" s="1"/>
  <c r="B59" i="1"/>
  <c r="C58" i="1"/>
  <c r="J58" i="1" s="1"/>
  <c r="C57" i="1"/>
  <c r="J57" i="1" s="1"/>
  <c r="B57" i="1"/>
  <c r="I56" i="1"/>
  <c r="H56" i="1"/>
  <c r="G56" i="1"/>
  <c r="G67" i="1" s="1"/>
  <c r="B56" i="1"/>
  <c r="J56" i="1" s="1"/>
  <c r="I55" i="1"/>
  <c r="I67" i="1" s="1"/>
  <c r="H55" i="1"/>
  <c r="H67" i="1" s="1"/>
  <c r="G55" i="1"/>
  <c r="F55" i="1"/>
  <c r="E55" i="1"/>
  <c r="D55" i="1"/>
  <c r="C55" i="1"/>
  <c r="C67" i="1" s="1"/>
  <c r="B55" i="1"/>
  <c r="B67" i="1" s="1"/>
  <c r="I52" i="1"/>
  <c r="F52" i="1"/>
  <c r="E52" i="1"/>
  <c r="D52" i="1"/>
  <c r="C52" i="1"/>
  <c r="J52" i="1" s="1"/>
  <c r="H51" i="1"/>
  <c r="J51" i="1" s="1"/>
  <c r="G51" i="1"/>
  <c r="F51" i="1"/>
  <c r="E51" i="1"/>
  <c r="D51" i="1"/>
  <c r="C51" i="1"/>
  <c r="B51" i="1"/>
  <c r="I50" i="1"/>
  <c r="J50" i="1" s="1"/>
  <c r="H50" i="1"/>
  <c r="G50" i="1"/>
  <c r="F50" i="1"/>
  <c r="E50" i="1"/>
  <c r="D50" i="1"/>
  <c r="C50" i="1"/>
  <c r="B50" i="1"/>
  <c r="I49" i="1"/>
  <c r="H49" i="1"/>
  <c r="G49" i="1"/>
  <c r="F49" i="1"/>
  <c r="E49" i="1"/>
  <c r="D49" i="1"/>
  <c r="C49" i="1"/>
  <c r="B49" i="1"/>
  <c r="J49" i="1" s="1"/>
  <c r="I48" i="1"/>
  <c r="H48" i="1"/>
  <c r="G48" i="1"/>
  <c r="F48" i="1"/>
  <c r="E48" i="1"/>
  <c r="D48" i="1"/>
  <c r="C48" i="1"/>
  <c r="B48" i="1"/>
  <c r="J48" i="1" s="1"/>
  <c r="I47" i="1"/>
  <c r="H47" i="1"/>
  <c r="G47" i="1"/>
  <c r="F47" i="1"/>
  <c r="E47" i="1"/>
  <c r="D47" i="1"/>
  <c r="C47" i="1"/>
  <c r="J47" i="1" s="1"/>
  <c r="G46" i="1"/>
  <c r="F46" i="1"/>
  <c r="E46" i="1"/>
  <c r="D46" i="1"/>
  <c r="J46" i="1" s="1"/>
  <c r="G45" i="1"/>
  <c r="J45" i="1" s="1"/>
  <c r="F45" i="1"/>
  <c r="B45" i="1"/>
  <c r="I44" i="1"/>
  <c r="H44" i="1"/>
  <c r="G44" i="1"/>
  <c r="F44" i="1"/>
  <c r="E44" i="1"/>
  <c r="D44" i="1"/>
  <c r="C44" i="1"/>
  <c r="B44" i="1"/>
  <c r="J44" i="1" s="1"/>
  <c r="F43" i="1"/>
  <c r="J43" i="1" s="1"/>
  <c r="F42" i="1"/>
  <c r="J42" i="1" s="1"/>
  <c r="I41" i="1"/>
  <c r="H41" i="1"/>
  <c r="G41" i="1"/>
  <c r="F41" i="1"/>
  <c r="E41" i="1"/>
  <c r="D41" i="1"/>
  <c r="C41" i="1"/>
  <c r="B41" i="1"/>
  <c r="J41" i="1" s="1"/>
  <c r="I40" i="1"/>
  <c r="H40" i="1"/>
  <c r="G40" i="1"/>
  <c r="F40" i="1"/>
  <c r="E40" i="1"/>
  <c r="D40" i="1"/>
  <c r="C40" i="1"/>
  <c r="B40" i="1"/>
  <c r="J40" i="1" s="1"/>
  <c r="I39" i="1"/>
  <c r="H39" i="1"/>
  <c r="G39" i="1"/>
  <c r="F39" i="1"/>
  <c r="E39" i="1"/>
  <c r="D39" i="1"/>
  <c r="C39" i="1"/>
  <c r="B39" i="1"/>
  <c r="J39" i="1" s="1"/>
  <c r="I38" i="1"/>
  <c r="H38" i="1"/>
  <c r="G38" i="1"/>
  <c r="F38" i="1"/>
  <c r="E38" i="1"/>
  <c r="J38" i="1" s="1"/>
  <c r="D38" i="1"/>
  <c r="C38" i="1"/>
  <c r="B38" i="1"/>
  <c r="I37" i="1"/>
  <c r="H37" i="1"/>
  <c r="G37" i="1"/>
  <c r="F37" i="1"/>
  <c r="E37" i="1"/>
  <c r="D37" i="1"/>
  <c r="C37" i="1"/>
  <c r="B37" i="1"/>
  <c r="J37" i="1" s="1"/>
  <c r="I36" i="1"/>
  <c r="H36" i="1"/>
  <c r="J36" i="1" s="1"/>
  <c r="J35" i="1"/>
  <c r="I35" i="1"/>
  <c r="H35" i="1"/>
  <c r="G35" i="1"/>
  <c r="F35" i="1"/>
  <c r="E35" i="1"/>
  <c r="D35" i="1"/>
  <c r="C35" i="1"/>
  <c r="B35" i="1"/>
  <c r="I34" i="1"/>
  <c r="H34" i="1"/>
  <c r="G34" i="1"/>
  <c r="F34" i="1"/>
  <c r="E34" i="1"/>
  <c r="D34" i="1"/>
  <c r="C34" i="1"/>
  <c r="B34" i="1"/>
  <c r="J34" i="1" s="1"/>
  <c r="I33" i="1"/>
  <c r="H33" i="1"/>
  <c r="G33" i="1"/>
  <c r="F33" i="1"/>
  <c r="E33" i="1"/>
  <c r="D33" i="1"/>
  <c r="C33" i="1"/>
  <c r="B33" i="1"/>
  <c r="J33" i="1" s="1"/>
  <c r="I32" i="1"/>
  <c r="H32" i="1"/>
  <c r="G32" i="1"/>
  <c r="F32" i="1"/>
  <c r="E32" i="1"/>
  <c r="J32" i="1" s="1"/>
  <c r="D32" i="1"/>
  <c r="C32" i="1"/>
  <c r="B32" i="1"/>
  <c r="I31" i="1"/>
  <c r="H31" i="1"/>
  <c r="E31" i="1"/>
  <c r="J31" i="1" s="1"/>
  <c r="I30" i="1"/>
  <c r="H30" i="1"/>
  <c r="G30" i="1"/>
  <c r="F30" i="1"/>
  <c r="E30" i="1"/>
  <c r="D30" i="1"/>
  <c r="C30" i="1"/>
  <c r="B30" i="1"/>
  <c r="J30" i="1" s="1"/>
  <c r="I29" i="1"/>
  <c r="H29" i="1"/>
  <c r="G29" i="1"/>
  <c r="F29" i="1"/>
  <c r="E29" i="1"/>
  <c r="D29" i="1"/>
  <c r="C29" i="1"/>
  <c r="B29" i="1"/>
  <c r="J29" i="1" s="1"/>
  <c r="I28" i="1"/>
  <c r="H28" i="1"/>
  <c r="G28" i="1"/>
  <c r="F28" i="1"/>
  <c r="E28" i="1"/>
  <c r="D28" i="1"/>
  <c r="C28" i="1"/>
  <c r="B28" i="1"/>
  <c r="J28" i="1" s="1"/>
  <c r="I27" i="1"/>
  <c r="H27" i="1"/>
  <c r="D27" i="1"/>
  <c r="C27" i="1"/>
  <c r="B27" i="1"/>
  <c r="J27" i="1" s="1"/>
  <c r="I26" i="1"/>
  <c r="H26" i="1"/>
  <c r="G26" i="1"/>
  <c r="F26" i="1"/>
  <c r="E26" i="1"/>
  <c r="D26" i="1"/>
  <c r="C26" i="1"/>
  <c r="B26" i="1"/>
  <c r="J26" i="1" s="1"/>
  <c r="H25" i="1"/>
  <c r="G25" i="1"/>
  <c r="F25" i="1"/>
  <c r="E25" i="1"/>
  <c r="D25" i="1"/>
  <c r="C25" i="1"/>
  <c r="J25" i="1" s="1"/>
  <c r="I24" i="1"/>
  <c r="H24" i="1"/>
  <c r="G24" i="1"/>
  <c r="F24" i="1"/>
  <c r="D24" i="1"/>
  <c r="B24" i="1"/>
  <c r="J24" i="1" s="1"/>
  <c r="J23" i="1"/>
  <c r="I23" i="1"/>
  <c r="G23" i="1"/>
  <c r="F23" i="1"/>
  <c r="E23" i="1"/>
  <c r="D23" i="1"/>
  <c r="C23" i="1"/>
  <c r="B23" i="1"/>
  <c r="J22" i="1"/>
  <c r="I22" i="1"/>
  <c r="F22" i="1"/>
  <c r="I21" i="1"/>
  <c r="H21" i="1"/>
  <c r="G21" i="1"/>
  <c r="F21" i="1"/>
  <c r="D21" i="1"/>
  <c r="J21" i="1" s="1"/>
  <c r="B21" i="1"/>
  <c r="I20" i="1"/>
  <c r="H20" i="1"/>
  <c r="G20" i="1"/>
  <c r="F20" i="1"/>
  <c r="E20" i="1"/>
  <c r="D20" i="1"/>
  <c r="C20" i="1"/>
  <c r="B20" i="1"/>
  <c r="J20" i="1" s="1"/>
  <c r="I19" i="1"/>
  <c r="H19" i="1"/>
  <c r="G19" i="1"/>
  <c r="F19" i="1"/>
  <c r="E19" i="1"/>
  <c r="D19" i="1"/>
  <c r="C19" i="1"/>
  <c r="B19" i="1"/>
  <c r="J19" i="1" s="1"/>
  <c r="I18" i="1"/>
  <c r="G18" i="1"/>
  <c r="F18" i="1"/>
  <c r="E18" i="1"/>
  <c r="D18" i="1"/>
  <c r="C18" i="1"/>
  <c r="B18" i="1"/>
  <c r="J18" i="1" s="1"/>
  <c r="I17" i="1"/>
  <c r="E17" i="1"/>
  <c r="D17" i="1"/>
  <c r="C17" i="1"/>
  <c r="B17" i="1"/>
  <c r="J17" i="1" s="1"/>
  <c r="G16" i="1"/>
  <c r="J16" i="1" s="1"/>
  <c r="I15" i="1"/>
  <c r="H15" i="1"/>
  <c r="G15" i="1"/>
  <c r="F15" i="1"/>
  <c r="E15" i="1"/>
  <c r="D15" i="1"/>
  <c r="C15" i="1"/>
  <c r="B15" i="1"/>
  <c r="J15" i="1" s="1"/>
  <c r="I14" i="1"/>
  <c r="H14" i="1"/>
  <c r="G14" i="1"/>
  <c r="F14" i="1"/>
  <c r="E14" i="1"/>
  <c r="D14" i="1"/>
  <c r="C14" i="1"/>
  <c r="B14" i="1"/>
  <c r="J14" i="1" s="1"/>
  <c r="I13" i="1"/>
  <c r="G13" i="1"/>
  <c r="J13" i="1" s="1"/>
  <c r="C13" i="1"/>
  <c r="B13" i="1"/>
  <c r="I12" i="1"/>
  <c r="H12" i="1"/>
  <c r="G12" i="1"/>
  <c r="F12" i="1"/>
  <c r="E12" i="1"/>
  <c r="D12" i="1"/>
  <c r="C12" i="1"/>
  <c r="B12" i="1"/>
  <c r="J12" i="1" s="1"/>
  <c r="I11" i="1"/>
  <c r="H11" i="1"/>
  <c r="G11" i="1"/>
  <c r="F11" i="1"/>
  <c r="E11" i="1"/>
  <c r="D11" i="1"/>
  <c r="C11" i="1"/>
  <c r="B11" i="1"/>
  <c r="J11" i="1" s="1"/>
  <c r="I10" i="1"/>
  <c r="H10" i="1"/>
  <c r="H53" i="1" s="1"/>
  <c r="G10" i="1"/>
  <c r="G53" i="1" s="1"/>
  <c r="G68" i="1" s="1"/>
  <c r="F10" i="1"/>
  <c r="E10" i="1"/>
  <c r="D10" i="1"/>
  <c r="C10" i="1"/>
  <c r="B10" i="1"/>
  <c r="J10" i="1" s="1"/>
  <c r="I9" i="1"/>
  <c r="E9" i="1"/>
  <c r="E53" i="1" s="1"/>
  <c r="E68" i="1" s="1"/>
  <c r="C9" i="1"/>
  <c r="C53" i="1" s="1"/>
  <c r="C68" i="1" s="1"/>
  <c r="B8" i="1"/>
  <c r="J8" i="1" s="1"/>
  <c r="I7" i="1"/>
  <c r="I53" i="1" s="1"/>
  <c r="I68" i="1" s="1"/>
  <c r="F7" i="1"/>
  <c r="F53" i="1" s="1"/>
  <c r="F68" i="1" s="1"/>
  <c r="F102" i="1" s="1"/>
  <c r="D7" i="1"/>
  <c r="J7" i="1" s="1"/>
  <c r="J101" i="1" l="1"/>
  <c r="C102" i="1"/>
  <c r="G102" i="1"/>
  <c r="J67" i="1"/>
  <c r="I102" i="1"/>
  <c r="E102" i="1"/>
  <c r="H68" i="1"/>
  <c r="H102" i="1" s="1"/>
  <c r="J97" i="1"/>
  <c r="D53" i="1"/>
  <c r="D68" i="1" s="1"/>
  <c r="D102" i="1" s="1"/>
  <c r="J70" i="1"/>
  <c r="B53" i="1"/>
  <c r="J55" i="1"/>
  <c r="J99" i="1"/>
  <c r="J9" i="1"/>
  <c r="B68" i="1" l="1"/>
  <c r="J53" i="1"/>
  <c r="B102" i="1" l="1"/>
  <c r="J102" i="1" s="1"/>
  <c r="J68" i="1"/>
</calcChain>
</file>

<file path=xl/sharedStrings.xml><?xml version="1.0" encoding="utf-8"?>
<sst xmlns="http://schemas.openxmlformats.org/spreadsheetml/2006/main" count="110" uniqueCount="110">
  <si>
    <t>Jan. 2022</t>
  </si>
  <si>
    <t>Feb. 2022</t>
  </si>
  <si>
    <t>Mar. 2022</t>
  </si>
  <si>
    <t>Apr. 2022</t>
  </si>
  <si>
    <t>May 2022</t>
  </si>
  <si>
    <t>Jun. 2022</t>
  </si>
  <si>
    <t>Jul. 2022</t>
  </si>
  <si>
    <t>Aug. 2022</t>
  </si>
  <si>
    <t>Total</t>
  </si>
  <si>
    <t xml:space="preserve">   INCOME</t>
  </si>
  <si>
    <t xml:space="preserve">      000-4034 IVF Egg Donor Screening</t>
  </si>
  <si>
    <t xml:space="preserve">      000-4048 IVF Surrogate Screening</t>
  </si>
  <si>
    <t xml:space="preserve">      000-4055 Superovulation Cycle</t>
  </si>
  <si>
    <t xml:space="preserve">      000-4114 Egg Freezing Cycle</t>
  </si>
  <si>
    <t xml:space="preserve">      000-4115 IVF cycle 1</t>
  </si>
  <si>
    <t xml:space="preserve">      000-4120 IVF Cycle 2+</t>
  </si>
  <si>
    <t xml:space="preserve">      000-4132 Sperm Extraction Lab Procedure</t>
  </si>
  <si>
    <t xml:space="preserve">      000-4210 Semen Analysis with morphology</t>
  </si>
  <si>
    <t xml:space="preserve">      000-4211 HBA test</t>
  </si>
  <si>
    <t xml:space="preserve">      000-4216 Sperm DNA Fragmentation Test</t>
  </si>
  <si>
    <t xml:space="preserve">      000-4305 Donor Sperm Insemination Cycle</t>
  </si>
  <si>
    <t xml:space="preserve">      000-4321 Donor Sperm Handling Fee</t>
  </si>
  <si>
    <t xml:space="preserve">      000-4405 IUI Cycle</t>
  </si>
  <si>
    <t xml:space="preserve">      000-4520 Donor Sperm Annual Storage</t>
  </si>
  <si>
    <t xml:space="preserve">      000-4525 Elective Sperm Freezing</t>
  </si>
  <si>
    <t xml:space="preserve">      000-4526 IVF Sperm Freeze Backup</t>
  </si>
  <si>
    <t xml:space="preserve">      000-4530 Frozen Sperm Annual Storage</t>
  </si>
  <si>
    <t xml:space="preserve">      000-4532 Sperm Handling Fee</t>
  </si>
  <si>
    <t xml:space="preserve">      000-4610 Embryo Handling Fee</t>
  </si>
  <si>
    <t xml:space="preserve">      000-4615 Thawing/Replacing Embryos</t>
  </si>
  <si>
    <t xml:space="preserve">      000-4616 Thaw, fertilize eggs, and embryo transfer</t>
  </si>
  <si>
    <t xml:space="preserve">      000-4620 Frozen Embryo Annual Storage Fee</t>
  </si>
  <si>
    <t xml:space="preserve">      000-4700 Meds - Synarel Nasal Spray</t>
  </si>
  <si>
    <t xml:space="preserve">      000-4701 Meds - Menopur 75IU</t>
  </si>
  <si>
    <t xml:space="preserve">      000-4703 Meds - Endometrin 21 tabs</t>
  </si>
  <si>
    <t xml:space="preserve">      000-4709 Meds - Cetrotide 0.25mg</t>
  </si>
  <si>
    <t xml:space="preserve">      000-4723 Meds - Puregon 300IU</t>
  </si>
  <si>
    <t xml:space="preserve">      000-4729 Meds - Puregon 900IU</t>
  </si>
  <si>
    <t xml:space="preserve">      000-4731 Meds - Pregnyl 10,000 units</t>
  </si>
  <si>
    <t xml:space="preserve">      000-4745 Meds - PPC (hCG) 10,000 iu</t>
  </si>
  <si>
    <t xml:space="preserve">      000-4760 Meds - Orgalutran 0.25 mg</t>
  </si>
  <si>
    <t xml:space="preserve">      000-4761 Estradot Patch 100mcg/24H</t>
  </si>
  <si>
    <t xml:space="preserve">      000-4770 Meds - Prometrium 100 mg Caps</t>
  </si>
  <si>
    <t xml:space="preserve">      000-4783 Meds - Marvelon Tabs 21</t>
  </si>
  <si>
    <t xml:space="preserve">      000-4784 Meds - Decapeptyl 1ML</t>
  </si>
  <si>
    <t xml:space="preserve">      000-4801 Pharmacy - Male Vitamins</t>
  </si>
  <si>
    <t xml:space="preserve">      000-4804 Pharmacy - CoQ10</t>
  </si>
  <si>
    <t xml:space="preserve">      000-4904 Consults - Dr. Kashyap</t>
  </si>
  <si>
    <t xml:space="preserve">      000-4924 Service Discount Fertile Future</t>
  </si>
  <si>
    <t xml:space="preserve">      000-4935 Non Resident Fee</t>
  </si>
  <si>
    <t xml:space="preserve">      000-4940 Partial Cycle Fee</t>
  </si>
  <si>
    <t xml:space="preserve">      000-4990 Miscellaneous Services</t>
  </si>
  <si>
    <t xml:space="preserve">      000-4991 Admin Photocopying Fees</t>
  </si>
  <si>
    <t xml:space="preserve">      000-4992 Space rent</t>
  </si>
  <si>
    <t xml:space="preserve">      000-4994 MSP Billing</t>
  </si>
  <si>
    <t xml:space="preserve">      000-4999 Write - off</t>
  </si>
  <si>
    <t xml:space="preserve">   Total Income</t>
  </si>
  <si>
    <t xml:space="preserve">   COST OF GOODS SOLD</t>
  </si>
  <si>
    <t xml:space="preserve">      200-6605 Physician Salary Expense</t>
  </si>
  <si>
    <t xml:space="preserve">      300-6210 Couriers &amp; Freight</t>
  </si>
  <si>
    <t xml:space="preserve">      300-6212 Brokerage Fees</t>
  </si>
  <si>
    <t xml:space="preserve">      300-6410 Lab Supplies - Consumables</t>
  </si>
  <si>
    <t xml:space="preserve">      300-6411 Lab supplies - Gases</t>
  </si>
  <si>
    <t xml:space="preserve">      300-6555 PGT-A fee</t>
  </si>
  <si>
    <t xml:space="preserve">      300-6615 Lab Salary Expense</t>
  </si>
  <si>
    <t xml:space="preserve">      400-6415 Nursing Supplies</t>
  </si>
  <si>
    <t xml:space="preserve">      400-6420 Pharmaceutical - Nursing</t>
  </si>
  <si>
    <t xml:space="preserve">      400-6425 Pharmaceuticals - Meds</t>
  </si>
  <si>
    <t xml:space="preserve">      400-6610 Nurses Salary Expense</t>
  </si>
  <si>
    <t xml:space="preserve">      500-6625 Contract Labour Expenses</t>
  </si>
  <si>
    <t xml:space="preserve">   Total Cost of Goods Sold</t>
  </si>
  <si>
    <t>GROSS PROFIT</t>
  </si>
  <si>
    <t>EXPENSES</t>
  </si>
  <si>
    <t xml:space="preserve">   000-6010 Bad Debts</t>
  </si>
  <si>
    <t xml:space="preserve">   000-6015 Bank charges</t>
  </si>
  <si>
    <t xml:space="preserve">   000-6025 Credit Card Charges</t>
  </si>
  <si>
    <t xml:space="preserve">   000-6036 Entertainment - Staff</t>
  </si>
  <si>
    <t xml:space="preserve">   000-6037 Entertainment - External Party</t>
  </si>
  <si>
    <t xml:space="preserve">   000-6045 Insurance - Premises</t>
  </si>
  <si>
    <t xml:space="preserve">   000-6205 Advertising and Promotion</t>
  </si>
  <si>
    <t xml:space="preserve">   000-6825 Accounting</t>
  </si>
  <si>
    <t xml:space="preserve">   000-6830 Legal fees</t>
  </si>
  <si>
    <t xml:space="preserve">   000-6870 Service fee - Spring MSO</t>
  </si>
  <si>
    <t xml:space="preserve">   100-6020 Computer Software &amp; Support</t>
  </si>
  <si>
    <t xml:space="preserve">   100-6060 Office - Supplies</t>
  </si>
  <si>
    <t xml:space="preserve">   100-6061 Office - misc items</t>
  </si>
  <si>
    <t xml:space="preserve">   100-6065 Repair and maintenance</t>
  </si>
  <si>
    <t xml:space="preserve">   100-6220 Telephone</t>
  </si>
  <si>
    <t xml:space="preserve">   100-6620 Office Salary Expense</t>
  </si>
  <si>
    <t xml:space="preserve">   100-6630 IT salary expense</t>
  </si>
  <si>
    <t xml:space="preserve">   200-6072 Travel &amp; Conferences - SK</t>
  </si>
  <si>
    <t xml:space="preserve">   200-6607 Physicians Health Trust Claim</t>
  </si>
  <si>
    <t xml:space="preserve">   200-6840 Membership Dues</t>
  </si>
  <si>
    <t xml:space="preserve">   300-6075 Travel, Conferences, Education</t>
  </si>
  <si>
    <t xml:space="preserve">   400-6047 Janitorial and Laundry - nurse</t>
  </si>
  <si>
    <t xml:space="preserve">   400-6075 Travel, Conferences, Education - Nursing</t>
  </si>
  <si>
    <t xml:space="preserve">   Interest expense</t>
  </si>
  <si>
    <t xml:space="preserve">   Office expenses</t>
  </si>
  <si>
    <t xml:space="preserve">   Other general and administrative expenses</t>
  </si>
  <si>
    <t xml:space="preserve">   Taxes and Licenses</t>
  </si>
  <si>
    <t>Total Expenses</t>
  </si>
  <si>
    <t>OTHER EXPENSES</t>
  </si>
  <si>
    <t xml:space="preserve">   000-6030 Depreciation</t>
  </si>
  <si>
    <t xml:space="preserve">   000-6090 Miscellaneous</t>
  </si>
  <si>
    <t>Total Other Expenses</t>
  </si>
  <si>
    <t>PROFIT</t>
  </si>
  <si>
    <t>Wednesday, Oct. 05, 2022 11:54:35 p.m. GMT-7 - Accrual Basis</t>
  </si>
  <si>
    <t>Genesis Fertility Centre, Inc</t>
  </si>
  <si>
    <t>Profit and Loss</t>
  </si>
  <si>
    <t>January - August,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</si>
</sst>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$&quot;* #,##0.00\ _€"/>
  </numFmts>
  <fonts count="6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tabSelected="1" workbookViewId="0">
      <selection sqref="A1:J1"/>
    </sheetView>
  </sheetViews>
  <sheetFormatPr defaultRowHeight="14.4" x14ac:dyDescent="0.3"/>
  <cols>
    <col min="1" max="1" width="49" customWidth="1"/>
    <col min="2" max="9" width="10.33203125" customWidth="1"/>
    <col min="10" max="10" width="12" customWidth="1"/>
  </cols>
  <sheetData>
    <row r="1" spans="1:10" ht="17.399999999999999" x14ac:dyDescent="0.3">
      <c r="A1" s="10" t="s">
        <v>107</v>
      </c>
      <c r="B1" s="9"/>
      <c r="C1" s="9"/>
      <c r="D1" s="9"/>
      <c r="E1" s="9"/>
      <c r="F1" s="9"/>
      <c r="G1" s="9"/>
      <c r="H1" s="9"/>
      <c r="I1" s="9"/>
      <c r="J1" s="9"/>
    </row>
    <row r="2" spans="1:10" ht="17.399999999999999" x14ac:dyDescent="0.3">
      <c r="A2" s="10" t="s">
        <v>108</v>
      </c>
      <c r="B2" s="9"/>
      <c r="C2" s="9"/>
      <c r="D2" s="9"/>
      <c r="E2" s="9"/>
      <c r="F2" s="9"/>
      <c r="G2" s="9"/>
      <c r="H2" s="9"/>
      <c r="I2" s="9"/>
      <c r="J2" s="9"/>
    </row>
    <row r="3" spans="1:10" x14ac:dyDescent="0.3">
      <c r="A3" s="11" t="s">
        <v>109</v>
      </c>
      <c r="B3" s="9"/>
      <c r="C3" s="9"/>
      <c r="D3" s="9"/>
      <c r="E3" s="9"/>
      <c r="F3" s="9"/>
      <c r="G3" s="9"/>
      <c r="H3" s="9"/>
      <c r="I3" s="9"/>
      <c r="J3" s="9"/>
    </row>
    <row r="5" spans="1:10" x14ac:dyDescent="0.3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</row>
    <row r="6" spans="1:10" x14ac:dyDescent="0.3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3">
      <c r="A7" s="3" t="s">
        <v>10</v>
      </c>
      <c r="B7" s="4"/>
      <c r="C7" s="4"/>
      <c r="D7" s="5">
        <f>3000</f>
        <v>3000</v>
      </c>
      <c r="E7" s="4"/>
      <c r="F7" s="5">
        <f>3000</f>
        <v>3000</v>
      </c>
      <c r="G7" s="4"/>
      <c r="H7" s="4"/>
      <c r="I7" s="5">
        <f>3000</f>
        <v>3000</v>
      </c>
      <c r="J7" s="5">
        <f t="shared" ref="J7:J53" si="0">(((((((B7)+(C7))+(D7))+(E7))+(F7))+(G7))+(H7))+(I7)</f>
        <v>9000</v>
      </c>
    </row>
    <row r="8" spans="1:10" x14ac:dyDescent="0.3">
      <c r="A8" s="3" t="s">
        <v>11</v>
      </c>
      <c r="B8" s="5">
        <f>6000</f>
        <v>6000</v>
      </c>
      <c r="C8" s="4"/>
      <c r="D8" s="4"/>
      <c r="E8" s="4"/>
      <c r="F8" s="4"/>
      <c r="G8" s="4"/>
      <c r="H8" s="4"/>
      <c r="I8" s="4"/>
      <c r="J8" s="5">
        <f t="shared" si="0"/>
        <v>6000</v>
      </c>
    </row>
    <row r="9" spans="1:10" x14ac:dyDescent="0.3">
      <c r="A9" s="3" t="s">
        <v>12</v>
      </c>
      <c r="B9" s="4"/>
      <c r="C9" s="5">
        <f>200</f>
        <v>200</v>
      </c>
      <c r="D9" s="4"/>
      <c r="E9" s="5">
        <f>200</f>
        <v>200</v>
      </c>
      <c r="F9" s="4"/>
      <c r="G9" s="4"/>
      <c r="H9" s="4"/>
      <c r="I9" s="5">
        <f>200</f>
        <v>200</v>
      </c>
      <c r="J9" s="5">
        <f t="shared" si="0"/>
        <v>600</v>
      </c>
    </row>
    <row r="10" spans="1:10" x14ac:dyDescent="0.3">
      <c r="A10" s="3" t="s">
        <v>13</v>
      </c>
      <c r="B10" s="5">
        <f>11475</f>
        <v>11475</v>
      </c>
      <c r="C10" s="5">
        <f>37485</f>
        <v>37485</v>
      </c>
      <c r="D10" s="5">
        <f>22950</f>
        <v>22950</v>
      </c>
      <c r="E10" s="5">
        <f>22950</f>
        <v>22950</v>
      </c>
      <c r="F10" s="5">
        <f>75792</f>
        <v>75792</v>
      </c>
      <c r="G10" s="5">
        <f>7650</f>
        <v>7650</v>
      </c>
      <c r="H10" s="5">
        <f>43605</f>
        <v>43605</v>
      </c>
      <c r="I10" s="5">
        <f>38250</f>
        <v>38250</v>
      </c>
      <c r="J10" s="5">
        <f t="shared" si="0"/>
        <v>260157</v>
      </c>
    </row>
    <row r="11" spans="1:10" x14ac:dyDescent="0.3">
      <c r="A11" s="3" t="s">
        <v>14</v>
      </c>
      <c r="B11" s="5">
        <f>91125</f>
        <v>91125</v>
      </c>
      <c r="C11" s="5">
        <f>111592.5</f>
        <v>111592.5</v>
      </c>
      <c r="D11" s="5">
        <f>106757.5</f>
        <v>106757.5</v>
      </c>
      <c r="E11" s="5">
        <f>169492.5</f>
        <v>169492.5</v>
      </c>
      <c r="F11" s="5">
        <f>190292.5</f>
        <v>190292.5</v>
      </c>
      <c r="G11" s="5">
        <f>96850</f>
        <v>96850</v>
      </c>
      <c r="H11" s="5">
        <f>86975</f>
        <v>86975</v>
      </c>
      <c r="I11" s="5">
        <f>128242.5</f>
        <v>128242.5</v>
      </c>
      <c r="J11" s="5">
        <f t="shared" si="0"/>
        <v>981327.5</v>
      </c>
    </row>
    <row r="12" spans="1:10" x14ac:dyDescent="0.3">
      <c r="A12" s="3" t="s">
        <v>15</v>
      </c>
      <c r="B12" s="5">
        <f>42185</f>
        <v>42185</v>
      </c>
      <c r="C12" s="5">
        <f>105164</f>
        <v>105164</v>
      </c>
      <c r="D12" s="5">
        <f>82074</f>
        <v>82074</v>
      </c>
      <c r="E12" s="5">
        <f>32670</f>
        <v>32670</v>
      </c>
      <c r="F12" s="5">
        <f>9810</f>
        <v>9810</v>
      </c>
      <c r="G12" s="5">
        <f>4540</f>
        <v>4540</v>
      </c>
      <c r="H12" s="5">
        <f>83000</f>
        <v>83000</v>
      </c>
      <c r="I12" s="5">
        <f>13457.5</f>
        <v>13457.5</v>
      </c>
      <c r="J12" s="5">
        <f t="shared" si="0"/>
        <v>372900.5</v>
      </c>
    </row>
    <row r="13" spans="1:10" x14ac:dyDescent="0.3">
      <c r="A13" s="3" t="s">
        <v>16</v>
      </c>
      <c r="B13" s="5">
        <f>1500</f>
        <v>1500</v>
      </c>
      <c r="C13" s="5">
        <f>1850</f>
        <v>1850</v>
      </c>
      <c r="D13" s="4"/>
      <c r="E13" s="4"/>
      <c r="F13" s="4"/>
      <c r="G13" s="5">
        <f>1850</f>
        <v>1850</v>
      </c>
      <c r="H13" s="4"/>
      <c r="I13" s="5">
        <f>1850</f>
        <v>1850</v>
      </c>
      <c r="J13" s="5">
        <f t="shared" si="0"/>
        <v>7050</v>
      </c>
    </row>
    <row r="14" spans="1:10" x14ac:dyDescent="0.3">
      <c r="A14" s="3" t="s">
        <v>17</v>
      </c>
      <c r="B14" s="5">
        <f>2125</f>
        <v>2125</v>
      </c>
      <c r="C14" s="5">
        <f>2625</f>
        <v>2625</v>
      </c>
      <c r="D14" s="5">
        <f>3125</f>
        <v>3125</v>
      </c>
      <c r="E14" s="5">
        <f>3000</f>
        <v>3000</v>
      </c>
      <c r="F14" s="5">
        <f>2625</f>
        <v>2625</v>
      </c>
      <c r="G14" s="5">
        <f>1375</f>
        <v>1375</v>
      </c>
      <c r="H14" s="5">
        <f>2000</f>
        <v>2000</v>
      </c>
      <c r="I14" s="5">
        <f>1875</f>
        <v>1875</v>
      </c>
      <c r="J14" s="5">
        <f t="shared" si="0"/>
        <v>18750</v>
      </c>
    </row>
    <row r="15" spans="1:10" x14ac:dyDescent="0.3">
      <c r="A15" s="3" t="s">
        <v>18</v>
      </c>
      <c r="B15" s="5">
        <f>3600</f>
        <v>3600</v>
      </c>
      <c r="C15" s="5">
        <f>4320</f>
        <v>4320</v>
      </c>
      <c r="D15" s="5">
        <f>5280</f>
        <v>5280</v>
      </c>
      <c r="E15" s="5">
        <f>5760</f>
        <v>5760</v>
      </c>
      <c r="F15" s="5">
        <f>3840</f>
        <v>3840</v>
      </c>
      <c r="G15" s="5">
        <f>2640</f>
        <v>2640</v>
      </c>
      <c r="H15" s="5">
        <f>3600</f>
        <v>3600</v>
      </c>
      <c r="I15" s="5">
        <f>2160</f>
        <v>2160</v>
      </c>
      <c r="J15" s="5">
        <f t="shared" si="0"/>
        <v>31200</v>
      </c>
    </row>
    <row r="16" spans="1:10" x14ac:dyDescent="0.3">
      <c r="A16" s="3" t="s">
        <v>19</v>
      </c>
      <c r="B16" s="4"/>
      <c r="C16" s="4"/>
      <c r="D16" s="4"/>
      <c r="E16" s="4"/>
      <c r="F16" s="4"/>
      <c r="G16" s="5">
        <f>600</f>
        <v>600</v>
      </c>
      <c r="H16" s="4"/>
      <c r="I16" s="4"/>
      <c r="J16" s="5">
        <f t="shared" si="0"/>
        <v>600</v>
      </c>
    </row>
    <row r="17" spans="1:10" x14ac:dyDescent="0.3">
      <c r="A17" s="3" t="s">
        <v>20</v>
      </c>
      <c r="B17" s="5">
        <f>1400</f>
        <v>1400</v>
      </c>
      <c r="C17" s="5">
        <f>2800</f>
        <v>2800</v>
      </c>
      <c r="D17" s="5">
        <f>2800</f>
        <v>2800</v>
      </c>
      <c r="E17" s="5">
        <f>700</f>
        <v>700</v>
      </c>
      <c r="F17" s="4"/>
      <c r="G17" s="4"/>
      <c r="H17" s="4"/>
      <c r="I17" s="5">
        <f>1400</f>
        <v>1400</v>
      </c>
      <c r="J17" s="5">
        <f t="shared" si="0"/>
        <v>9100</v>
      </c>
    </row>
    <row r="18" spans="1:10" x14ac:dyDescent="0.3">
      <c r="A18" s="3" t="s">
        <v>21</v>
      </c>
      <c r="B18" s="5">
        <f>1200</f>
        <v>1200</v>
      </c>
      <c r="C18" s="5">
        <f>1800</f>
        <v>1800</v>
      </c>
      <c r="D18" s="5">
        <f>600</f>
        <v>600</v>
      </c>
      <c r="E18" s="5">
        <f>425</f>
        <v>425</v>
      </c>
      <c r="F18" s="5">
        <f>3000</f>
        <v>3000</v>
      </c>
      <c r="G18" s="5">
        <f>1200</f>
        <v>1200</v>
      </c>
      <c r="H18" s="4"/>
      <c r="I18" s="5">
        <f>2400</f>
        <v>2400</v>
      </c>
      <c r="J18" s="5">
        <f t="shared" si="0"/>
        <v>10625</v>
      </c>
    </row>
    <row r="19" spans="1:10" x14ac:dyDescent="0.3">
      <c r="A19" s="3" t="s">
        <v>22</v>
      </c>
      <c r="B19" s="5">
        <f>5600</f>
        <v>5600</v>
      </c>
      <c r="C19" s="5">
        <f>6300</f>
        <v>6300</v>
      </c>
      <c r="D19" s="5">
        <f>6300</f>
        <v>6300</v>
      </c>
      <c r="E19" s="5">
        <f>2800</f>
        <v>2800</v>
      </c>
      <c r="F19" s="5">
        <f>5600</f>
        <v>5600</v>
      </c>
      <c r="G19" s="5">
        <f>2800</f>
        <v>2800</v>
      </c>
      <c r="H19" s="5">
        <f>6300</f>
        <v>6300</v>
      </c>
      <c r="I19" s="5">
        <f>4200</f>
        <v>4200</v>
      </c>
      <c r="J19" s="5">
        <f t="shared" si="0"/>
        <v>39900</v>
      </c>
    </row>
    <row r="20" spans="1:10" x14ac:dyDescent="0.3">
      <c r="A20" s="3" t="s">
        <v>23</v>
      </c>
      <c r="B20" s="5">
        <f>700</f>
        <v>700</v>
      </c>
      <c r="C20" s="5">
        <f>736.36</f>
        <v>736.36</v>
      </c>
      <c r="D20" s="5">
        <f>736.36</f>
        <v>736.36</v>
      </c>
      <c r="E20" s="5">
        <f>736.36</f>
        <v>736.36</v>
      </c>
      <c r="F20" s="5">
        <f>736.36</f>
        <v>736.36</v>
      </c>
      <c r="G20" s="5">
        <f>736.37</f>
        <v>736.37</v>
      </c>
      <c r="H20" s="5">
        <f>13015.75</f>
        <v>13015.75</v>
      </c>
      <c r="I20" s="5">
        <f>236.36</f>
        <v>236.36</v>
      </c>
      <c r="J20" s="5">
        <f t="shared" si="0"/>
        <v>17633.920000000002</v>
      </c>
    </row>
    <row r="21" spans="1:10" x14ac:dyDescent="0.3">
      <c r="A21" s="3" t="s">
        <v>24</v>
      </c>
      <c r="B21" s="5">
        <f>1050</f>
        <v>1050</v>
      </c>
      <c r="C21" s="4"/>
      <c r="D21" s="5">
        <f>350</f>
        <v>350</v>
      </c>
      <c r="E21" s="4"/>
      <c r="F21" s="5">
        <f>700</f>
        <v>700</v>
      </c>
      <c r="G21" s="5">
        <f>700</f>
        <v>700</v>
      </c>
      <c r="H21" s="5">
        <f>350</f>
        <v>350</v>
      </c>
      <c r="I21" s="5">
        <f>700</f>
        <v>700</v>
      </c>
      <c r="J21" s="5">
        <f t="shared" si="0"/>
        <v>3850</v>
      </c>
    </row>
    <row r="22" spans="1:10" x14ac:dyDescent="0.3">
      <c r="A22" s="3" t="s">
        <v>25</v>
      </c>
      <c r="B22" s="4"/>
      <c r="C22" s="4"/>
      <c r="D22" s="4"/>
      <c r="E22" s="4"/>
      <c r="F22" s="5">
        <f>750</f>
        <v>750</v>
      </c>
      <c r="G22" s="4"/>
      <c r="H22" s="4"/>
      <c r="I22" s="5">
        <f>375</f>
        <v>375</v>
      </c>
      <c r="J22" s="5">
        <f t="shared" si="0"/>
        <v>1125</v>
      </c>
    </row>
    <row r="23" spans="1:10" x14ac:dyDescent="0.3">
      <c r="A23" s="3" t="s">
        <v>26</v>
      </c>
      <c r="B23" s="5">
        <f>6033.33</f>
        <v>6033.33</v>
      </c>
      <c r="C23" s="5">
        <f>6489.39</f>
        <v>6489.39</v>
      </c>
      <c r="D23" s="5">
        <f>6146.06</f>
        <v>6146.06</v>
      </c>
      <c r="E23" s="5">
        <f>6112.73</f>
        <v>6112.73</v>
      </c>
      <c r="F23" s="5">
        <f>6479.39</f>
        <v>6479.39</v>
      </c>
      <c r="G23" s="5">
        <f>6079.39</f>
        <v>6079.39</v>
      </c>
      <c r="H23" s="4"/>
      <c r="I23" s="5">
        <f>6812.73</f>
        <v>6812.73</v>
      </c>
      <c r="J23" s="5">
        <f t="shared" si="0"/>
        <v>44153.020000000004</v>
      </c>
    </row>
    <row r="24" spans="1:10" x14ac:dyDescent="0.3">
      <c r="A24" s="3" t="s">
        <v>27</v>
      </c>
      <c r="B24" s="5">
        <f>1275</f>
        <v>1275</v>
      </c>
      <c r="C24" s="4"/>
      <c r="D24" s="5">
        <f>425</f>
        <v>425</v>
      </c>
      <c r="E24" s="4"/>
      <c r="F24" s="5">
        <f>425</f>
        <v>425</v>
      </c>
      <c r="G24" s="5">
        <f>850</f>
        <v>850</v>
      </c>
      <c r="H24" s="5">
        <f>425</f>
        <v>425</v>
      </c>
      <c r="I24" s="5">
        <f>850</f>
        <v>850</v>
      </c>
      <c r="J24" s="5">
        <f t="shared" si="0"/>
        <v>4250</v>
      </c>
    </row>
    <row r="25" spans="1:10" x14ac:dyDescent="0.3">
      <c r="A25" s="3" t="s">
        <v>28</v>
      </c>
      <c r="B25" s="4"/>
      <c r="C25" s="5">
        <f>600</f>
        <v>600</v>
      </c>
      <c r="D25" s="5">
        <f>2650</f>
        <v>2650</v>
      </c>
      <c r="E25" s="5">
        <f>425</f>
        <v>425</v>
      </c>
      <c r="F25" s="5">
        <f>850</f>
        <v>850</v>
      </c>
      <c r="G25" s="5">
        <f>2225</f>
        <v>2225</v>
      </c>
      <c r="H25" s="5">
        <f>850</f>
        <v>850</v>
      </c>
      <c r="I25" s="4"/>
      <c r="J25" s="5">
        <f t="shared" si="0"/>
        <v>7600</v>
      </c>
    </row>
    <row r="26" spans="1:10" x14ac:dyDescent="0.3">
      <c r="A26" s="3" t="s">
        <v>29</v>
      </c>
      <c r="B26" s="5">
        <f>41200</f>
        <v>41200</v>
      </c>
      <c r="C26" s="5">
        <f>51000</f>
        <v>51000</v>
      </c>
      <c r="D26" s="5">
        <f>38600</f>
        <v>38600</v>
      </c>
      <c r="E26" s="5">
        <f>50400</f>
        <v>50400</v>
      </c>
      <c r="F26" s="5">
        <f>33600</f>
        <v>33600</v>
      </c>
      <c r="G26" s="5">
        <f>7400</f>
        <v>7400</v>
      </c>
      <c r="H26" s="5">
        <f>48400</f>
        <v>48400</v>
      </c>
      <c r="I26" s="5">
        <f>46625</f>
        <v>46625</v>
      </c>
      <c r="J26" s="5">
        <f t="shared" si="0"/>
        <v>317225</v>
      </c>
    </row>
    <row r="27" spans="1:10" x14ac:dyDescent="0.3">
      <c r="A27" s="3" t="s">
        <v>30</v>
      </c>
      <c r="B27" s="5">
        <f>0</f>
        <v>0</v>
      </c>
      <c r="C27" s="5">
        <f>0</f>
        <v>0</v>
      </c>
      <c r="D27" s="5">
        <f>15650</f>
        <v>15650</v>
      </c>
      <c r="E27" s="4"/>
      <c r="F27" s="4"/>
      <c r="G27" s="4"/>
      <c r="H27" s="5">
        <f>7250</f>
        <v>7250</v>
      </c>
      <c r="I27" s="5">
        <f>9600</f>
        <v>9600</v>
      </c>
      <c r="J27" s="5">
        <f t="shared" si="0"/>
        <v>32500</v>
      </c>
    </row>
    <row r="28" spans="1:10" x14ac:dyDescent="0.3">
      <c r="A28" s="3" t="s">
        <v>31</v>
      </c>
      <c r="B28" s="5">
        <f>17683.33</f>
        <v>17683.330000000002</v>
      </c>
      <c r="C28" s="5">
        <f>17195.46</f>
        <v>17195.46</v>
      </c>
      <c r="D28" s="5">
        <f>17468.79</f>
        <v>17468.79</v>
      </c>
      <c r="E28" s="5">
        <f>17579.9</f>
        <v>17579.900000000001</v>
      </c>
      <c r="F28" s="5">
        <f>17484.08</f>
        <v>17484.080000000002</v>
      </c>
      <c r="G28" s="5">
        <f>17541.21</f>
        <v>17541.21</v>
      </c>
      <c r="H28" s="5">
        <f>30691.21</f>
        <v>30691.21</v>
      </c>
      <c r="I28" s="5">
        <f>19691.21</f>
        <v>19691.21</v>
      </c>
      <c r="J28" s="5">
        <f t="shared" si="0"/>
        <v>155335.19</v>
      </c>
    </row>
    <row r="29" spans="1:10" x14ac:dyDescent="0.3">
      <c r="A29" s="3" t="s">
        <v>32</v>
      </c>
      <c r="B29" s="5">
        <f>860</f>
        <v>860</v>
      </c>
      <c r="C29" s="5">
        <f>2150</f>
        <v>2150</v>
      </c>
      <c r="D29" s="5">
        <f>1720</f>
        <v>1720</v>
      </c>
      <c r="E29" s="5">
        <f>4730</f>
        <v>4730</v>
      </c>
      <c r="F29" s="5">
        <f>2580</f>
        <v>2580</v>
      </c>
      <c r="G29" s="5">
        <f>1780</f>
        <v>1780</v>
      </c>
      <c r="H29" s="5">
        <f>2670</f>
        <v>2670</v>
      </c>
      <c r="I29" s="5">
        <f>2225</f>
        <v>2225</v>
      </c>
      <c r="J29" s="5">
        <f t="shared" si="0"/>
        <v>18715</v>
      </c>
    </row>
    <row r="30" spans="1:10" x14ac:dyDescent="0.3">
      <c r="A30" s="3" t="s">
        <v>33</v>
      </c>
      <c r="B30" s="5">
        <f>26598</f>
        <v>26598</v>
      </c>
      <c r="C30" s="5">
        <f>27807</f>
        <v>27807</v>
      </c>
      <c r="D30" s="5">
        <f>20646</f>
        <v>20646</v>
      </c>
      <c r="E30" s="5">
        <f>48732</f>
        <v>48732</v>
      </c>
      <c r="F30" s="5">
        <f>41415</f>
        <v>41415</v>
      </c>
      <c r="G30" s="5">
        <f>11040</f>
        <v>11040</v>
      </c>
      <c r="H30" s="5">
        <f>27360</f>
        <v>27360</v>
      </c>
      <c r="I30" s="5">
        <f>33120</f>
        <v>33120</v>
      </c>
      <c r="J30" s="5">
        <f t="shared" si="0"/>
        <v>236718</v>
      </c>
    </row>
    <row r="31" spans="1:10" x14ac:dyDescent="0.3">
      <c r="A31" s="3" t="s">
        <v>34</v>
      </c>
      <c r="B31" s="4"/>
      <c r="C31" s="4"/>
      <c r="D31" s="4"/>
      <c r="E31" s="5">
        <f>318</f>
        <v>318</v>
      </c>
      <c r="F31" s="4"/>
      <c r="G31" s="4"/>
      <c r="H31" s="5">
        <f>545</f>
        <v>545</v>
      </c>
      <c r="I31" s="5">
        <f>218</f>
        <v>218</v>
      </c>
      <c r="J31" s="5">
        <f t="shared" si="0"/>
        <v>1081</v>
      </c>
    </row>
    <row r="32" spans="1:10" x14ac:dyDescent="0.3">
      <c r="A32" s="3" t="s">
        <v>35</v>
      </c>
      <c r="B32" s="5">
        <f>315</f>
        <v>315</v>
      </c>
      <c r="C32" s="5">
        <f>210</f>
        <v>210</v>
      </c>
      <c r="D32" s="5">
        <f>840</f>
        <v>840</v>
      </c>
      <c r="E32" s="5">
        <f>735</f>
        <v>735</v>
      </c>
      <c r="F32" s="5">
        <f>315</f>
        <v>315</v>
      </c>
      <c r="G32" s="5">
        <f>630</f>
        <v>630</v>
      </c>
      <c r="H32" s="5">
        <f>1155</f>
        <v>1155</v>
      </c>
      <c r="I32" s="5">
        <f>315</f>
        <v>315</v>
      </c>
      <c r="J32" s="5">
        <f t="shared" si="0"/>
        <v>4515</v>
      </c>
    </row>
    <row r="33" spans="1:10" x14ac:dyDescent="0.3">
      <c r="A33" s="3" t="s">
        <v>36</v>
      </c>
      <c r="B33" s="5">
        <f>14028</f>
        <v>14028</v>
      </c>
      <c r="C33" s="5">
        <f>23714</f>
        <v>23714</v>
      </c>
      <c r="D33" s="5">
        <f>19372</f>
        <v>19372</v>
      </c>
      <c r="E33" s="5">
        <f>29058</f>
        <v>29058</v>
      </c>
      <c r="F33" s="5">
        <f>30060</f>
        <v>30060</v>
      </c>
      <c r="G33" s="5">
        <f>13694</f>
        <v>13694</v>
      </c>
      <c r="H33" s="5">
        <f>20374</f>
        <v>20374</v>
      </c>
      <c r="I33" s="5">
        <f>19372</f>
        <v>19372</v>
      </c>
      <c r="J33" s="5">
        <f t="shared" si="0"/>
        <v>169672</v>
      </c>
    </row>
    <row r="34" spans="1:10" x14ac:dyDescent="0.3">
      <c r="A34" s="3" t="s">
        <v>37</v>
      </c>
      <c r="B34" s="5">
        <f>25050</f>
        <v>25050</v>
      </c>
      <c r="C34" s="5">
        <f>26052</f>
        <v>26052</v>
      </c>
      <c r="D34" s="5">
        <f>18036</f>
        <v>18036</v>
      </c>
      <c r="E34" s="5">
        <f>49098</f>
        <v>49098</v>
      </c>
      <c r="F34" s="5">
        <f>40080</f>
        <v>40080</v>
      </c>
      <c r="G34" s="5">
        <f>5010</f>
        <v>5010</v>
      </c>
      <c r="H34" s="5">
        <f>19038</f>
        <v>19038</v>
      </c>
      <c r="I34" s="5">
        <f>36072</f>
        <v>36072</v>
      </c>
      <c r="J34" s="5">
        <f t="shared" si="0"/>
        <v>218436</v>
      </c>
    </row>
    <row r="35" spans="1:10" x14ac:dyDescent="0.3">
      <c r="A35" s="3" t="s">
        <v>38</v>
      </c>
      <c r="B35" s="5">
        <f>2375</f>
        <v>2375</v>
      </c>
      <c r="C35" s="5">
        <f>3250</f>
        <v>3250</v>
      </c>
      <c r="D35" s="5">
        <f>2250</f>
        <v>2250</v>
      </c>
      <c r="E35" s="5">
        <f>2125</f>
        <v>2125</v>
      </c>
      <c r="F35" s="5">
        <f>3250</f>
        <v>3250</v>
      </c>
      <c r="G35" s="5">
        <f>1524</f>
        <v>1524</v>
      </c>
      <c r="H35" s="5">
        <f>2032</f>
        <v>2032</v>
      </c>
      <c r="I35" s="5">
        <f>2540</f>
        <v>2540</v>
      </c>
      <c r="J35" s="5">
        <f t="shared" si="0"/>
        <v>19346</v>
      </c>
    </row>
    <row r="36" spans="1:10" x14ac:dyDescent="0.3">
      <c r="A36" s="3" t="s">
        <v>39</v>
      </c>
      <c r="B36" s="4"/>
      <c r="C36" s="4"/>
      <c r="D36" s="4"/>
      <c r="E36" s="4"/>
      <c r="F36" s="4"/>
      <c r="G36" s="4"/>
      <c r="H36" s="5">
        <f>127</f>
        <v>127</v>
      </c>
      <c r="I36" s="5">
        <f>254</f>
        <v>254</v>
      </c>
      <c r="J36" s="5">
        <f t="shared" si="0"/>
        <v>381</v>
      </c>
    </row>
    <row r="37" spans="1:10" x14ac:dyDescent="0.3">
      <c r="A37" s="3" t="s">
        <v>40</v>
      </c>
      <c r="B37" s="5">
        <f>10323</f>
        <v>10323</v>
      </c>
      <c r="C37" s="5">
        <f>13431</f>
        <v>13431</v>
      </c>
      <c r="D37" s="5">
        <f>8769</f>
        <v>8769</v>
      </c>
      <c r="E37" s="5">
        <f>17316</f>
        <v>17316</v>
      </c>
      <c r="F37" s="5">
        <f>14430</f>
        <v>14430</v>
      </c>
      <c r="G37" s="5">
        <f>3885</f>
        <v>3885</v>
      </c>
      <c r="H37" s="5">
        <f>8658</f>
        <v>8658</v>
      </c>
      <c r="I37" s="5">
        <f>12987</f>
        <v>12987</v>
      </c>
      <c r="J37" s="5">
        <f t="shared" si="0"/>
        <v>89799</v>
      </c>
    </row>
    <row r="38" spans="1:10" x14ac:dyDescent="0.3">
      <c r="A38" s="3" t="s">
        <v>41</v>
      </c>
      <c r="B38" s="5">
        <f>432</f>
        <v>432</v>
      </c>
      <c r="C38" s="5">
        <f>1428</f>
        <v>1428</v>
      </c>
      <c r="D38" s="5">
        <f>1230</f>
        <v>1230</v>
      </c>
      <c r="E38" s="5">
        <f>1788</f>
        <v>1788</v>
      </c>
      <c r="F38" s="5">
        <f>2208</f>
        <v>2208</v>
      </c>
      <c r="G38" s="5">
        <f>390</f>
        <v>390</v>
      </c>
      <c r="H38" s="5">
        <f>1476</f>
        <v>1476</v>
      </c>
      <c r="I38" s="5">
        <f>948</f>
        <v>948</v>
      </c>
      <c r="J38" s="5">
        <f t="shared" si="0"/>
        <v>9900</v>
      </c>
    </row>
    <row r="39" spans="1:10" x14ac:dyDescent="0.3">
      <c r="A39" s="3" t="s">
        <v>42</v>
      </c>
      <c r="B39" s="5">
        <f>1708</f>
        <v>1708</v>
      </c>
      <c r="C39" s="5">
        <f>1708</f>
        <v>1708</v>
      </c>
      <c r="D39" s="5">
        <f>3721</f>
        <v>3721</v>
      </c>
      <c r="E39" s="5">
        <f>3660</f>
        <v>3660</v>
      </c>
      <c r="F39" s="5">
        <f>3660</f>
        <v>3660</v>
      </c>
      <c r="G39" s="5">
        <f>732</f>
        <v>732</v>
      </c>
      <c r="H39" s="5">
        <f>2806</f>
        <v>2806</v>
      </c>
      <c r="I39" s="5">
        <f>2562</f>
        <v>2562</v>
      </c>
      <c r="J39" s="5">
        <f t="shared" si="0"/>
        <v>20557</v>
      </c>
    </row>
    <row r="40" spans="1:10" x14ac:dyDescent="0.3">
      <c r="A40" s="3" t="s">
        <v>43</v>
      </c>
      <c r="B40" s="5">
        <f>72</f>
        <v>72</v>
      </c>
      <c r="C40" s="5">
        <f>144</f>
        <v>144</v>
      </c>
      <c r="D40" s="5">
        <f>72</f>
        <v>72</v>
      </c>
      <c r="E40" s="5">
        <f>168</f>
        <v>168</v>
      </c>
      <c r="F40" s="5">
        <f>96</f>
        <v>96</v>
      </c>
      <c r="G40" s="5">
        <f>100</f>
        <v>100</v>
      </c>
      <c r="H40" s="5">
        <f>100</f>
        <v>100</v>
      </c>
      <c r="I40" s="5">
        <f>50</f>
        <v>50</v>
      </c>
      <c r="J40" s="5">
        <f t="shared" si="0"/>
        <v>802</v>
      </c>
    </row>
    <row r="41" spans="1:10" x14ac:dyDescent="0.3">
      <c r="A41" s="3" t="s">
        <v>44</v>
      </c>
      <c r="B41" s="5">
        <f>336</f>
        <v>336</v>
      </c>
      <c r="C41" s="5">
        <f>504</f>
        <v>504</v>
      </c>
      <c r="D41" s="5">
        <f>315</f>
        <v>315</v>
      </c>
      <c r="E41" s="5">
        <f>567</f>
        <v>567</v>
      </c>
      <c r="F41" s="5">
        <f>462</f>
        <v>462</v>
      </c>
      <c r="G41" s="5">
        <f>352</f>
        <v>352</v>
      </c>
      <c r="H41" s="5">
        <f>352</f>
        <v>352</v>
      </c>
      <c r="I41" s="5">
        <f>484</f>
        <v>484</v>
      </c>
      <c r="J41" s="5">
        <f t="shared" si="0"/>
        <v>3372</v>
      </c>
    </row>
    <row r="42" spans="1:10" x14ac:dyDescent="0.3">
      <c r="A42" s="3" t="s">
        <v>45</v>
      </c>
      <c r="B42" s="4"/>
      <c r="C42" s="4"/>
      <c r="D42" s="4"/>
      <c r="E42" s="4"/>
      <c r="F42" s="5">
        <f>90.48</f>
        <v>90.48</v>
      </c>
      <c r="G42" s="4"/>
      <c r="H42" s="4"/>
      <c r="I42" s="4"/>
      <c r="J42" s="5">
        <f t="shared" si="0"/>
        <v>90.48</v>
      </c>
    </row>
    <row r="43" spans="1:10" x14ac:dyDescent="0.3">
      <c r="A43" s="3" t="s">
        <v>46</v>
      </c>
      <c r="B43" s="4"/>
      <c r="C43" s="4"/>
      <c r="D43" s="4"/>
      <c r="E43" s="4"/>
      <c r="F43" s="5">
        <f>90.48</f>
        <v>90.48</v>
      </c>
      <c r="G43" s="4"/>
      <c r="H43" s="4"/>
      <c r="I43" s="4"/>
      <c r="J43" s="5">
        <f t="shared" si="0"/>
        <v>90.48</v>
      </c>
    </row>
    <row r="44" spans="1:10" x14ac:dyDescent="0.3">
      <c r="A44" s="3" t="s">
        <v>47</v>
      </c>
      <c r="B44" s="5">
        <f>3675</f>
        <v>3675</v>
      </c>
      <c r="C44" s="5">
        <f>5700</f>
        <v>5700</v>
      </c>
      <c r="D44" s="5">
        <f>3950</f>
        <v>3950</v>
      </c>
      <c r="E44" s="5">
        <f>5228</f>
        <v>5228</v>
      </c>
      <c r="F44" s="5">
        <f>1550</f>
        <v>1550</v>
      </c>
      <c r="G44" s="5">
        <f>3128</f>
        <v>3128</v>
      </c>
      <c r="H44" s="5">
        <f>2900</f>
        <v>2900</v>
      </c>
      <c r="I44" s="5">
        <f>7188.7</f>
        <v>7188.7</v>
      </c>
      <c r="J44" s="5">
        <f t="shared" si="0"/>
        <v>33319.699999999997</v>
      </c>
    </row>
    <row r="45" spans="1:10" x14ac:dyDescent="0.3">
      <c r="A45" s="3" t="s">
        <v>48</v>
      </c>
      <c r="B45" s="5">
        <f>-256</f>
        <v>-256</v>
      </c>
      <c r="C45" s="4"/>
      <c r="D45" s="4"/>
      <c r="E45" s="4"/>
      <c r="F45" s="5">
        <f>-371.5</f>
        <v>-371.5</v>
      </c>
      <c r="G45" s="5">
        <f>-371.5</f>
        <v>-371.5</v>
      </c>
      <c r="H45" s="4"/>
      <c r="I45" s="4"/>
      <c r="J45" s="5">
        <f t="shared" si="0"/>
        <v>-999</v>
      </c>
    </row>
    <row r="46" spans="1:10" x14ac:dyDescent="0.3">
      <c r="A46" s="3" t="s">
        <v>49</v>
      </c>
      <c r="B46" s="4"/>
      <c r="C46" s="4"/>
      <c r="D46" s="5">
        <f>500</f>
        <v>500</v>
      </c>
      <c r="E46" s="5">
        <f>1500</f>
        <v>1500</v>
      </c>
      <c r="F46" s="5">
        <f>2000</f>
        <v>2000</v>
      </c>
      <c r="G46" s="5">
        <f>500</f>
        <v>500</v>
      </c>
      <c r="H46" s="4"/>
      <c r="I46" s="4"/>
      <c r="J46" s="5">
        <f t="shared" si="0"/>
        <v>4500</v>
      </c>
    </row>
    <row r="47" spans="1:10" x14ac:dyDescent="0.3">
      <c r="A47" s="3" t="s">
        <v>50</v>
      </c>
      <c r="B47" s="4"/>
      <c r="C47" s="5">
        <f>30300</f>
        <v>30300</v>
      </c>
      <c r="D47" s="5">
        <f>11450</f>
        <v>11450</v>
      </c>
      <c r="E47" s="5">
        <f>3020</f>
        <v>3020</v>
      </c>
      <c r="F47" s="5">
        <f>19515</f>
        <v>19515</v>
      </c>
      <c r="G47" s="5">
        <f>6885</f>
        <v>6885</v>
      </c>
      <c r="H47" s="5">
        <f>11740</f>
        <v>11740</v>
      </c>
      <c r="I47" s="5">
        <f>19645</f>
        <v>19645</v>
      </c>
      <c r="J47" s="5">
        <f t="shared" si="0"/>
        <v>102555</v>
      </c>
    </row>
    <row r="48" spans="1:10" x14ac:dyDescent="0.3">
      <c r="A48" s="3" t="s">
        <v>51</v>
      </c>
      <c r="B48" s="5">
        <f>6323.1</f>
        <v>6323.1</v>
      </c>
      <c r="C48" s="5">
        <f>235</f>
        <v>235</v>
      </c>
      <c r="D48" s="5">
        <f>446.3</f>
        <v>446.3</v>
      </c>
      <c r="E48" s="5">
        <f>532.6</f>
        <v>532.6</v>
      </c>
      <c r="F48" s="5">
        <f>577.5</f>
        <v>577.5</v>
      </c>
      <c r="G48" s="5">
        <f>206.3</f>
        <v>206.3</v>
      </c>
      <c r="H48" s="5">
        <f>222.2</f>
        <v>222.2</v>
      </c>
      <c r="I48" s="5">
        <f>737.85</f>
        <v>737.85</v>
      </c>
      <c r="J48" s="5">
        <f t="shared" si="0"/>
        <v>9280.8500000000022</v>
      </c>
    </row>
    <row r="49" spans="1:10" x14ac:dyDescent="0.3">
      <c r="A49" s="3" t="s">
        <v>52</v>
      </c>
      <c r="B49" s="5">
        <f>240</f>
        <v>240</v>
      </c>
      <c r="C49" s="5">
        <f>240</f>
        <v>240</v>
      </c>
      <c r="D49" s="5">
        <f>420</f>
        <v>420</v>
      </c>
      <c r="E49" s="5">
        <f>240</f>
        <v>240</v>
      </c>
      <c r="F49" s="5">
        <f>300</f>
        <v>300</v>
      </c>
      <c r="G49" s="5">
        <f>180</f>
        <v>180</v>
      </c>
      <c r="H49" s="5">
        <f>120</f>
        <v>120</v>
      </c>
      <c r="I49" s="5">
        <f>403</f>
        <v>403</v>
      </c>
      <c r="J49" s="5">
        <f t="shared" si="0"/>
        <v>2143</v>
      </c>
    </row>
    <row r="50" spans="1:10" x14ac:dyDescent="0.3">
      <c r="A50" s="3" t="s">
        <v>53</v>
      </c>
      <c r="B50" s="5">
        <f t="shared" ref="B50:I50" si="1">794.86</f>
        <v>794.86</v>
      </c>
      <c r="C50" s="5">
        <f t="shared" si="1"/>
        <v>794.86</v>
      </c>
      <c r="D50" s="5">
        <f t="shared" si="1"/>
        <v>794.86</v>
      </c>
      <c r="E50" s="5">
        <f t="shared" si="1"/>
        <v>794.86</v>
      </c>
      <c r="F50" s="5">
        <f t="shared" si="1"/>
        <v>794.86</v>
      </c>
      <c r="G50" s="5">
        <f t="shared" si="1"/>
        <v>794.86</v>
      </c>
      <c r="H50" s="5">
        <f t="shared" si="1"/>
        <v>794.86</v>
      </c>
      <c r="I50" s="5">
        <f t="shared" si="1"/>
        <v>794.86</v>
      </c>
      <c r="J50" s="5">
        <f t="shared" si="0"/>
        <v>6358.8799999999992</v>
      </c>
    </row>
    <row r="51" spans="1:10" x14ac:dyDescent="0.3">
      <c r="A51" s="3" t="s">
        <v>54</v>
      </c>
      <c r="B51" s="5">
        <f>8173.44</f>
        <v>8173.44</v>
      </c>
      <c r="C51" s="5">
        <f>10752.29</f>
        <v>10752.29</v>
      </c>
      <c r="D51" s="5">
        <f>12390.96</f>
        <v>12390.96</v>
      </c>
      <c r="E51" s="5">
        <f>10713.76</f>
        <v>10713.76</v>
      </c>
      <c r="F51" s="5">
        <f>10943.5</f>
        <v>10943.5</v>
      </c>
      <c r="G51" s="5">
        <f>6541.04</f>
        <v>6541.04</v>
      </c>
      <c r="H51" s="5">
        <f>8269.98</f>
        <v>8269.98</v>
      </c>
      <c r="I51" s="4"/>
      <c r="J51" s="5">
        <f t="shared" si="0"/>
        <v>67784.97</v>
      </c>
    </row>
    <row r="52" spans="1:10" x14ac:dyDescent="0.3">
      <c r="A52" s="3" t="s">
        <v>55</v>
      </c>
      <c r="B52" s="4"/>
      <c r="C52" s="5">
        <f>-883.33</f>
        <v>-883.33</v>
      </c>
      <c r="D52" s="5">
        <f>-333.35</f>
        <v>-333.35</v>
      </c>
      <c r="E52" s="5">
        <f>-200</f>
        <v>-200</v>
      </c>
      <c r="F52" s="5">
        <f>-300</f>
        <v>-300</v>
      </c>
      <c r="G52" s="4"/>
      <c r="H52" s="4"/>
      <c r="I52" s="5">
        <f>-383.33</f>
        <v>-383.33</v>
      </c>
      <c r="J52" s="5">
        <f t="shared" si="0"/>
        <v>-2100.0100000000002</v>
      </c>
    </row>
    <row r="53" spans="1:10" x14ac:dyDescent="0.3">
      <c r="A53" s="3" t="s">
        <v>56</v>
      </c>
      <c r="B53" s="6">
        <f t="shared" ref="B53:I53" si="2">(((((((((((((((((((((((((((((((((((((((((((((B7)+(B8))+(B9))+(B10))+(B11))+(B12))+(B13))+(B14))+(B15))+(B16))+(B17))+(B18))+(B19))+(B20))+(B21))+(B22))+(B23))+(B24))+(B25))+(B26))+(B27))+(B28))+(B29))+(B30))+(B31))+(B32))+(B33))+(B34))+(B35))+(B36))+(B37))+(B38))+(B39))+(B40))+(B41))+(B42))+(B43))+(B44))+(B45))+(B46))+(B47))+(B48))+(B49))+(B50))+(B51))+(B52)</f>
        <v>335199.05999999994</v>
      </c>
      <c r="C53" s="6">
        <f t="shared" si="2"/>
        <v>497694.52999999997</v>
      </c>
      <c r="D53" s="6">
        <f t="shared" si="2"/>
        <v>421502.48</v>
      </c>
      <c r="E53" s="6">
        <f t="shared" si="2"/>
        <v>493375.70999999996</v>
      </c>
      <c r="F53" s="6">
        <f t="shared" si="2"/>
        <v>528730.64999999991</v>
      </c>
      <c r="G53" s="6">
        <f t="shared" si="2"/>
        <v>212037.66999999998</v>
      </c>
      <c r="H53" s="6">
        <f t="shared" si="2"/>
        <v>437202</v>
      </c>
      <c r="I53" s="6">
        <f t="shared" si="2"/>
        <v>421458.37999999995</v>
      </c>
      <c r="J53" s="6">
        <f t="shared" si="0"/>
        <v>3347200.4799999995</v>
      </c>
    </row>
    <row r="54" spans="1:10" x14ac:dyDescent="0.3">
      <c r="A54" s="3" t="s">
        <v>57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3">
      <c r="A55" s="3" t="s">
        <v>58</v>
      </c>
      <c r="B55" s="5">
        <f>64165.95</f>
        <v>64165.95</v>
      </c>
      <c r="C55" s="5">
        <f>63656.61</f>
        <v>63656.61</v>
      </c>
      <c r="D55" s="5">
        <f>62712.91</f>
        <v>62712.91</v>
      </c>
      <c r="E55" s="5">
        <f>65278.76</f>
        <v>65278.76</v>
      </c>
      <c r="F55" s="5">
        <f>63804.98</f>
        <v>63804.98</v>
      </c>
      <c r="G55" s="5">
        <f>63626.33</f>
        <v>63626.33</v>
      </c>
      <c r="H55" s="5">
        <f>61829.54</f>
        <v>61829.54</v>
      </c>
      <c r="I55" s="5">
        <f>64536.95</f>
        <v>64536.95</v>
      </c>
      <c r="J55" s="5">
        <f t="shared" ref="J55:J68" si="3">(((((((B55)+(C55))+(D55))+(E55))+(F55))+(G55))+(H55))+(I55)</f>
        <v>509612.03</v>
      </c>
    </row>
    <row r="56" spans="1:10" x14ac:dyDescent="0.3">
      <c r="A56" s="3" t="s">
        <v>59</v>
      </c>
      <c r="B56" s="5">
        <f>6888.7</f>
        <v>6888.7</v>
      </c>
      <c r="C56" s="4"/>
      <c r="D56" s="4"/>
      <c r="E56" s="4"/>
      <c r="F56" s="4"/>
      <c r="G56" s="5">
        <f>-706.53</f>
        <v>-706.53</v>
      </c>
      <c r="H56" s="5">
        <f>-400</f>
        <v>-400</v>
      </c>
      <c r="I56" s="5">
        <f>-264.91</f>
        <v>-264.91000000000003</v>
      </c>
      <c r="J56" s="5">
        <f t="shared" si="3"/>
        <v>5517.26</v>
      </c>
    </row>
    <row r="57" spans="1:10" x14ac:dyDescent="0.3">
      <c r="A57" s="3" t="s">
        <v>60</v>
      </c>
      <c r="B57" s="5">
        <f>92.29</f>
        <v>92.29</v>
      </c>
      <c r="C57" s="5">
        <f>98.49</f>
        <v>98.49</v>
      </c>
      <c r="D57" s="4"/>
      <c r="E57" s="4"/>
      <c r="F57" s="4"/>
      <c r="G57" s="4"/>
      <c r="H57" s="4"/>
      <c r="I57" s="4"/>
      <c r="J57" s="5">
        <f t="shared" si="3"/>
        <v>190.78</v>
      </c>
    </row>
    <row r="58" spans="1:10" x14ac:dyDescent="0.3">
      <c r="A58" s="3" t="s">
        <v>61</v>
      </c>
      <c r="B58" s="4"/>
      <c r="C58" s="5">
        <f>2126.15</f>
        <v>2126.15</v>
      </c>
      <c r="D58" s="4"/>
      <c r="E58" s="4"/>
      <c r="F58" s="4"/>
      <c r="G58" s="4"/>
      <c r="H58" s="4"/>
      <c r="I58" s="4"/>
      <c r="J58" s="5">
        <f t="shared" si="3"/>
        <v>2126.15</v>
      </c>
    </row>
    <row r="59" spans="1:10" x14ac:dyDescent="0.3">
      <c r="A59" s="3" t="s">
        <v>62</v>
      </c>
      <c r="B59" s="5">
        <f>2656.67</f>
        <v>2656.67</v>
      </c>
      <c r="C59" s="5">
        <f>1173.88</f>
        <v>1173.8800000000001</v>
      </c>
      <c r="D59" s="5">
        <f>-1383.35</f>
        <v>-1383.35</v>
      </c>
      <c r="E59" s="4"/>
      <c r="F59" s="4"/>
      <c r="G59" s="4"/>
      <c r="H59" s="4"/>
      <c r="I59" s="4"/>
      <c r="J59" s="5">
        <f t="shared" si="3"/>
        <v>2447.2000000000003</v>
      </c>
    </row>
    <row r="60" spans="1:10" x14ac:dyDescent="0.3">
      <c r="A60" s="3" t="s">
        <v>63</v>
      </c>
      <c r="B60" s="5">
        <f>1667</f>
        <v>1667</v>
      </c>
      <c r="C60" s="5">
        <f>1667</f>
        <v>1667</v>
      </c>
      <c r="D60" s="5">
        <f>600</f>
        <v>600</v>
      </c>
      <c r="E60" s="5">
        <f>1667</f>
        <v>1667</v>
      </c>
      <c r="F60" s="5">
        <f>1667</f>
        <v>1667</v>
      </c>
      <c r="G60" s="5">
        <f>11533</f>
        <v>11533</v>
      </c>
      <c r="H60" s="5">
        <f>0</f>
        <v>0</v>
      </c>
      <c r="I60" s="4"/>
      <c r="J60" s="5">
        <f t="shared" si="3"/>
        <v>18801</v>
      </c>
    </row>
    <row r="61" spans="1:10" x14ac:dyDescent="0.3">
      <c r="A61" s="3" t="s">
        <v>64</v>
      </c>
      <c r="B61" s="5">
        <f>34879.46</f>
        <v>34879.46</v>
      </c>
      <c r="C61" s="5">
        <f>37473.83</f>
        <v>37473.83</v>
      </c>
      <c r="D61" s="5">
        <f>40043.58</f>
        <v>40043.58</v>
      </c>
      <c r="E61" s="5">
        <f>35745.61</f>
        <v>35745.61</v>
      </c>
      <c r="F61" s="5">
        <f>36843.23</f>
        <v>36843.230000000003</v>
      </c>
      <c r="G61" s="5">
        <f>34563.94</f>
        <v>34563.94</v>
      </c>
      <c r="H61" s="5">
        <f>33875.01</f>
        <v>33875.01</v>
      </c>
      <c r="I61" s="5">
        <f>37233.1</f>
        <v>37233.1</v>
      </c>
      <c r="J61" s="5">
        <f t="shared" si="3"/>
        <v>290657.76</v>
      </c>
    </row>
    <row r="62" spans="1:10" x14ac:dyDescent="0.3">
      <c r="A62" s="3" t="s">
        <v>65</v>
      </c>
      <c r="B62" s="5">
        <f>1911</f>
        <v>1911</v>
      </c>
      <c r="C62" s="4"/>
      <c r="D62" s="4"/>
      <c r="E62" s="4"/>
      <c r="F62" s="4"/>
      <c r="G62" s="4"/>
      <c r="H62" s="4"/>
      <c r="I62" s="4"/>
      <c r="J62" s="5">
        <f t="shared" si="3"/>
        <v>1911</v>
      </c>
    </row>
    <row r="63" spans="1:10" x14ac:dyDescent="0.3">
      <c r="A63" s="3" t="s">
        <v>66</v>
      </c>
      <c r="B63" s="5">
        <f>1021.5</f>
        <v>1021.5</v>
      </c>
      <c r="C63" s="5">
        <f>920.05</f>
        <v>920.05</v>
      </c>
      <c r="D63" s="4"/>
      <c r="E63" s="4"/>
      <c r="F63" s="4"/>
      <c r="G63" s="4"/>
      <c r="H63" s="4"/>
      <c r="I63" s="4"/>
      <c r="J63" s="5">
        <f t="shared" si="3"/>
        <v>1941.55</v>
      </c>
    </row>
    <row r="64" spans="1:10" x14ac:dyDescent="0.3">
      <c r="A64" s="3" t="s">
        <v>67</v>
      </c>
      <c r="B64" s="5">
        <f>48370.6</f>
        <v>48370.6</v>
      </c>
      <c r="C64" s="5">
        <f>80805.61</f>
        <v>80805.61</v>
      </c>
      <c r="D64" s="5">
        <f>20834.85</f>
        <v>20834.849999999999</v>
      </c>
      <c r="E64" s="4"/>
      <c r="F64" s="4"/>
      <c r="G64" s="4"/>
      <c r="H64" s="4"/>
      <c r="I64" s="4"/>
      <c r="J64" s="5">
        <f t="shared" si="3"/>
        <v>150011.06</v>
      </c>
    </row>
    <row r="65" spans="1:10" x14ac:dyDescent="0.3">
      <c r="A65" s="3" t="s">
        <v>68</v>
      </c>
      <c r="B65" s="5">
        <f>68105.28</f>
        <v>68105.279999999999</v>
      </c>
      <c r="C65" s="5">
        <f>69338.15</f>
        <v>69338.149999999994</v>
      </c>
      <c r="D65" s="5">
        <f>79433</f>
        <v>79433</v>
      </c>
      <c r="E65" s="5">
        <f>67928.95</f>
        <v>67928.95</v>
      </c>
      <c r="F65" s="5">
        <f>66031.78</f>
        <v>66031.78</v>
      </c>
      <c r="G65" s="5">
        <f>53496.36</f>
        <v>53496.36</v>
      </c>
      <c r="H65" s="5">
        <f>63573.74</f>
        <v>63573.74</v>
      </c>
      <c r="I65" s="5">
        <f>63950.11</f>
        <v>63950.11</v>
      </c>
      <c r="J65" s="5">
        <f t="shared" si="3"/>
        <v>531857.37</v>
      </c>
    </row>
    <row r="66" spans="1:10" x14ac:dyDescent="0.3">
      <c r="A66" s="3" t="s">
        <v>69</v>
      </c>
      <c r="B66" s="5">
        <f>810</f>
        <v>810</v>
      </c>
      <c r="C66" s="5">
        <f>42.99</f>
        <v>42.99</v>
      </c>
      <c r="D66" s="4"/>
      <c r="E66" s="4"/>
      <c r="F66" s="4"/>
      <c r="G66" s="4"/>
      <c r="H66" s="4"/>
      <c r="I66" s="4"/>
      <c r="J66" s="5">
        <f t="shared" si="3"/>
        <v>852.99</v>
      </c>
    </row>
    <row r="67" spans="1:10" x14ac:dyDescent="0.3">
      <c r="A67" s="3" t="s">
        <v>70</v>
      </c>
      <c r="B67" s="6">
        <f t="shared" ref="B67:I67" si="4">(((((((((((B55)+(B56))+(B57))+(B58))+(B59))+(B60))+(B61))+(B62))+(B63))+(B64))+(B65))+(B66)</f>
        <v>230568.44999999998</v>
      </c>
      <c r="C67" s="6">
        <f t="shared" si="4"/>
        <v>257302.75999999998</v>
      </c>
      <c r="D67" s="6">
        <f t="shared" si="4"/>
        <v>202240.99000000002</v>
      </c>
      <c r="E67" s="6">
        <f t="shared" si="4"/>
        <v>170620.32</v>
      </c>
      <c r="F67" s="6">
        <f t="shared" si="4"/>
        <v>168346.99</v>
      </c>
      <c r="G67" s="6">
        <f t="shared" si="4"/>
        <v>162513.1</v>
      </c>
      <c r="H67" s="6">
        <f t="shared" si="4"/>
        <v>158878.29</v>
      </c>
      <c r="I67" s="6">
        <f t="shared" si="4"/>
        <v>165455.25</v>
      </c>
      <c r="J67" s="6">
        <f t="shared" si="3"/>
        <v>1515926.1500000001</v>
      </c>
    </row>
    <row r="68" spans="1:10" x14ac:dyDescent="0.3">
      <c r="A68" s="3" t="s">
        <v>71</v>
      </c>
      <c r="B68" s="6">
        <f t="shared" ref="B68:I68" si="5">(B53)-(B67)</f>
        <v>104630.60999999996</v>
      </c>
      <c r="C68" s="6">
        <f t="shared" si="5"/>
        <v>240391.77</v>
      </c>
      <c r="D68" s="6">
        <f t="shared" si="5"/>
        <v>219261.48999999996</v>
      </c>
      <c r="E68" s="6">
        <f t="shared" si="5"/>
        <v>322755.38999999996</v>
      </c>
      <c r="F68" s="6">
        <f t="shared" si="5"/>
        <v>360383.65999999992</v>
      </c>
      <c r="G68" s="6">
        <f t="shared" si="5"/>
        <v>49524.569999999978</v>
      </c>
      <c r="H68" s="6">
        <f t="shared" si="5"/>
        <v>278323.70999999996</v>
      </c>
      <c r="I68" s="6">
        <f t="shared" si="5"/>
        <v>256003.12999999995</v>
      </c>
      <c r="J68" s="6">
        <f t="shared" si="3"/>
        <v>1831274.3299999996</v>
      </c>
    </row>
    <row r="69" spans="1:10" x14ac:dyDescent="0.3">
      <c r="A69" s="3" t="s">
        <v>72</v>
      </c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3">
      <c r="A70" s="3" t="s">
        <v>73</v>
      </c>
      <c r="B70" s="5">
        <f>2100</f>
        <v>2100</v>
      </c>
      <c r="C70" s="5">
        <f>2100</f>
        <v>2100</v>
      </c>
      <c r="D70" s="4"/>
      <c r="E70" s="4"/>
      <c r="F70" s="4"/>
      <c r="G70" s="4"/>
      <c r="H70" s="4"/>
      <c r="I70" s="4"/>
      <c r="J70" s="5">
        <f t="shared" ref="J70:J97" si="6">(((((((B70)+(C70))+(D70))+(E70))+(F70))+(G70))+(H70))+(I70)</f>
        <v>4200</v>
      </c>
    </row>
    <row r="71" spans="1:10" x14ac:dyDescent="0.3">
      <c r="A71" s="3" t="s">
        <v>74</v>
      </c>
      <c r="B71" s="5">
        <f>641</f>
        <v>641</v>
      </c>
      <c r="C71" s="5">
        <f>434.43</f>
        <v>434.43</v>
      </c>
      <c r="D71" s="5">
        <f>422.98</f>
        <v>422.98</v>
      </c>
      <c r="E71" s="5">
        <f>401.6</f>
        <v>401.6</v>
      </c>
      <c r="F71" s="5">
        <f>564.06</f>
        <v>564.05999999999995</v>
      </c>
      <c r="G71" s="5">
        <f>267.32</f>
        <v>267.32</v>
      </c>
      <c r="H71" s="5">
        <f>150.34</f>
        <v>150.34</v>
      </c>
      <c r="I71" s="5">
        <f>164.56</f>
        <v>164.56</v>
      </c>
      <c r="J71" s="5">
        <f t="shared" si="6"/>
        <v>3046.2900000000004</v>
      </c>
    </row>
    <row r="72" spans="1:10" x14ac:dyDescent="0.3">
      <c r="A72" s="3" t="s">
        <v>75</v>
      </c>
      <c r="B72" s="5">
        <f>7490.73</f>
        <v>7490.73</v>
      </c>
      <c r="C72" s="5">
        <f>10899.89</f>
        <v>10899.89</v>
      </c>
      <c r="D72" s="5">
        <f>9318.69</f>
        <v>9318.69</v>
      </c>
      <c r="E72" s="4"/>
      <c r="F72" s="5">
        <f>21689.57</f>
        <v>21689.57</v>
      </c>
      <c r="G72" s="5">
        <f>4560.98</f>
        <v>4560.9799999999996</v>
      </c>
      <c r="H72" s="4"/>
      <c r="I72" s="5">
        <f>18896.21</f>
        <v>18896.21</v>
      </c>
      <c r="J72" s="5">
        <f t="shared" si="6"/>
        <v>72856.070000000007</v>
      </c>
    </row>
    <row r="73" spans="1:10" x14ac:dyDescent="0.3">
      <c r="A73" s="3" t="s">
        <v>76</v>
      </c>
      <c r="B73" s="4"/>
      <c r="C73" s="5">
        <f>19.8</f>
        <v>19.8</v>
      </c>
      <c r="D73" s="4"/>
      <c r="E73" s="4"/>
      <c r="F73" s="4"/>
      <c r="G73" s="4"/>
      <c r="H73" s="4"/>
      <c r="I73" s="4"/>
      <c r="J73" s="5">
        <f t="shared" si="6"/>
        <v>19.8</v>
      </c>
    </row>
    <row r="74" spans="1:10" x14ac:dyDescent="0.3">
      <c r="A74" s="3" t="s">
        <v>77</v>
      </c>
      <c r="B74" s="5">
        <f>393.63</f>
        <v>393.63</v>
      </c>
      <c r="C74" s="5">
        <f>380.28</f>
        <v>380.28</v>
      </c>
      <c r="D74" s="5">
        <f>0</f>
        <v>0</v>
      </c>
      <c r="E74" s="4"/>
      <c r="F74" s="4"/>
      <c r="G74" s="5">
        <f>939.56</f>
        <v>939.56</v>
      </c>
      <c r="H74" s="4"/>
      <c r="I74" s="4"/>
      <c r="J74" s="5">
        <f t="shared" si="6"/>
        <v>1713.4699999999998</v>
      </c>
    </row>
    <row r="75" spans="1:10" x14ac:dyDescent="0.3">
      <c r="A75" s="3" t="s">
        <v>78</v>
      </c>
      <c r="B75" s="5">
        <f>2848.68</f>
        <v>2848.68</v>
      </c>
      <c r="C75" s="4"/>
      <c r="D75" s="4"/>
      <c r="E75" s="4"/>
      <c r="F75" s="4"/>
      <c r="G75" s="4"/>
      <c r="H75" s="4"/>
      <c r="I75" s="4"/>
      <c r="J75" s="5">
        <f t="shared" si="6"/>
        <v>2848.68</v>
      </c>
    </row>
    <row r="76" spans="1:10" x14ac:dyDescent="0.3">
      <c r="A76" s="3" t="s">
        <v>79</v>
      </c>
      <c r="B76" s="5">
        <f>488.75</f>
        <v>488.75</v>
      </c>
      <c r="C76" s="5">
        <f>257.69</f>
        <v>257.69</v>
      </c>
      <c r="D76" s="4"/>
      <c r="E76" s="4"/>
      <c r="F76" s="4"/>
      <c r="G76" s="4"/>
      <c r="H76" s="4"/>
      <c r="I76" s="4"/>
      <c r="J76" s="5">
        <f t="shared" si="6"/>
        <v>746.44</v>
      </c>
    </row>
    <row r="77" spans="1:10" x14ac:dyDescent="0.3">
      <c r="A77" s="3" t="s">
        <v>80</v>
      </c>
      <c r="B77" s="4"/>
      <c r="C77" s="4"/>
      <c r="D77" s="5">
        <f>2625</f>
        <v>2625</v>
      </c>
      <c r="E77" s="4"/>
      <c r="F77" s="4"/>
      <c r="G77" s="4"/>
      <c r="H77" s="4"/>
      <c r="I77" s="4"/>
      <c r="J77" s="5">
        <f t="shared" si="6"/>
        <v>2625</v>
      </c>
    </row>
    <row r="78" spans="1:10" x14ac:dyDescent="0.3">
      <c r="A78" s="3" t="s">
        <v>81</v>
      </c>
      <c r="B78" s="5">
        <f>1987.37</f>
        <v>1987.37</v>
      </c>
      <c r="C78" s="4"/>
      <c r="D78" s="4"/>
      <c r="E78" s="4"/>
      <c r="F78" s="5">
        <f>1877.48</f>
        <v>1877.48</v>
      </c>
      <c r="G78" s="4"/>
      <c r="H78" s="4"/>
      <c r="I78" s="5">
        <f>-1827.02</f>
        <v>-1827.02</v>
      </c>
      <c r="J78" s="5">
        <f t="shared" si="6"/>
        <v>2037.83</v>
      </c>
    </row>
    <row r="79" spans="1:10" x14ac:dyDescent="0.3">
      <c r="A79" s="3" t="s">
        <v>82</v>
      </c>
      <c r="B79" s="5">
        <f>0</f>
        <v>0</v>
      </c>
      <c r="C79" s="5">
        <f>0</f>
        <v>0</v>
      </c>
      <c r="D79" s="4"/>
      <c r="E79" s="4"/>
      <c r="F79" s="4"/>
      <c r="G79" s="4"/>
      <c r="H79" s="4"/>
      <c r="I79" s="4"/>
      <c r="J79" s="5">
        <f t="shared" si="6"/>
        <v>0</v>
      </c>
    </row>
    <row r="80" spans="1:10" x14ac:dyDescent="0.3">
      <c r="A80" s="3" t="s">
        <v>83</v>
      </c>
      <c r="B80" s="5">
        <f>1231.81</f>
        <v>1231.81</v>
      </c>
      <c r="C80" s="5">
        <f>320.82</f>
        <v>320.82</v>
      </c>
      <c r="D80" s="5">
        <f>-13067.76</f>
        <v>-13067.76</v>
      </c>
      <c r="E80" s="5">
        <f>499.98</f>
        <v>499.98</v>
      </c>
      <c r="F80" s="5">
        <f>-706.52</f>
        <v>-706.52</v>
      </c>
      <c r="G80" s="5">
        <f>1302.45</f>
        <v>1302.45</v>
      </c>
      <c r="H80" s="5">
        <f>9.3</f>
        <v>9.3000000000000007</v>
      </c>
      <c r="I80" s="4"/>
      <c r="J80" s="5">
        <f t="shared" si="6"/>
        <v>-10409.920000000002</v>
      </c>
    </row>
    <row r="81" spans="1:10" x14ac:dyDescent="0.3">
      <c r="A81" s="3" t="s">
        <v>84</v>
      </c>
      <c r="B81" s="5">
        <f>330.61</f>
        <v>330.61</v>
      </c>
      <c r="C81" s="4"/>
      <c r="D81" s="4"/>
      <c r="E81" s="4"/>
      <c r="F81" s="4"/>
      <c r="G81" s="4"/>
      <c r="H81" s="4"/>
      <c r="I81" s="4"/>
      <c r="J81" s="5">
        <f t="shared" si="6"/>
        <v>330.61</v>
      </c>
    </row>
    <row r="82" spans="1:10" x14ac:dyDescent="0.3">
      <c r="A82" s="3" t="s">
        <v>85</v>
      </c>
      <c r="B82" s="5">
        <f>1616.52</f>
        <v>1616.52</v>
      </c>
      <c r="C82" s="5">
        <f>59.45</f>
        <v>59.45</v>
      </c>
      <c r="D82" s="5">
        <f>2185.49</f>
        <v>2185.4899999999998</v>
      </c>
      <c r="E82" s="4"/>
      <c r="F82" s="4"/>
      <c r="G82" s="4"/>
      <c r="H82" s="4"/>
      <c r="I82" s="4"/>
      <c r="J82" s="5">
        <f t="shared" si="6"/>
        <v>3861.46</v>
      </c>
    </row>
    <row r="83" spans="1:10" x14ac:dyDescent="0.3">
      <c r="A83" s="3" t="s">
        <v>86</v>
      </c>
      <c r="B83" s="5">
        <f>835.81</f>
        <v>835.81</v>
      </c>
      <c r="C83" s="4"/>
      <c r="D83" s="4"/>
      <c r="E83" s="5">
        <f>132.8</f>
        <v>132.80000000000001</v>
      </c>
      <c r="F83" s="5">
        <f>539.67</f>
        <v>539.66999999999996</v>
      </c>
      <c r="G83" s="4"/>
      <c r="H83" s="4"/>
      <c r="I83" s="4"/>
      <c r="J83" s="5">
        <f t="shared" si="6"/>
        <v>1508.2799999999997</v>
      </c>
    </row>
    <row r="84" spans="1:10" x14ac:dyDescent="0.3">
      <c r="A84" s="3" t="s">
        <v>87</v>
      </c>
      <c r="B84" s="5">
        <f>883.84</f>
        <v>883.84</v>
      </c>
      <c r="C84" s="5">
        <f>877.06</f>
        <v>877.06</v>
      </c>
      <c r="D84" s="5">
        <f>0</f>
        <v>0</v>
      </c>
      <c r="E84" s="5">
        <f>-0.11</f>
        <v>-0.11</v>
      </c>
      <c r="F84" s="5">
        <f>0</f>
        <v>0</v>
      </c>
      <c r="G84" s="5">
        <f>1541.83</f>
        <v>1541.83</v>
      </c>
      <c r="H84" s="5">
        <f>583.31</f>
        <v>583.30999999999995</v>
      </c>
      <c r="I84" s="5">
        <f>571.1</f>
        <v>571.1</v>
      </c>
      <c r="J84" s="5">
        <f t="shared" si="6"/>
        <v>4457.03</v>
      </c>
    </row>
    <row r="85" spans="1:10" x14ac:dyDescent="0.3">
      <c r="A85" s="3" t="s">
        <v>88</v>
      </c>
      <c r="B85" s="5">
        <f>25615.99</f>
        <v>25615.99</v>
      </c>
      <c r="C85" s="5">
        <f>23591.7</f>
        <v>23591.7</v>
      </c>
      <c r="D85" s="5">
        <f>29141.16</f>
        <v>29141.16</v>
      </c>
      <c r="E85" s="5">
        <f>28083.33</f>
        <v>28083.33</v>
      </c>
      <c r="F85" s="5">
        <f>33779.18</f>
        <v>33779.18</v>
      </c>
      <c r="G85" s="5">
        <f>44904.86</f>
        <v>44904.86</v>
      </c>
      <c r="H85" s="5">
        <f>35975.93</f>
        <v>35975.93</v>
      </c>
      <c r="I85" s="5">
        <f>41343.72</f>
        <v>41343.72</v>
      </c>
      <c r="J85" s="5">
        <f t="shared" si="6"/>
        <v>262435.87</v>
      </c>
    </row>
    <row r="86" spans="1:10" x14ac:dyDescent="0.3">
      <c r="A86" s="3" t="s">
        <v>89</v>
      </c>
      <c r="B86" s="5">
        <f>6565.54</f>
        <v>6565.54</v>
      </c>
      <c r="C86" s="5">
        <f>5689.81</f>
        <v>5689.81</v>
      </c>
      <c r="D86" s="5">
        <f>1658.18</f>
        <v>1658.18</v>
      </c>
      <c r="E86" s="4"/>
      <c r="F86" s="4"/>
      <c r="G86" s="4"/>
      <c r="H86" s="5">
        <f>-12971.63</f>
        <v>-12971.63</v>
      </c>
      <c r="I86" s="4"/>
      <c r="J86" s="5">
        <f t="shared" si="6"/>
        <v>941.90000000000146</v>
      </c>
    </row>
    <row r="87" spans="1:10" x14ac:dyDescent="0.3">
      <c r="A87" s="3" t="s">
        <v>90</v>
      </c>
      <c r="B87" s="5">
        <f>21.06</f>
        <v>21.06</v>
      </c>
      <c r="C87" s="4"/>
      <c r="D87" s="5">
        <f>0</f>
        <v>0</v>
      </c>
      <c r="E87" s="4"/>
      <c r="F87" s="4"/>
      <c r="G87" s="4"/>
      <c r="H87" s="4"/>
      <c r="I87" s="4"/>
      <c r="J87" s="5">
        <f t="shared" si="6"/>
        <v>21.06</v>
      </c>
    </row>
    <row r="88" spans="1:10" x14ac:dyDescent="0.3">
      <c r="A88" s="3" t="s">
        <v>91</v>
      </c>
      <c r="B88" s="4"/>
      <c r="C88" s="4"/>
      <c r="D88" s="4"/>
      <c r="E88" s="4"/>
      <c r="F88" s="4"/>
      <c r="G88" s="5">
        <f>2151.2</f>
        <v>2151.1999999999998</v>
      </c>
      <c r="H88" s="4"/>
      <c r="I88" s="5">
        <f>975.6</f>
        <v>975.6</v>
      </c>
      <c r="J88" s="5">
        <f t="shared" si="6"/>
        <v>3126.7999999999997</v>
      </c>
    </row>
    <row r="89" spans="1:10" x14ac:dyDescent="0.3">
      <c r="A89" s="3" t="s">
        <v>92</v>
      </c>
      <c r="B89" s="5">
        <f>3444.67</f>
        <v>3444.67</v>
      </c>
      <c r="C89" s="4"/>
      <c r="D89" s="4"/>
      <c r="E89" s="4"/>
      <c r="F89" s="4"/>
      <c r="G89" s="5">
        <f>1140</f>
        <v>1140</v>
      </c>
      <c r="H89" s="4"/>
      <c r="I89" s="4"/>
      <c r="J89" s="5">
        <f t="shared" si="6"/>
        <v>4584.67</v>
      </c>
    </row>
    <row r="90" spans="1:10" x14ac:dyDescent="0.3">
      <c r="A90" s="3" t="s">
        <v>93</v>
      </c>
      <c r="B90" s="5">
        <f>47.65</f>
        <v>47.65</v>
      </c>
      <c r="C90" s="4"/>
      <c r="D90" s="4"/>
      <c r="E90" s="4"/>
      <c r="F90" s="4"/>
      <c r="G90" s="4"/>
      <c r="H90" s="4"/>
      <c r="I90" s="4"/>
      <c r="J90" s="5">
        <f t="shared" si="6"/>
        <v>47.65</v>
      </c>
    </row>
    <row r="91" spans="1:10" x14ac:dyDescent="0.3">
      <c r="A91" s="3" t="s">
        <v>94</v>
      </c>
      <c r="B91" s="5">
        <f>526.05</f>
        <v>526.04999999999995</v>
      </c>
      <c r="C91" s="4"/>
      <c r="D91" s="4"/>
      <c r="E91" s="4"/>
      <c r="F91" s="4"/>
      <c r="G91" s="4"/>
      <c r="H91" s="4"/>
      <c r="I91" s="4"/>
      <c r="J91" s="5">
        <f t="shared" si="6"/>
        <v>526.04999999999995</v>
      </c>
    </row>
    <row r="92" spans="1:10" x14ac:dyDescent="0.3">
      <c r="A92" s="3" t="s">
        <v>95</v>
      </c>
      <c r="B92" s="5">
        <f>90</f>
        <v>90</v>
      </c>
      <c r="C92" s="4"/>
      <c r="D92" s="4"/>
      <c r="E92" s="4"/>
      <c r="F92" s="4"/>
      <c r="G92" s="4"/>
      <c r="H92" s="4"/>
      <c r="I92" s="4"/>
      <c r="J92" s="5">
        <f t="shared" si="6"/>
        <v>90</v>
      </c>
    </row>
    <row r="93" spans="1:10" x14ac:dyDescent="0.3">
      <c r="A93" s="3" t="s">
        <v>96</v>
      </c>
      <c r="B93" s="4"/>
      <c r="C93" s="5">
        <f>0.63</f>
        <v>0.63</v>
      </c>
      <c r="D93" s="5">
        <f>0.51</f>
        <v>0.51</v>
      </c>
      <c r="E93" s="4"/>
      <c r="F93" s="4"/>
      <c r="G93" s="4"/>
      <c r="H93" s="4"/>
      <c r="I93" s="4"/>
      <c r="J93" s="5">
        <f t="shared" si="6"/>
        <v>1.1400000000000001</v>
      </c>
    </row>
    <row r="94" spans="1:10" x14ac:dyDescent="0.3">
      <c r="A94" s="3" t="s">
        <v>97</v>
      </c>
      <c r="B94" s="4"/>
      <c r="C94" s="4"/>
      <c r="D94" s="4"/>
      <c r="E94" s="4"/>
      <c r="F94" s="5">
        <f>1074.6</f>
        <v>1074.5999999999999</v>
      </c>
      <c r="G94" s="4"/>
      <c r="H94" s="4"/>
      <c r="I94" s="4"/>
      <c r="J94" s="5">
        <f t="shared" si="6"/>
        <v>1074.5999999999999</v>
      </c>
    </row>
    <row r="95" spans="1:10" x14ac:dyDescent="0.3">
      <c r="A95" s="3" t="s">
        <v>98</v>
      </c>
      <c r="B95" s="4"/>
      <c r="C95" s="5">
        <f>315</f>
        <v>315</v>
      </c>
      <c r="D95" s="4"/>
      <c r="E95" s="4"/>
      <c r="F95" s="4"/>
      <c r="G95" s="4"/>
      <c r="H95" s="4"/>
      <c r="I95" s="4"/>
      <c r="J95" s="5">
        <f t="shared" si="6"/>
        <v>315</v>
      </c>
    </row>
    <row r="96" spans="1:10" x14ac:dyDescent="0.3">
      <c r="A96" s="3" t="s">
        <v>99</v>
      </c>
      <c r="B96" s="4"/>
      <c r="C96" s="4"/>
      <c r="D96" s="5">
        <f>3854.9</f>
        <v>3854.9</v>
      </c>
      <c r="E96" s="4"/>
      <c r="F96" s="5">
        <f>6000</f>
        <v>6000</v>
      </c>
      <c r="G96" s="4"/>
      <c r="H96" s="4"/>
      <c r="I96" s="4"/>
      <c r="J96" s="5">
        <f t="shared" si="6"/>
        <v>9854.9</v>
      </c>
    </row>
    <row r="97" spans="1:10" x14ac:dyDescent="0.3">
      <c r="A97" s="3" t="s">
        <v>100</v>
      </c>
      <c r="B97" s="6">
        <f t="shared" ref="B97:I97" si="7">((((((((((((((((((((((((((B70)+(B71))+(B72))+(B73))+(B74))+(B75))+(B76))+(B77))+(B78))+(B79))+(B80))+(B81))+(B82))+(B83))+(B84))+(B85))+(B86))+(B87))+(B88))+(B89))+(B90))+(B91))+(B92))+(B93))+(B94))+(B95))+(B96)</f>
        <v>57159.710000000006</v>
      </c>
      <c r="C97" s="6">
        <f t="shared" si="7"/>
        <v>44946.559999999998</v>
      </c>
      <c r="D97" s="6">
        <f t="shared" si="7"/>
        <v>36139.149999999994</v>
      </c>
      <c r="E97" s="6">
        <f t="shared" si="7"/>
        <v>29117.600000000002</v>
      </c>
      <c r="F97" s="6">
        <f t="shared" si="7"/>
        <v>64818.04</v>
      </c>
      <c r="G97" s="6">
        <f t="shared" si="7"/>
        <v>56808.2</v>
      </c>
      <c r="H97" s="6">
        <f t="shared" si="7"/>
        <v>23747.25</v>
      </c>
      <c r="I97" s="6">
        <f t="shared" si="7"/>
        <v>60124.17</v>
      </c>
      <c r="J97" s="6">
        <f t="shared" si="6"/>
        <v>372860.68</v>
      </c>
    </row>
    <row r="98" spans="1:10" x14ac:dyDescent="0.3">
      <c r="A98" s="3" t="s">
        <v>101</v>
      </c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3">
      <c r="A99" s="3" t="s">
        <v>102</v>
      </c>
      <c r="B99" s="5">
        <f>1532.88</f>
        <v>1532.88</v>
      </c>
      <c r="C99" s="5">
        <f>1532.88</f>
        <v>1532.88</v>
      </c>
      <c r="D99" s="5">
        <f>1461.56</f>
        <v>1461.56</v>
      </c>
      <c r="E99" s="5">
        <f>1496.96</f>
        <v>1496.96</v>
      </c>
      <c r="F99" s="5">
        <f>1547.04</f>
        <v>1547.04</v>
      </c>
      <c r="G99" s="5">
        <f>1532.88</f>
        <v>1532.88</v>
      </c>
      <c r="H99" s="5">
        <f>1532.88</f>
        <v>1532.88</v>
      </c>
      <c r="I99" s="5">
        <f>-50.46</f>
        <v>-50.46</v>
      </c>
      <c r="J99" s="5">
        <f>(((((((B99)+(C99))+(D99))+(E99))+(F99))+(G99))+(H99))+(I99)</f>
        <v>10586.620000000003</v>
      </c>
    </row>
    <row r="100" spans="1:10" x14ac:dyDescent="0.3">
      <c r="A100" s="3" t="s">
        <v>103</v>
      </c>
      <c r="B100" s="4"/>
      <c r="C100" s="4"/>
      <c r="D100" s="5">
        <f>6800</f>
        <v>6800</v>
      </c>
      <c r="E100" s="4"/>
      <c r="F100" s="4"/>
      <c r="G100" s="4"/>
      <c r="H100" s="4"/>
      <c r="I100" s="4"/>
      <c r="J100" s="5">
        <f>(((((((B100)+(C100))+(D100))+(E100))+(F100))+(G100))+(H100))+(I100)</f>
        <v>6800</v>
      </c>
    </row>
    <row r="101" spans="1:10" x14ac:dyDescent="0.3">
      <c r="A101" s="3" t="s">
        <v>104</v>
      </c>
      <c r="B101" s="6">
        <f t="shared" ref="B101:I101" si="8">(B99)+(B100)</f>
        <v>1532.88</v>
      </c>
      <c r="C101" s="6">
        <f t="shared" si="8"/>
        <v>1532.88</v>
      </c>
      <c r="D101" s="6">
        <f t="shared" si="8"/>
        <v>8261.56</v>
      </c>
      <c r="E101" s="6">
        <f t="shared" si="8"/>
        <v>1496.96</v>
      </c>
      <c r="F101" s="6">
        <f t="shared" si="8"/>
        <v>1547.04</v>
      </c>
      <c r="G101" s="6">
        <f t="shared" si="8"/>
        <v>1532.88</v>
      </c>
      <c r="H101" s="6">
        <f t="shared" si="8"/>
        <v>1532.88</v>
      </c>
      <c r="I101" s="6">
        <f t="shared" si="8"/>
        <v>-50.46</v>
      </c>
      <c r="J101" s="6">
        <f>(((((((B101)+(C101))+(D101))+(E101))+(F101))+(G101))+(H101))+(I101)</f>
        <v>17386.620000000003</v>
      </c>
    </row>
    <row r="102" spans="1:10" x14ac:dyDescent="0.3">
      <c r="A102" s="3" t="s">
        <v>105</v>
      </c>
      <c r="B102" s="7">
        <f t="shared" ref="B102:I102" si="9">(((B68)-(B97))+(0))-(B101)</f>
        <v>45938.019999999953</v>
      </c>
      <c r="C102" s="7">
        <f t="shared" si="9"/>
        <v>193912.33</v>
      </c>
      <c r="D102" s="7">
        <f t="shared" si="9"/>
        <v>174860.77999999997</v>
      </c>
      <c r="E102" s="7">
        <f t="shared" si="9"/>
        <v>292140.82999999996</v>
      </c>
      <c r="F102" s="7">
        <f t="shared" si="9"/>
        <v>294018.57999999996</v>
      </c>
      <c r="G102" s="7">
        <f t="shared" si="9"/>
        <v>-8816.5100000000202</v>
      </c>
      <c r="H102" s="7">
        <f t="shared" si="9"/>
        <v>253043.57999999996</v>
      </c>
      <c r="I102" s="7">
        <f t="shared" si="9"/>
        <v>195929.41999999995</v>
      </c>
      <c r="J102" s="7">
        <f>(((((((B102)+(C102))+(D102))+(E102))+(F102))+(G102))+(H102))+(I102)</f>
        <v>1441027.0299999998</v>
      </c>
    </row>
    <row r="103" spans="1:10" x14ac:dyDescent="0.3">
      <c r="A103" s="3"/>
      <c r="B103" s="4"/>
      <c r="C103" s="4"/>
      <c r="D103" s="4"/>
      <c r="E103" s="4"/>
      <c r="F103" s="4"/>
      <c r="G103" s="4"/>
      <c r="H103" s="4"/>
      <c r="I103" s="4"/>
      <c r="J103" s="4"/>
    </row>
    <row r="106" spans="1:10" x14ac:dyDescent="0.3">
      <c r="A106" s="8" t="s">
        <v>106</v>
      </c>
      <c r="B106" s="9"/>
      <c r="C106" s="9"/>
      <c r="D106" s="9"/>
      <c r="E106" s="9"/>
      <c r="F106" s="9"/>
      <c r="G106" s="9"/>
      <c r="H106" s="9"/>
      <c r="I106" s="9"/>
      <c r="J106" s="9"/>
    </row>
  </sheetData>
  <mergeCells count="4">
    <mergeCell ref="A106:J106"/>
    <mergeCell ref="A1:J1"/>
    <mergeCell ref="A2:J2"/>
    <mergeCell ref="A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Rosel Villegas</cp:lastModifiedBy>
  <dcterms:created xsi:type="dcterms:W3CDTF">2022-10-06T06:54:34Z</dcterms:created>
  <dcterms:modified xsi:type="dcterms:W3CDTF">2022-10-06T06:55:09Z</dcterms:modified>
</cp:coreProperties>
</file>