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el.Villegas\Downloads\"/>
    </mc:Choice>
  </mc:AlternateContent>
  <xr:revisionPtr revIDLastSave="0" documentId="8_{29EAF91E-EC93-4291-A413-1AC67EE6A9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6" i="1" l="1"/>
  <c r="H96" i="1"/>
  <c r="G96" i="1"/>
  <c r="F96" i="1"/>
  <c r="D96" i="1"/>
  <c r="J96" i="1" s="1"/>
  <c r="C95" i="1"/>
  <c r="C97" i="1" s="1"/>
  <c r="I94" i="1"/>
  <c r="H94" i="1"/>
  <c r="G94" i="1"/>
  <c r="F94" i="1"/>
  <c r="E94" i="1"/>
  <c r="D94" i="1"/>
  <c r="J94" i="1" s="1"/>
  <c r="F93" i="1"/>
  <c r="E93" i="1"/>
  <c r="D93" i="1"/>
  <c r="C93" i="1"/>
  <c r="B93" i="1"/>
  <c r="J93" i="1" s="1"/>
  <c r="I92" i="1"/>
  <c r="H92" i="1"/>
  <c r="H95" i="1" s="1"/>
  <c r="H97" i="1" s="1"/>
  <c r="G92" i="1"/>
  <c r="G95" i="1" s="1"/>
  <c r="G97" i="1" s="1"/>
  <c r="F92" i="1"/>
  <c r="F95" i="1" s="1"/>
  <c r="F97" i="1" s="1"/>
  <c r="E92" i="1"/>
  <c r="E95" i="1" s="1"/>
  <c r="E97" i="1" s="1"/>
  <c r="D92" i="1"/>
  <c r="D95" i="1" s="1"/>
  <c r="D97" i="1" s="1"/>
  <c r="C92" i="1"/>
  <c r="B92" i="1"/>
  <c r="B95" i="1" s="1"/>
  <c r="J91" i="1"/>
  <c r="I91" i="1"/>
  <c r="I95" i="1" s="1"/>
  <c r="I97" i="1" s="1"/>
  <c r="H88" i="1"/>
  <c r="G88" i="1"/>
  <c r="F88" i="1"/>
  <c r="E88" i="1"/>
  <c r="D88" i="1"/>
  <c r="J88" i="1" s="1"/>
  <c r="F87" i="1"/>
  <c r="J87" i="1" s="1"/>
  <c r="I86" i="1"/>
  <c r="H86" i="1"/>
  <c r="G86" i="1"/>
  <c r="F86" i="1"/>
  <c r="E86" i="1"/>
  <c r="D86" i="1"/>
  <c r="C86" i="1"/>
  <c r="J86" i="1" s="1"/>
  <c r="H85" i="1"/>
  <c r="G85" i="1"/>
  <c r="F85" i="1"/>
  <c r="E85" i="1"/>
  <c r="D85" i="1"/>
  <c r="J85" i="1" s="1"/>
  <c r="D83" i="1"/>
  <c r="I82" i="1"/>
  <c r="H82" i="1"/>
  <c r="G82" i="1"/>
  <c r="F82" i="1"/>
  <c r="E82" i="1"/>
  <c r="J82" i="1" s="1"/>
  <c r="D81" i="1"/>
  <c r="J81" i="1" s="1"/>
  <c r="I80" i="1"/>
  <c r="I83" i="1" s="1"/>
  <c r="H80" i="1"/>
  <c r="H83" i="1" s="1"/>
  <c r="G80" i="1"/>
  <c r="G83" i="1" s="1"/>
  <c r="F80" i="1"/>
  <c r="F83" i="1" s="1"/>
  <c r="E80" i="1"/>
  <c r="E83" i="1" s="1"/>
  <c r="D80" i="1"/>
  <c r="C80" i="1"/>
  <c r="C83" i="1" s="1"/>
  <c r="B80" i="1"/>
  <c r="B83" i="1" s="1"/>
  <c r="J79" i="1"/>
  <c r="I78" i="1"/>
  <c r="G78" i="1"/>
  <c r="F78" i="1"/>
  <c r="E78" i="1"/>
  <c r="D78" i="1"/>
  <c r="C78" i="1"/>
  <c r="B78" i="1"/>
  <c r="J78" i="1" s="1"/>
  <c r="J77" i="1"/>
  <c r="H77" i="1"/>
  <c r="H78" i="1" s="1"/>
  <c r="J76" i="1"/>
  <c r="I75" i="1"/>
  <c r="C75" i="1"/>
  <c r="B75" i="1"/>
  <c r="J74" i="1"/>
  <c r="I74" i="1"/>
  <c r="G74" i="1"/>
  <c r="F74" i="1"/>
  <c r="I73" i="1"/>
  <c r="H73" i="1"/>
  <c r="G73" i="1"/>
  <c r="F73" i="1"/>
  <c r="J73" i="1" s="1"/>
  <c r="E73" i="1"/>
  <c r="D73" i="1"/>
  <c r="C73" i="1"/>
  <c r="J72" i="1"/>
  <c r="I72" i="1"/>
  <c r="J71" i="1"/>
  <c r="H71" i="1"/>
  <c r="H75" i="1" s="1"/>
  <c r="G71" i="1"/>
  <c r="G75" i="1" s="1"/>
  <c r="F71" i="1"/>
  <c r="F75" i="1" s="1"/>
  <c r="E71" i="1"/>
  <c r="E75" i="1" s="1"/>
  <c r="D71" i="1"/>
  <c r="D75" i="1" s="1"/>
  <c r="J70" i="1"/>
  <c r="I70" i="1"/>
  <c r="I69" i="1"/>
  <c r="H69" i="1"/>
  <c r="F69" i="1"/>
  <c r="E69" i="1"/>
  <c r="C69" i="1"/>
  <c r="B69" i="1"/>
  <c r="D68" i="1"/>
  <c r="J68" i="1" s="1"/>
  <c r="H67" i="1"/>
  <c r="D67" i="1"/>
  <c r="J67" i="1" s="1"/>
  <c r="J66" i="1"/>
  <c r="D66" i="1"/>
  <c r="J65" i="1"/>
  <c r="G65" i="1"/>
  <c r="G69" i="1" s="1"/>
  <c r="D65" i="1"/>
  <c r="D69" i="1" s="1"/>
  <c r="J64" i="1"/>
  <c r="I62" i="1"/>
  <c r="H62" i="1"/>
  <c r="G62" i="1"/>
  <c r="F62" i="1"/>
  <c r="E62" i="1"/>
  <c r="D62" i="1"/>
  <c r="C62" i="1"/>
  <c r="J62" i="1" s="1"/>
  <c r="I61" i="1"/>
  <c r="J61" i="1" s="1"/>
  <c r="H61" i="1"/>
  <c r="J60" i="1"/>
  <c r="I60" i="1"/>
  <c r="H60" i="1"/>
  <c r="G60" i="1"/>
  <c r="F60" i="1"/>
  <c r="I59" i="1"/>
  <c r="H59" i="1"/>
  <c r="G59" i="1"/>
  <c r="F59" i="1"/>
  <c r="E59" i="1"/>
  <c r="D59" i="1"/>
  <c r="C59" i="1"/>
  <c r="B59" i="1"/>
  <c r="J59" i="1" s="1"/>
  <c r="J58" i="1"/>
  <c r="I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C56" i="1"/>
  <c r="J55" i="1"/>
  <c r="I55" i="1"/>
  <c r="J54" i="1"/>
  <c r="I54" i="1"/>
  <c r="H54" i="1"/>
  <c r="G54" i="1"/>
  <c r="F54" i="1"/>
  <c r="E54" i="1"/>
  <c r="D54" i="1"/>
  <c r="C54" i="1"/>
  <c r="J53" i="1"/>
  <c r="H53" i="1"/>
  <c r="G53" i="1"/>
  <c r="F53" i="1"/>
  <c r="E53" i="1"/>
  <c r="D53" i="1"/>
  <c r="C53" i="1"/>
  <c r="I52" i="1"/>
  <c r="H52" i="1"/>
  <c r="G52" i="1"/>
  <c r="F52" i="1"/>
  <c r="E52" i="1"/>
  <c r="D52" i="1"/>
  <c r="C52" i="1"/>
  <c r="B52" i="1"/>
  <c r="J52" i="1" s="1"/>
  <c r="I51" i="1"/>
  <c r="H51" i="1"/>
  <c r="G51" i="1"/>
  <c r="F51" i="1"/>
  <c r="E51" i="1"/>
  <c r="D51" i="1"/>
  <c r="C51" i="1"/>
  <c r="B51" i="1"/>
  <c r="J51" i="1" s="1"/>
  <c r="I50" i="1"/>
  <c r="I63" i="1" s="1"/>
  <c r="E50" i="1"/>
  <c r="E63" i="1" s="1"/>
  <c r="C50" i="1"/>
  <c r="C63" i="1" s="1"/>
  <c r="I49" i="1"/>
  <c r="H49" i="1"/>
  <c r="H50" i="1" s="1"/>
  <c r="H63" i="1" s="1"/>
  <c r="G49" i="1"/>
  <c r="G50" i="1" s="1"/>
  <c r="G63" i="1" s="1"/>
  <c r="F49" i="1"/>
  <c r="F50" i="1" s="1"/>
  <c r="F63" i="1" s="1"/>
  <c r="E49" i="1"/>
  <c r="D49" i="1"/>
  <c r="D50" i="1" s="1"/>
  <c r="D63" i="1" s="1"/>
  <c r="C49" i="1"/>
  <c r="B49" i="1"/>
  <c r="B50" i="1" s="1"/>
  <c r="J48" i="1"/>
  <c r="J47" i="1"/>
  <c r="I46" i="1"/>
  <c r="I45" i="1"/>
  <c r="H45" i="1"/>
  <c r="J45" i="1" s="1"/>
  <c r="F45" i="1"/>
  <c r="E45" i="1"/>
  <c r="D45" i="1"/>
  <c r="J44" i="1"/>
  <c r="I44" i="1"/>
  <c r="I43" i="1"/>
  <c r="H43" i="1"/>
  <c r="J43" i="1" s="1"/>
  <c r="G43" i="1"/>
  <c r="F43" i="1"/>
  <c r="E43" i="1"/>
  <c r="D43" i="1"/>
  <c r="C43" i="1"/>
  <c r="H42" i="1"/>
  <c r="G42" i="1"/>
  <c r="J42" i="1" s="1"/>
  <c r="F42" i="1"/>
  <c r="E42" i="1"/>
  <c r="E46" i="1" s="1"/>
  <c r="D42" i="1"/>
  <c r="D46" i="1" s="1"/>
  <c r="C42" i="1"/>
  <c r="C46" i="1" s="1"/>
  <c r="B42" i="1"/>
  <c r="B46" i="1" s="1"/>
  <c r="I41" i="1"/>
  <c r="H41" i="1"/>
  <c r="J41" i="1" s="1"/>
  <c r="G41" i="1"/>
  <c r="F41" i="1"/>
  <c r="F46" i="1" s="1"/>
  <c r="J40" i="1"/>
  <c r="F39" i="1"/>
  <c r="E39" i="1"/>
  <c r="D39" i="1"/>
  <c r="C39" i="1"/>
  <c r="B39" i="1"/>
  <c r="H38" i="1"/>
  <c r="J38" i="1" s="1"/>
  <c r="G38" i="1"/>
  <c r="J37" i="1"/>
  <c r="H37" i="1"/>
  <c r="G37" i="1"/>
  <c r="G39" i="1" s="1"/>
  <c r="F37" i="1"/>
  <c r="J36" i="1"/>
  <c r="I36" i="1"/>
  <c r="I39" i="1" s="1"/>
  <c r="J35" i="1"/>
  <c r="I34" i="1"/>
  <c r="G34" i="1"/>
  <c r="E34" i="1"/>
  <c r="C34" i="1"/>
  <c r="B34" i="1"/>
  <c r="J33" i="1"/>
  <c r="I33" i="1"/>
  <c r="H33" i="1"/>
  <c r="H34" i="1" s="1"/>
  <c r="G33" i="1"/>
  <c r="F33" i="1"/>
  <c r="F34" i="1" s="1"/>
  <c r="E33" i="1"/>
  <c r="D33" i="1"/>
  <c r="D34" i="1" s="1"/>
  <c r="D84" i="1" s="1"/>
  <c r="D89" i="1" s="1"/>
  <c r="J32" i="1"/>
  <c r="J31" i="1"/>
  <c r="I27" i="1"/>
  <c r="H27" i="1"/>
  <c r="G27" i="1"/>
  <c r="J27" i="1" s="1"/>
  <c r="G25" i="1"/>
  <c r="B25" i="1"/>
  <c r="C24" i="1"/>
  <c r="B24" i="1"/>
  <c r="J24" i="1" s="1"/>
  <c r="I23" i="1"/>
  <c r="H23" i="1"/>
  <c r="G23" i="1"/>
  <c r="F23" i="1"/>
  <c r="E23" i="1"/>
  <c r="E25" i="1" s="1"/>
  <c r="D23" i="1"/>
  <c r="C23" i="1"/>
  <c r="J23" i="1" s="1"/>
  <c r="I22" i="1"/>
  <c r="H22" i="1"/>
  <c r="H25" i="1" s="1"/>
  <c r="G22" i="1"/>
  <c r="F22" i="1"/>
  <c r="F25" i="1" s="1"/>
  <c r="C22" i="1"/>
  <c r="B22" i="1"/>
  <c r="J22" i="1" s="1"/>
  <c r="J21" i="1"/>
  <c r="I21" i="1"/>
  <c r="H21" i="1"/>
  <c r="J20" i="1"/>
  <c r="H20" i="1"/>
  <c r="J19" i="1"/>
  <c r="I19" i="1"/>
  <c r="I25" i="1" s="1"/>
  <c r="D19" i="1"/>
  <c r="D25" i="1" s="1"/>
  <c r="C19" i="1"/>
  <c r="C25" i="1" s="1"/>
  <c r="J18" i="1"/>
  <c r="I16" i="1"/>
  <c r="H16" i="1"/>
  <c r="J16" i="1" s="1"/>
  <c r="G16" i="1"/>
  <c r="F16" i="1"/>
  <c r="E16" i="1"/>
  <c r="D16" i="1"/>
  <c r="I15" i="1"/>
  <c r="I17" i="1" s="1"/>
  <c r="H15" i="1"/>
  <c r="G15" i="1"/>
  <c r="G17" i="1" s="1"/>
  <c r="F15" i="1"/>
  <c r="E15" i="1"/>
  <c r="D15" i="1"/>
  <c r="C15" i="1"/>
  <c r="C17" i="1" s="1"/>
  <c r="B15" i="1"/>
  <c r="J15" i="1" s="1"/>
  <c r="I14" i="1"/>
  <c r="H14" i="1"/>
  <c r="G14" i="1"/>
  <c r="F14" i="1"/>
  <c r="E14" i="1"/>
  <c r="D14" i="1"/>
  <c r="C14" i="1"/>
  <c r="B14" i="1"/>
  <c r="B17" i="1" s="1"/>
  <c r="H13" i="1"/>
  <c r="H17" i="1" s="1"/>
  <c r="G13" i="1"/>
  <c r="F13" i="1"/>
  <c r="F17" i="1" s="1"/>
  <c r="E13" i="1"/>
  <c r="E17" i="1" s="1"/>
  <c r="D13" i="1"/>
  <c r="D17" i="1" s="1"/>
  <c r="C13" i="1"/>
  <c r="J13" i="1" s="1"/>
  <c r="J12" i="1"/>
  <c r="E12" i="1"/>
  <c r="G11" i="1"/>
  <c r="D11" i="1"/>
  <c r="C11" i="1"/>
  <c r="B11" i="1"/>
  <c r="B26" i="1" s="1"/>
  <c r="I10" i="1"/>
  <c r="H10" i="1"/>
  <c r="G10" i="1"/>
  <c r="F10" i="1"/>
  <c r="J10" i="1" s="1"/>
  <c r="I9" i="1"/>
  <c r="I11" i="1" s="1"/>
  <c r="H9" i="1"/>
  <c r="H11" i="1" s="1"/>
  <c r="G9" i="1"/>
  <c r="F9" i="1"/>
  <c r="F11" i="1" s="1"/>
  <c r="F26" i="1" s="1"/>
  <c r="F28" i="1" s="1"/>
  <c r="F29" i="1" s="1"/>
  <c r="E9" i="1"/>
  <c r="E11" i="1" s="1"/>
  <c r="D9" i="1"/>
  <c r="J8" i="1"/>
  <c r="J7" i="1"/>
  <c r="B28" i="1" l="1"/>
  <c r="I26" i="1"/>
  <c r="I28" i="1" s="1"/>
  <c r="I29" i="1" s="1"/>
  <c r="I98" i="1" s="1"/>
  <c r="G26" i="1"/>
  <c r="G28" i="1" s="1"/>
  <c r="G29" i="1" s="1"/>
  <c r="J25" i="1"/>
  <c r="E84" i="1"/>
  <c r="E89" i="1" s="1"/>
  <c r="F98" i="1"/>
  <c r="C26" i="1"/>
  <c r="C28" i="1" s="1"/>
  <c r="C29" i="1" s="1"/>
  <c r="J50" i="1"/>
  <c r="B63" i="1"/>
  <c r="J63" i="1" s="1"/>
  <c r="H26" i="1"/>
  <c r="H28" i="1" s="1"/>
  <c r="H29" i="1" s="1"/>
  <c r="D26" i="1"/>
  <c r="D28" i="1" s="1"/>
  <c r="D29" i="1" s="1"/>
  <c r="D98" i="1" s="1"/>
  <c r="C84" i="1"/>
  <c r="C89" i="1" s="1"/>
  <c r="J17" i="1"/>
  <c r="F84" i="1"/>
  <c r="F89" i="1" s="1"/>
  <c r="J69" i="1"/>
  <c r="J11" i="1"/>
  <c r="E26" i="1"/>
  <c r="E28" i="1" s="1"/>
  <c r="E29" i="1" s="1"/>
  <c r="I84" i="1"/>
  <c r="I89" i="1" s="1"/>
  <c r="J83" i="1"/>
  <c r="H84" i="1"/>
  <c r="H89" i="1" s="1"/>
  <c r="J39" i="1"/>
  <c r="J75" i="1"/>
  <c r="J95" i="1"/>
  <c r="B97" i="1"/>
  <c r="J97" i="1" s="1"/>
  <c r="J34" i="1"/>
  <c r="H46" i="1"/>
  <c r="J92" i="1"/>
  <c r="G46" i="1"/>
  <c r="J46" i="1" s="1"/>
  <c r="J14" i="1"/>
  <c r="H39" i="1"/>
  <c r="J9" i="1"/>
  <c r="J80" i="1"/>
  <c r="J49" i="1"/>
  <c r="E98" i="1" l="1"/>
  <c r="H98" i="1"/>
  <c r="B84" i="1"/>
  <c r="G84" i="1"/>
  <c r="G89" i="1" s="1"/>
  <c r="G98" i="1" s="1"/>
  <c r="J26" i="1"/>
  <c r="C98" i="1"/>
  <c r="B29" i="1"/>
  <c r="J28" i="1"/>
  <c r="J84" i="1" l="1"/>
  <c r="B89" i="1"/>
  <c r="J89" i="1" s="1"/>
  <c r="J29" i="1"/>
  <c r="B98" i="1" l="1"/>
  <c r="J98" i="1" s="1"/>
</calcChain>
</file>

<file path=xl/sharedStrings.xml><?xml version="1.0" encoding="utf-8"?>
<sst xmlns="http://schemas.openxmlformats.org/spreadsheetml/2006/main" count="106" uniqueCount="106">
  <si>
    <t>Jan. 2022</t>
  </si>
  <si>
    <t>Feb. 2022</t>
  </si>
  <si>
    <t>Mar. 2022</t>
  </si>
  <si>
    <t>Apr. 2022</t>
  </si>
  <si>
    <t>May 2022</t>
  </si>
  <si>
    <t>Jun. 2022</t>
  </si>
  <si>
    <t>Jul. 2022</t>
  </si>
  <si>
    <t>Aug. 2022</t>
  </si>
  <si>
    <t>Total</t>
  </si>
  <si>
    <t xml:space="preserve">   COST OF GOODS SOLD</t>
  </si>
  <si>
    <t xml:space="preserve">      51000 Cost of goods sold</t>
  </si>
  <si>
    <t xml:space="preserve">         51100 COGS - payroll</t>
  </si>
  <si>
    <t xml:space="preserve">            51110 Salaries &amp; wages</t>
  </si>
  <si>
    <t xml:space="preserve">            51114 Cost of Goods Sold</t>
  </si>
  <si>
    <t xml:space="preserve">         Total 51100 COGS - payroll</t>
  </si>
  <si>
    <t xml:space="preserve">         51200 COGS - supplies</t>
  </si>
  <si>
    <t xml:space="preserve">            51210 Surgical supplies</t>
  </si>
  <si>
    <t xml:space="preserve">            51220 Clinical supplies</t>
  </si>
  <si>
    <t xml:space="preserve">            51230 IVF Lab supplies</t>
  </si>
  <si>
    <t xml:space="preserve">            51240 Medication</t>
  </si>
  <si>
    <t xml:space="preserve">         Total 51200 COGS - supplies</t>
  </si>
  <si>
    <t xml:space="preserve">         51300 COGS - services</t>
  </si>
  <si>
    <t xml:space="preserve">            51330 Genetic testing</t>
  </si>
  <si>
    <t xml:space="preserve">            51340 COGS - contract labor</t>
  </si>
  <si>
    <t xml:space="preserve">            51350 COGS - janitorial and waste management</t>
  </si>
  <si>
    <t xml:space="preserve">            51370 COGS - repair &amp; maintenance</t>
  </si>
  <si>
    <t xml:space="preserve">            51380 Laundry</t>
  </si>
  <si>
    <t xml:space="preserve">            51400 Management service expense</t>
  </si>
  <si>
    <t xml:space="preserve">         Total 51300 COGS - services</t>
  </si>
  <si>
    <t xml:space="preserve">      Total 51000 Cost of goods sold</t>
  </si>
  <si>
    <t xml:space="preserve">      Freight and delivery - COS</t>
  </si>
  <si>
    <t xml:space="preserve">   Total Cost of Goods Sold</t>
  </si>
  <si>
    <t>GROSS PROFIT</t>
  </si>
  <si>
    <t>EXPENSES</t>
  </si>
  <si>
    <t xml:space="preserve">   60000 Operating expenses</t>
  </si>
  <si>
    <t xml:space="preserve">      61100 Payroll</t>
  </si>
  <si>
    <t xml:space="preserve">         61110 Salaries &amp; wages</t>
  </si>
  <si>
    <t xml:space="preserve">      Total 61100 Payroll</t>
  </si>
  <si>
    <t xml:space="preserve">      63100 Marketing</t>
  </si>
  <si>
    <t xml:space="preserve">         63120 Events/Swag</t>
  </si>
  <si>
    <t xml:space="preserve">         63140 Website/multimedia/digital/apps</t>
  </si>
  <si>
    <t xml:space="preserve">         63150 Advertising, print &amp; promotion</t>
  </si>
  <si>
    <t xml:space="preserve">      Total 63100 Marketing</t>
  </si>
  <si>
    <t xml:space="preserve">      64100 Professional fees</t>
  </si>
  <si>
    <t xml:space="preserve">         64110 Accounting</t>
  </si>
  <si>
    <t xml:space="preserve">         64120 Consulting</t>
  </si>
  <si>
    <t xml:space="preserve">         64130 Contract labor</t>
  </si>
  <si>
    <t xml:space="preserve">         64150 Recruiting</t>
  </si>
  <si>
    <t xml:space="preserve">         64160 Legal</t>
  </si>
  <si>
    <t xml:space="preserve">      Total 64100 Professional fees</t>
  </si>
  <si>
    <t xml:space="preserve">      65000 Office</t>
  </si>
  <si>
    <t xml:space="preserve">         65100 Rent</t>
  </si>
  <si>
    <t xml:space="preserve">            65110 Base rent</t>
  </si>
  <si>
    <t xml:space="preserve">         Total 65100 Rent</t>
  </si>
  <si>
    <t xml:space="preserve">         65130 Telephone &amp; internet</t>
  </si>
  <si>
    <t xml:space="preserve">         65140 Janitorial and waste management</t>
  </si>
  <si>
    <t xml:space="preserve">         65150 Insurance</t>
  </si>
  <si>
    <t xml:space="preserve">         65160 Repair &amp; Maintenance</t>
  </si>
  <si>
    <t xml:space="preserve">         65170 Shredding Services</t>
  </si>
  <si>
    <t xml:space="preserve">         65180 Printing, delivery, &amp; postage</t>
  </si>
  <si>
    <t xml:space="preserve">         65190 Office supplies</t>
  </si>
  <si>
    <t xml:space="preserve">         65200 IT supplies</t>
  </si>
  <si>
    <t xml:space="preserve">         65210 Computer software</t>
  </si>
  <si>
    <t xml:space="preserve">         65220 Computer hardware</t>
  </si>
  <si>
    <t xml:space="preserve">         65230 Equipment rentals</t>
  </si>
  <si>
    <t xml:space="preserve">         65240 Dues &amp; subscriptions</t>
  </si>
  <si>
    <t xml:space="preserve">      Total 65000 Office</t>
  </si>
  <si>
    <t xml:space="preserve">      66100 Travel</t>
  </si>
  <si>
    <t xml:space="preserve">         66110 Airfare</t>
  </si>
  <si>
    <t xml:space="preserve">         66130 Meals</t>
  </si>
  <si>
    <t xml:space="preserve">         66140 Ground transportation</t>
  </si>
  <si>
    <t xml:space="preserve">         66160 Other travel expenses</t>
  </si>
  <si>
    <t xml:space="preserve">      Total 66100 Travel</t>
  </si>
  <si>
    <t xml:space="preserve">      67100 Employee related expenses</t>
  </si>
  <si>
    <t xml:space="preserve">         67110 Professional development</t>
  </si>
  <si>
    <t xml:space="preserve">         67120 Employee recognition</t>
  </si>
  <si>
    <t xml:space="preserve">         67130 Company events</t>
  </si>
  <si>
    <t xml:space="preserve">         67160 In-house meals</t>
  </si>
  <si>
    <t xml:space="preserve">      Total 67100 Employee related expenses</t>
  </si>
  <si>
    <t xml:space="preserve">      68100 Taxes &amp; Regulatory fees</t>
  </si>
  <si>
    <t xml:space="preserve">         68130 Licensing &amp; permitting</t>
  </si>
  <si>
    <t xml:space="preserve">      Total 68100 Taxes &amp; Regulatory fees</t>
  </si>
  <si>
    <t xml:space="preserve">      69100 Bank charges</t>
  </si>
  <si>
    <t xml:space="preserve">         69110 Bank fees</t>
  </si>
  <si>
    <t xml:space="preserve">         69120 Merchant fees</t>
  </si>
  <si>
    <t xml:space="preserve">         69130 Payroll processing fee</t>
  </si>
  <si>
    <t xml:space="preserve">      Total 69100 Bank charges</t>
  </si>
  <si>
    <t xml:space="preserve">   Total 60000 Operating expenses</t>
  </si>
  <si>
    <t xml:space="preserve">   Freight and Delivery</t>
  </si>
  <si>
    <t xml:space="preserve">   Insurance</t>
  </si>
  <si>
    <t xml:space="preserve">   Interest expense</t>
  </si>
  <si>
    <t xml:space="preserve">   Meals and entertainment</t>
  </si>
  <si>
    <t>Total Expenses</t>
  </si>
  <si>
    <t>OTHER EXPENSES</t>
  </si>
  <si>
    <t xml:space="preserve">   70000 Other operating expenses</t>
  </si>
  <si>
    <t xml:space="preserve">      71140 Depreciation</t>
  </si>
  <si>
    <t xml:space="preserve">      71150 Amortization</t>
  </si>
  <si>
    <t xml:space="preserve">      71170 Other misc expense</t>
  </si>
  <si>
    <t xml:space="preserve">   Total 70000 Other operating expenses</t>
  </si>
  <si>
    <t xml:space="preserve">   Exchange Gain or Loss</t>
  </si>
  <si>
    <t>Total Other Expenses</t>
  </si>
  <si>
    <t>PROFIT</t>
  </si>
  <si>
    <t>Wednesday, Oct. 05, 2022 11:56:18 p.m. GMT-7 - Accrual Basis</t>
  </si>
  <si>
    <t>Spring Fertility Vancouver MSO Inc</t>
  </si>
  <si>
    <t>Profit and Loss</t>
  </si>
  <si>
    <t>January - August,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</si>
</sst>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$&quot;* #,##0.00\ _€"/>
  </numFmts>
  <fonts count="6" x14ac:knownFonts="1"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workbookViewId="0">
      <selection activeCell="L13" sqref="L13"/>
    </sheetView>
  </sheetViews>
  <sheetFormatPr defaultRowHeight="14.4" x14ac:dyDescent="0.3"/>
  <cols>
    <col min="1" max="1" width="49" customWidth="1"/>
    <col min="2" max="2" width="11.21875" customWidth="1"/>
    <col min="3" max="9" width="12" customWidth="1"/>
    <col min="10" max="10" width="13.77734375" customWidth="1"/>
  </cols>
  <sheetData>
    <row r="1" spans="1:10" ht="17.399999999999999" x14ac:dyDescent="0.3">
      <c r="A1" s="10" t="s">
        <v>103</v>
      </c>
      <c r="B1" s="9"/>
      <c r="C1" s="9"/>
      <c r="D1" s="9"/>
      <c r="E1" s="9"/>
      <c r="F1" s="9"/>
      <c r="G1" s="9"/>
      <c r="H1" s="9"/>
      <c r="I1" s="9"/>
      <c r="J1" s="9"/>
    </row>
    <row r="2" spans="1:10" ht="17.399999999999999" x14ac:dyDescent="0.3">
      <c r="A2" s="10" t="s">
        <v>104</v>
      </c>
      <c r="B2" s="9"/>
      <c r="C2" s="9"/>
      <c r="D2" s="9"/>
      <c r="E2" s="9"/>
      <c r="F2" s="9"/>
      <c r="G2" s="9"/>
      <c r="H2" s="9"/>
      <c r="I2" s="9"/>
      <c r="J2" s="9"/>
    </row>
    <row r="3" spans="1:10" x14ac:dyDescent="0.3">
      <c r="A3" s="11" t="s">
        <v>105</v>
      </c>
      <c r="B3" s="9"/>
      <c r="C3" s="9"/>
      <c r="D3" s="9"/>
      <c r="E3" s="9"/>
      <c r="F3" s="9"/>
      <c r="G3" s="9"/>
      <c r="H3" s="9"/>
      <c r="I3" s="9"/>
      <c r="J3" s="9"/>
    </row>
    <row r="5" spans="1:10" x14ac:dyDescent="0.3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</row>
    <row r="6" spans="1:10" x14ac:dyDescent="0.3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3">
      <c r="A7" s="3" t="s">
        <v>10</v>
      </c>
      <c r="B7" s="4"/>
      <c r="C7" s="4"/>
      <c r="D7" s="4"/>
      <c r="E7" s="4"/>
      <c r="F7" s="4"/>
      <c r="G7" s="4"/>
      <c r="H7" s="4"/>
      <c r="I7" s="4"/>
      <c r="J7" s="5">
        <f t="shared" ref="J7:J29" si="0">(((((((B7)+(C7))+(D7))+(E7))+(F7))+(G7))+(H7))+(I7)</f>
        <v>0</v>
      </c>
    </row>
    <row r="8" spans="1:10" x14ac:dyDescent="0.3">
      <c r="A8" s="3" t="s">
        <v>11</v>
      </c>
      <c r="B8" s="4"/>
      <c r="C8" s="4"/>
      <c r="D8" s="4"/>
      <c r="E8" s="4"/>
      <c r="F8" s="4"/>
      <c r="G8" s="4"/>
      <c r="H8" s="4"/>
      <c r="I8" s="4"/>
      <c r="J8" s="5">
        <f t="shared" si="0"/>
        <v>0</v>
      </c>
    </row>
    <row r="9" spans="1:10" x14ac:dyDescent="0.3">
      <c r="A9" s="3" t="s">
        <v>12</v>
      </c>
      <c r="B9" s="4"/>
      <c r="C9" s="4"/>
      <c r="D9" s="5">
        <f>0</f>
        <v>0</v>
      </c>
      <c r="E9" s="5">
        <f>0</f>
        <v>0</v>
      </c>
      <c r="F9" s="5">
        <f>4638.22</f>
        <v>4638.22</v>
      </c>
      <c r="G9" s="5">
        <f>0</f>
        <v>0</v>
      </c>
      <c r="H9" s="5">
        <f>0</f>
        <v>0</v>
      </c>
      <c r="I9" s="5">
        <f>5658.54</f>
        <v>5658.54</v>
      </c>
      <c r="J9" s="5">
        <f t="shared" si="0"/>
        <v>10296.76</v>
      </c>
    </row>
    <row r="10" spans="1:10" x14ac:dyDescent="0.3">
      <c r="A10" s="3" t="s">
        <v>13</v>
      </c>
      <c r="B10" s="4"/>
      <c r="C10" s="4"/>
      <c r="D10" s="4"/>
      <c r="E10" s="4"/>
      <c r="F10" s="5">
        <f>5837.07</f>
        <v>5837.07</v>
      </c>
      <c r="G10" s="5">
        <f>15916.2</f>
        <v>15916.2</v>
      </c>
      <c r="H10" s="5">
        <f>8728.08</f>
        <v>8728.08</v>
      </c>
      <c r="I10" s="5">
        <f>11335.91</f>
        <v>11335.91</v>
      </c>
      <c r="J10" s="5">
        <f t="shared" si="0"/>
        <v>41817.259999999995</v>
      </c>
    </row>
    <row r="11" spans="1:10" x14ac:dyDescent="0.3">
      <c r="A11" s="3" t="s">
        <v>14</v>
      </c>
      <c r="B11" s="6">
        <f t="shared" ref="B11:I11" si="1">((B8)+(B9))+(B10)</f>
        <v>0</v>
      </c>
      <c r="C11" s="6">
        <f t="shared" si="1"/>
        <v>0</v>
      </c>
      <c r="D11" s="6">
        <f t="shared" si="1"/>
        <v>0</v>
      </c>
      <c r="E11" s="6">
        <f t="shared" si="1"/>
        <v>0</v>
      </c>
      <c r="F11" s="6">
        <f t="shared" si="1"/>
        <v>10475.290000000001</v>
      </c>
      <c r="G11" s="6">
        <f t="shared" si="1"/>
        <v>15916.2</v>
      </c>
      <c r="H11" s="6">
        <f t="shared" si="1"/>
        <v>8728.08</v>
      </c>
      <c r="I11" s="6">
        <f t="shared" si="1"/>
        <v>16994.45</v>
      </c>
      <c r="J11" s="6">
        <f t="shared" si="0"/>
        <v>52114.020000000004</v>
      </c>
    </row>
    <row r="12" spans="1:10" x14ac:dyDescent="0.3">
      <c r="A12" s="3" t="s">
        <v>15</v>
      </c>
      <c r="B12" s="4"/>
      <c r="C12" s="4"/>
      <c r="D12" s="4"/>
      <c r="E12" s="5">
        <f>6117.83</f>
        <v>6117.83</v>
      </c>
      <c r="F12" s="4"/>
      <c r="G12" s="4"/>
      <c r="H12" s="4"/>
      <c r="I12" s="4"/>
      <c r="J12" s="5">
        <f t="shared" si="0"/>
        <v>6117.83</v>
      </c>
    </row>
    <row r="13" spans="1:10" x14ac:dyDescent="0.3">
      <c r="A13" s="3" t="s">
        <v>16</v>
      </c>
      <c r="B13" s="4"/>
      <c r="C13" s="5">
        <f>2149.93</f>
        <v>2149.9299999999998</v>
      </c>
      <c r="D13" s="5">
        <f>3420.18</f>
        <v>3420.18</v>
      </c>
      <c r="E13" s="5">
        <f>4747.74</f>
        <v>4747.74</v>
      </c>
      <c r="F13" s="5">
        <f>2234.98</f>
        <v>2234.98</v>
      </c>
      <c r="G13" s="5">
        <f>3346.09</f>
        <v>3346.09</v>
      </c>
      <c r="H13" s="5">
        <f>3500</f>
        <v>3500</v>
      </c>
      <c r="I13" s="4"/>
      <c r="J13" s="5">
        <f t="shared" si="0"/>
        <v>19398.919999999998</v>
      </c>
    </row>
    <row r="14" spans="1:10" x14ac:dyDescent="0.3">
      <c r="A14" s="3" t="s">
        <v>17</v>
      </c>
      <c r="B14" s="5">
        <f>4503.1</f>
        <v>4503.1000000000004</v>
      </c>
      <c r="C14" s="5">
        <f>6134.57</f>
        <v>6134.57</v>
      </c>
      <c r="D14" s="5">
        <f>4115.35</f>
        <v>4115.3500000000004</v>
      </c>
      <c r="E14" s="5">
        <f>4220.22</f>
        <v>4220.22</v>
      </c>
      <c r="F14" s="5">
        <f>4710.56</f>
        <v>4710.5600000000004</v>
      </c>
      <c r="G14" s="5">
        <f>4000.01</f>
        <v>4000.01</v>
      </c>
      <c r="H14" s="5">
        <f>3006.4</f>
        <v>3006.4</v>
      </c>
      <c r="I14" s="5">
        <f>5318.99</f>
        <v>5318.99</v>
      </c>
      <c r="J14" s="5">
        <f t="shared" si="0"/>
        <v>36009.200000000004</v>
      </c>
    </row>
    <row r="15" spans="1:10" x14ac:dyDescent="0.3">
      <c r="A15" s="3" t="s">
        <v>18</v>
      </c>
      <c r="B15" s="5">
        <f>14460.73</f>
        <v>14460.73</v>
      </c>
      <c r="C15" s="5">
        <f>20472.44</f>
        <v>20472.439999999999</v>
      </c>
      <c r="D15" s="5">
        <f>14346.1</f>
        <v>14346.1</v>
      </c>
      <c r="E15" s="5">
        <f>12962.21</f>
        <v>12962.21</v>
      </c>
      <c r="F15" s="5">
        <f>54120.77</f>
        <v>54120.77</v>
      </c>
      <c r="G15" s="5">
        <f>13608.89</f>
        <v>13608.89</v>
      </c>
      <c r="H15" s="5">
        <f>15055.32</f>
        <v>15055.32</v>
      </c>
      <c r="I15" s="5">
        <f>6898.66</f>
        <v>6898.66</v>
      </c>
      <c r="J15" s="5">
        <f t="shared" si="0"/>
        <v>151925.12</v>
      </c>
    </row>
    <row r="16" spans="1:10" x14ac:dyDescent="0.3">
      <c r="A16" s="3" t="s">
        <v>19</v>
      </c>
      <c r="B16" s="4"/>
      <c r="C16" s="4"/>
      <c r="D16" s="5">
        <f>75914</f>
        <v>75914</v>
      </c>
      <c r="E16" s="5">
        <f>94748.89</f>
        <v>94748.89</v>
      </c>
      <c r="F16" s="5">
        <f>56108.62</f>
        <v>56108.62</v>
      </c>
      <c r="G16" s="5">
        <f>63334.16</f>
        <v>63334.16</v>
      </c>
      <c r="H16" s="5">
        <f>88282.43</f>
        <v>88282.43</v>
      </c>
      <c r="I16" s="5">
        <f>58697.53</f>
        <v>58697.53</v>
      </c>
      <c r="J16" s="5">
        <f t="shared" si="0"/>
        <v>437085.63</v>
      </c>
    </row>
    <row r="17" spans="1:10" x14ac:dyDescent="0.3">
      <c r="A17" s="3" t="s">
        <v>20</v>
      </c>
      <c r="B17" s="6">
        <f t="shared" ref="B17:I17" si="2">((((B12)+(B13))+(B14))+(B15))+(B16)</f>
        <v>18963.830000000002</v>
      </c>
      <c r="C17" s="6">
        <f t="shared" si="2"/>
        <v>28756.94</v>
      </c>
      <c r="D17" s="6">
        <f t="shared" si="2"/>
        <v>97795.63</v>
      </c>
      <c r="E17" s="6">
        <f t="shared" si="2"/>
        <v>122796.89</v>
      </c>
      <c r="F17" s="6">
        <f t="shared" si="2"/>
        <v>117174.93</v>
      </c>
      <c r="G17" s="6">
        <f t="shared" si="2"/>
        <v>84289.15</v>
      </c>
      <c r="H17" s="6">
        <f t="shared" si="2"/>
        <v>109844.15</v>
      </c>
      <c r="I17" s="6">
        <f t="shared" si="2"/>
        <v>70915.179999999993</v>
      </c>
      <c r="J17" s="6">
        <f t="shared" si="0"/>
        <v>650536.69999999995</v>
      </c>
    </row>
    <row r="18" spans="1:10" x14ac:dyDescent="0.3">
      <c r="A18" s="3" t="s">
        <v>21</v>
      </c>
      <c r="B18" s="4"/>
      <c r="C18" s="4"/>
      <c r="D18" s="4"/>
      <c r="E18" s="4"/>
      <c r="F18" s="4"/>
      <c r="G18" s="4"/>
      <c r="H18" s="4"/>
      <c r="I18" s="4"/>
      <c r="J18" s="5">
        <f t="shared" si="0"/>
        <v>0</v>
      </c>
    </row>
    <row r="19" spans="1:10" x14ac:dyDescent="0.3">
      <c r="A19" s="3" t="s">
        <v>22</v>
      </c>
      <c r="B19" s="4"/>
      <c r="C19" s="5">
        <f>7899</f>
        <v>7899</v>
      </c>
      <c r="D19" s="5">
        <f>-7899</f>
        <v>-7899</v>
      </c>
      <c r="E19" s="4"/>
      <c r="F19" s="4"/>
      <c r="G19" s="4"/>
      <c r="H19" s="4"/>
      <c r="I19" s="5">
        <f>6097</f>
        <v>6097</v>
      </c>
      <c r="J19" s="5">
        <f t="shared" si="0"/>
        <v>6097</v>
      </c>
    </row>
    <row r="20" spans="1:10" x14ac:dyDescent="0.3">
      <c r="A20" s="3" t="s">
        <v>23</v>
      </c>
      <c r="B20" s="4"/>
      <c r="C20" s="4"/>
      <c r="D20" s="4"/>
      <c r="E20" s="4"/>
      <c r="F20" s="4"/>
      <c r="G20" s="4"/>
      <c r="H20" s="5">
        <f>2212.85</f>
        <v>2212.85</v>
      </c>
      <c r="I20" s="4"/>
      <c r="J20" s="5">
        <f t="shared" si="0"/>
        <v>2212.85</v>
      </c>
    </row>
    <row r="21" spans="1:10" x14ac:dyDescent="0.3">
      <c r="A21" s="3" t="s">
        <v>24</v>
      </c>
      <c r="B21" s="4"/>
      <c r="C21" s="4"/>
      <c r="D21" s="4"/>
      <c r="E21" s="4"/>
      <c r="F21" s="4"/>
      <c r="G21" s="4"/>
      <c r="H21" s="5">
        <f>204.67</f>
        <v>204.67</v>
      </c>
      <c r="I21" s="5">
        <f>300.11</f>
        <v>300.11</v>
      </c>
      <c r="J21" s="5">
        <f t="shared" si="0"/>
        <v>504.78</v>
      </c>
    </row>
    <row r="22" spans="1:10" x14ac:dyDescent="0.3">
      <c r="A22" s="3" t="s">
        <v>25</v>
      </c>
      <c r="B22" s="5">
        <f>411.25</f>
        <v>411.25</v>
      </c>
      <c r="C22" s="5">
        <f>2579.85</f>
        <v>2579.85</v>
      </c>
      <c r="D22" s="4"/>
      <c r="E22" s="4"/>
      <c r="F22" s="5">
        <f>3920</f>
        <v>3920</v>
      </c>
      <c r="G22" s="5">
        <f>4259.85</f>
        <v>4259.8500000000004</v>
      </c>
      <c r="H22" s="5">
        <f>3737.95</f>
        <v>3737.95</v>
      </c>
      <c r="I22" s="5">
        <f>1913.61</f>
        <v>1913.61</v>
      </c>
      <c r="J22" s="5">
        <f t="shared" si="0"/>
        <v>16822.510000000002</v>
      </c>
    </row>
    <row r="23" spans="1:10" x14ac:dyDescent="0.3">
      <c r="A23" s="3" t="s">
        <v>26</v>
      </c>
      <c r="B23" s="4"/>
      <c r="C23" s="5">
        <f>549.15</f>
        <v>549.15</v>
      </c>
      <c r="D23" s="5">
        <f>615.5</f>
        <v>615.5</v>
      </c>
      <c r="E23" s="5">
        <f>1101.7</f>
        <v>1101.7</v>
      </c>
      <c r="F23" s="5">
        <f>96.25</f>
        <v>96.25</v>
      </c>
      <c r="G23" s="5">
        <f>491.4</f>
        <v>491.4</v>
      </c>
      <c r="H23" s="5">
        <f>518.15</f>
        <v>518.15</v>
      </c>
      <c r="I23" s="5">
        <f>630</f>
        <v>630</v>
      </c>
      <c r="J23" s="5">
        <f t="shared" si="0"/>
        <v>4002.1500000000005</v>
      </c>
    </row>
    <row r="24" spans="1:10" x14ac:dyDescent="0.3">
      <c r="A24" s="3" t="s">
        <v>27</v>
      </c>
      <c r="B24" s="5">
        <f>0</f>
        <v>0</v>
      </c>
      <c r="C24" s="5">
        <f>0</f>
        <v>0</v>
      </c>
      <c r="D24" s="4"/>
      <c r="E24" s="4"/>
      <c r="F24" s="4"/>
      <c r="G24" s="4"/>
      <c r="H24" s="4"/>
      <c r="I24" s="4"/>
      <c r="J24" s="5">
        <f t="shared" si="0"/>
        <v>0</v>
      </c>
    </row>
    <row r="25" spans="1:10" x14ac:dyDescent="0.3">
      <c r="A25" s="3" t="s">
        <v>28</v>
      </c>
      <c r="B25" s="6">
        <f t="shared" ref="B25:I25" si="3">((((((B18)+(B19))+(B20))+(B21))+(B22))+(B23))+(B24)</f>
        <v>411.25</v>
      </c>
      <c r="C25" s="6">
        <f t="shared" si="3"/>
        <v>11028</v>
      </c>
      <c r="D25" s="6">
        <f t="shared" si="3"/>
        <v>-7283.5</v>
      </c>
      <c r="E25" s="6">
        <f t="shared" si="3"/>
        <v>1101.7</v>
      </c>
      <c r="F25" s="6">
        <f t="shared" si="3"/>
        <v>4016.25</v>
      </c>
      <c r="G25" s="6">
        <f t="shared" si="3"/>
        <v>4751.25</v>
      </c>
      <c r="H25" s="6">
        <f t="shared" si="3"/>
        <v>6673.619999999999</v>
      </c>
      <c r="I25" s="6">
        <f t="shared" si="3"/>
        <v>8940.7199999999993</v>
      </c>
      <c r="J25" s="6">
        <f t="shared" si="0"/>
        <v>29639.29</v>
      </c>
    </row>
    <row r="26" spans="1:10" x14ac:dyDescent="0.3">
      <c r="A26" s="3" t="s">
        <v>29</v>
      </c>
      <c r="B26" s="6">
        <f t="shared" ref="B26:I26" si="4">(((B7)+(B11))+(B17))+(B25)</f>
        <v>19375.080000000002</v>
      </c>
      <c r="C26" s="6">
        <f t="shared" si="4"/>
        <v>39784.94</v>
      </c>
      <c r="D26" s="6">
        <f t="shared" si="4"/>
        <v>90512.13</v>
      </c>
      <c r="E26" s="6">
        <f t="shared" si="4"/>
        <v>123898.59</v>
      </c>
      <c r="F26" s="6">
        <f t="shared" si="4"/>
        <v>131666.47</v>
      </c>
      <c r="G26" s="6">
        <f t="shared" si="4"/>
        <v>104956.59999999999</v>
      </c>
      <c r="H26" s="6">
        <f t="shared" si="4"/>
        <v>125245.84999999999</v>
      </c>
      <c r="I26" s="6">
        <f t="shared" si="4"/>
        <v>96850.349999999991</v>
      </c>
      <c r="J26" s="6">
        <f t="shared" si="0"/>
        <v>732290.00999999989</v>
      </c>
    </row>
    <row r="27" spans="1:10" x14ac:dyDescent="0.3">
      <c r="A27" s="3" t="s">
        <v>30</v>
      </c>
      <c r="B27" s="4"/>
      <c r="C27" s="4"/>
      <c r="D27" s="4"/>
      <c r="E27" s="4"/>
      <c r="F27" s="4"/>
      <c r="G27" s="5">
        <f>-14.84</f>
        <v>-14.84</v>
      </c>
      <c r="H27" s="5">
        <f>52.72</f>
        <v>52.72</v>
      </c>
      <c r="I27" s="5">
        <f>2871.49</f>
        <v>2871.49</v>
      </c>
      <c r="J27" s="5">
        <f t="shared" si="0"/>
        <v>2909.37</v>
      </c>
    </row>
    <row r="28" spans="1:10" x14ac:dyDescent="0.3">
      <c r="A28" s="3" t="s">
        <v>31</v>
      </c>
      <c r="B28" s="6">
        <f t="shared" ref="B28:I28" si="5">(B26)+(B27)</f>
        <v>19375.080000000002</v>
      </c>
      <c r="C28" s="6">
        <f t="shared" si="5"/>
        <v>39784.94</v>
      </c>
      <c r="D28" s="6">
        <f t="shared" si="5"/>
        <v>90512.13</v>
      </c>
      <c r="E28" s="6">
        <f t="shared" si="5"/>
        <v>123898.59</v>
      </c>
      <c r="F28" s="6">
        <f t="shared" si="5"/>
        <v>131666.47</v>
      </c>
      <c r="G28" s="6">
        <f t="shared" si="5"/>
        <v>104941.75999999999</v>
      </c>
      <c r="H28" s="6">
        <f t="shared" si="5"/>
        <v>125298.56999999999</v>
      </c>
      <c r="I28" s="6">
        <f t="shared" si="5"/>
        <v>99721.84</v>
      </c>
      <c r="J28" s="6">
        <f t="shared" si="0"/>
        <v>735199.37999999989</v>
      </c>
    </row>
    <row r="29" spans="1:10" x14ac:dyDescent="0.3">
      <c r="A29" s="3" t="s">
        <v>32</v>
      </c>
      <c r="B29" s="6">
        <f t="shared" ref="B29:I29" si="6">(0)-(B28)</f>
        <v>-19375.080000000002</v>
      </c>
      <c r="C29" s="6">
        <f t="shared" si="6"/>
        <v>-39784.94</v>
      </c>
      <c r="D29" s="6">
        <f t="shared" si="6"/>
        <v>-90512.13</v>
      </c>
      <c r="E29" s="6">
        <f t="shared" si="6"/>
        <v>-123898.59</v>
      </c>
      <c r="F29" s="6">
        <f t="shared" si="6"/>
        <v>-131666.47</v>
      </c>
      <c r="G29" s="6">
        <f t="shared" si="6"/>
        <v>-104941.75999999999</v>
      </c>
      <c r="H29" s="6">
        <f t="shared" si="6"/>
        <v>-125298.56999999999</v>
      </c>
      <c r="I29" s="6">
        <f t="shared" si="6"/>
        <v>-99721.84</v>
      </c>
      <c r="J29" s="6">
        <f t="shared" si="0"/>
        <v>-735199.37999999989</v>
      </c>
    </row>
    <row r="30" spans="1:10" x14ac:dyDescent="0.3">
      <c r="A30" s="3" t="s">
        <v>33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x14ac:dyDescent="0.3">
      <c r="A31" s="3" t="s">
        <v>34</v>
      </c>
      <c r="B31" s="4"/>
      <c r="C31" s="4"/>
      <c r="D31" s="4"/>
      <c r="E31" s="4"/>
      <c r="F31" s="4"/>
      <c r="G31" s="4"/>
      <c r="H31" s="4"/>
      <c r="I31" s="4"/>
      <c r="J31" s="5">
        <f t="shared" ref="J31:J62" si="7">(((((((B31)+(C31))+(D31))+(E31))+(F31))+(G31))+(H31))+(I31)</f>
        <v>0</v>
      </c>
    </row>
    <row r="32" spans="1:10" x14ac:dyDescent="0.3">
      <c r="A32" s="3" t="s">
        <v>35</v>
      </c>
      <c r="B32" s="4"/>
      <c r="C32" s="4"/>
      <c r="D32" s="4"/>
      <c r="E32" s="4"/>
      <c r="F32" s="4"/>
      <c r="G32" s="4"/>
      <c r="H32" s="4"/>
      <c r="I32" s="4"/>
      <c r="J32" s="5">
        <f t="shared" si="7"/>
        <v>0</v>
      </c>
    </row>
    <row r="33" spans="1:10" x14ac:dyDescent="0.3">
      <c r="A33" s="3" t="s">
        <v>36</v>
      </c>
      <c r="B33" s="4"/>
      <c r="C33" s="4"/>
      <c r="D33" s="5">
        <f>5280.31</f>
        <v>5280.31</v>
      </c>
      <c r="E33" s="5">
        <f>5792.89</f>
        <v>5792.89</v>
      </c>
      <c r="F33" s="5">
        <f>9502.26</f>
        <v>9502.26</v>
      </c>
      <c r="G33" s="5">
        <f>5827.14</f>
        <v>5827.14</v>
      </c>
      <c r="H33" s="5">
        <f>-2315.75</f>
        <v>-2315.75</v>
      </c>
      <c r="I33" s="5">
        <f>8901.91</f>
        <v>8901.91</v>
      </c>
      <c r="J33" s="5">
        <f t="shared" si="7"/>
        <v>32988.759999999995</v>
      </c>
    </row>
    <row r="34" spans="1:10" x14ac:dyDescent="0.3">
      <c r="A34" s="3" t="s">
        <v>37</v>
      </c>
      <c r="B34" s="6">
        <f t="shared" ref="B34:I34" si="8">(B32)+(B33)</f>
        <v>0</v>
      </c>
      <c r="C34" s="6">
        <f t="shared" si="8"/>
        <v>0</v>
      </c>
      <c r="D34" s="6">
        <f t="shared" si="8"/>
        <v>5280.31</v>
      </c>
      <c r="E34" s="6">
        <f t="shared" si="8"/>
        <v>5792.89</v>
      </c>
      <c r="F34" s="6">
        <f t="shared" si="8"/>
        <v>9502.26</v>
      </c>
      <c r="G34" s="6">
        <f t="shared" si="8"/>
        <v>5827.14</v>
      </c>
      <c r="H34" s="6">
        <f t="shared" si="8"/>
        <v>-2315.75</v>
      </c>
      <c r="I34" s="6">
        <f t="shared" si="8"/>
        <v>8901.91</v>
      </c>
      <c r="J34" s="6">
        <f t="shared" si="7"/>
        <v>32988.759999999995</v>
      </c>
    </row>
    <row r="35" spans="1:10" x14ac:dyDescent="0.3">
      <c r="A35" s="3" t="s">
        <v>38</v>
      </c>
      <c r="B35" s="4"/>
      <c r="C35" s="4"/>
      <c r="D35" s="4"/>
      <c r="E35" s="4"/>
      <c r="F35" s="4"/>
      <c r="G35" s="4"/>
      <c r="H35" s="4"/>
      <c r="I35" s="4"/>
      <c r="J35" s="5">
        <f t="shared" si="7"/>
        <v>0</v>
      </c>
    </row>
    <row r="36" spans="1:10" x14ac:dyDescent="0.3">
      <c r="A36" s="3" t="s">
        <v>39</v>
      </c>
      <c r="B36" s="4"/>
      <c r="C36" s="4"/>
      <c r="D36" s="4"/>
      <c r="E36" s="4"/>
      <c r="F36" s="4"/>
      <c r="G36" s="4"/>
      <c r="H36" s="4"/>
      <c r="I36" s="5">
        <f>5184.47</f>
        <v>5184.47</v>
      </c>
      <c r="J36" s="5">
        <f t="shared" si="7"/>
        <v>5184.47</v>
      </c>
    </row>
    <row r="37" spans="1:10" x14ac:dyDescent="0.3">
      <c r="A37" s="3" t="s">
        <v>40</v>
      </c>
      <c r="B37" s="4"/>
      <c r="C37" s="4"/>
      <c r="D37" s="4"/>
      <c r="E37" s="4"/>
      <c r="F37" s="5">
        <f>4603.26</f>
        <v>4603.26</v>
      </c>
      <c r="G37" s="5">
        <f>4534.21</f>
        <v>4534.21</v>
      </c>
      <c r="H37" s="5">
        <f>4500</f>
        <v>4500</v>
      </c>
      <c r="I37" s="4"/>
      <c r="J37" s="5">
        <f t="shared" si="7"/>
        <v>13637.470000000001</v>
      </c>
    </row>
    <row r="38" spans="1:10" x14ac:dyDescent="0.3">
      <c r="A38" s="3" t="s">
        <v>41</v>
      </c>
      <c r="B38" s="4"/>
      <c r="C38" s="4"/>
      <c r="D38" s="4"/>
      <c r="E38" s="4"/>
      <c r="F38" s="4"/>
      <c r="G38" s="5">
        <f>2575.64</f>
        <v>2575.64</v>
      </c>
      <c r="H38" s="5">
        <f>1000</f>
        <v>1000</v>
      </c>
      <c r="I38" s="4"/>
      <c r="J38" s="5">
        <f t="shared" si="7"/>
        <v>3575.64</v>
      </c>
    </row>
    <row r="39" spans="1:10" x14ac:dyDescent="0.3">
      <c r="A39" s="3" t="s">
        <v>42</v>
      </c>
      <c r="B39" s="6">
        <f t="shared" ref="B39:I39" si="9">(((B35)+(B36))+(B37))+(B38)</f>
        <v>0</v>
      </c>
      <c r="C39" s="6">
        <f t="shared" si="9"/>
        <v>0</v>
      </c>
      <c r="D39" s="6">
        <f t="shared" si="9"/>
        <v>0</v>
      </c>
      <c r="E39" s="6">
        <f t="shared" si="9"/>
        <v>0</v>
      </c>
      <c r="F39" s="6">
        <f t="shared" si="9"/>
        <v>4603.26</v>
      </c>
      <c r="G39" s="6">
        <f t="shared" si="9"/>
        <v>7109.85</v>
      </c>
      <c r="H39" s="6">
        <f t="shared" si="9"/>
        <v>5500</v>
      </c>
      <c r="I39" s="6">
        <f t="shared" si="9"/>
        <v>5184.47</v>
      </c>
      <c r="J39" s="6">
        <f t="shared" si="7"/>
        <v>22397.58</v>
      </c>
    </row>
    <row r="40" spans="1:10" x14ac:dyDescent="0.3">
      <c r="A40" s="3" t="s">
        <v>43</v>
      </c>
      <c r="B40" s="4"/>
      <c r="C40" s="4"/>
      <c r="D40" s="4"/>
      <c r="E40" s="4"/>
      <c r="F40" s="4"/>
      <c r="G40" s="4"/>
      <c r="H40" s="4"/>
      <c r="I40" s="4"/>
      <c r="J40" s="5">
        <f t="shared" si="7"/>
        <v>0</v>
      </c>
    </row>
    <row r="41" spans="1:10" x14ac:dyDescent="0.3">
      <c r="A41" s="3" t="s">
        <v>44</v>
      </c>
      <c r="B41" s="4"/>
      <c r="C41" s="4"/>
      <c r="D41" s="4"/>
      <c r="E41" s="4"/>
      <c r="F41" s="5">
        <f>12600</f>
        <v>12600</v>
      </c>
      <c r="G41" s="5">
        <f>37259.65</f>
        <v>37259.65</v>
      </c>
      <c r="H41" s="5">
        <f>10209.15</f>
        <v>10209.15</v>
      </c>
      <c r="I41" s="5">
        <f>12394.73</f>
        <v>12394.73</v>
      </c>
      <c r="J41" s="5">
        <f t="shared" si="7"/>
        <v>72463.53</v>
      </c>
    </row>
    <row r="42" spans="1:10" x14ac:dyDescent="0.3">
      <c r="A42" s="3" t="s">
        <v>45</v>
      </c>
      <c r="B42" s="5">
        <f>5085.81</f>
        <v>5085.8100000000004</v>
      </c>
      <c r="C42" s="5">
        <f>3714.62</f>
        <v>3714.62</v>
      </c>
      <c r="D42" s="5">
        <f>4728.02</f>
        <v>4728.0200000000004</v>
      </c>
      <c r="E42" s="5">
        <f>1552.45</f>
        <v>1552.45</v>
      </c>
      <c r="F42" s="5">
        <f>2881.4</f>
        <v>2881.4</v>
      </c>
      <c r="G42" s="5">
        <f>3255.86</f>
        <v>3255.86</v>
      </c>
      <c r="H42" s="5">
        <f>2113.45</f>
        <v>2113.4499999999998</v>
      </c>
      <c r="I42" s="4"/>
      <c r="J42" s="5">
        <f t="shared" si="7"/>
        <v>23331.610000000004</v>
      </c>
    </row>
    <row r="43" spans="1:10" x14ac:dyDescent="0.3">
      <c r="A43" s="3" t="s">
        <v>46</v>
      </c>
      <c r="B43" s="4"/>
      <c r="C43" s="5">
        <f>1073.25</f>
        <v>1073.25</v>
      </c>
      <c r="D43" s="5">
        <f>1134</f>
        <v>1134</v>
      </c>
      <c r="E43" s="5">
        <f>1150</f>
        <v>1150</v>
      </c>
      <c r="F43" s="5">
        <f>1064</f>
        <v>1064</v>
      </c>
      <c r="G43" s="5">
        <f>938.25</f>
        <v>938.25</v>
      </c>
      <c r="H43" s="5">
        <f>1026</f>
        <v>1026</v>
      </c>
      <c r="I43" s="5">
        <f>1012.5</f>
        <v>1012.5</v>
      </c>
      <c r="J43" s="5">
        <f t="shared" si="7"/>
        <v>7398</v>
      </c>
    </row>
    <row r="44" spans="1:10" x14ac:dyDescent="0.3">
      <c r="A44" s="3" t="s">
        <v>47</v>
      </c>
      <c r="B44" s="4"/>
      <c r="C44" s="4"/>
      <c r="D44" s="4"/>
      <c r="E44" s="4"/>
      <c r="F44" s="4"/>
      <c r="G44" s="4"/>
      <c r="H44" s="4"/>
      <c r="I44" s="5">
        <f>2273.27</f>
        <v>2273.27</v>
      </c>
      <c r="J44" s="5">
        <f t="shared" si="7"/>
        <v>2273.27</v>
      </c>
    </row>
    <row r="45" spans="1:10" x14ac:dyDescent="0.3">
      <c r="A45" s="3" t="s">
        <v>48</v>
      </c>
      <c r="B45" s="4"/>
      <c r="C45" s="4"/>
      <c r="D45" s="5">
        <f>1641.23</f>
        <v>1641.23</v>
      </c>
      <c r="E45" s="5">
        <f>16101</f>
        <v>16101</v>
      </c>
      <c r="F45" s="5">
        <f>4664.49</f>
        <v>4664.49</v>
      </c>
      <c r="G45" s="4"/>
      <c r="H45" s="5">
        <f>1402.5</f>
        <v>1402.5</v>
      </c>
      <c r="I45" s="5">
        <f>3297.44</f>
        <v>3297.44</v>
      </c>
      <c r="J45" s="5">
        <f t="shared" si="7"/>
        <v>27106.66</v>
      </c>
    </row>
    <row r="46" spans="1:10" x14ac:dyDescent="0.3">
      <c r="A46" s="3" t="s">
        <v>49</v>
      </c>
      <c r="B46" s="6">
        <f t="shared" ref="B46:I46" si="10">(((((B40)+(B41))+(B42))+(B43))+(B44))+(B45)</f>
        <v>5085.8100000000004</v>
      </c>
      <c r="C46" s="6">
        <f t="shared" si="10"/>
        <v>4787.87</v>
      </c>
      <c r="D46" s="6">
        <f t="shared" si="10"/>
        <v>7503.25</v>
      </c>
      <c r="E46" s="6">
        <f t="shared" si="10"/>
        <v>18803.45</v>
      </c>
      <c r="F46" s="6">
        <f t="shared" si="10"/>
        <v>21209.89</v>
      </c>
      <c r="G46" s="6">
        <f t="shared" si="10"/>
        <v>41453.760000000002</v>
      </c>
      <c r="H46" s="6">
        <f t="shared" si="10"/>
        <v>14751.099999999999</v>
      </c>
      <c r="I46" s="6">
        <f t="shared" si="10"/>
        <v>18977.939999999999</v>
      </c>
      <c r="J46" s="6">
        <f t="shared" si="7"/>
        <v>132573.07</v>
      </c>
    </row>
    <row r="47" spans="1:10" x14ac:dyDescent="0.3">
      <c r="A47" s="3" t="s">
        <v>50</v>
      </c>
      <c r="B47" s="4"/>
      <c r="C47" s="4"/>
      <c r="D47" s="4"/>
      <c r="E47" s="4"/>
      <c r="F47" s="4"/>
      <c r="G47" s="4"/>
      <c r="H47" s="4"/>
      <c r="I47" s="4"/>
      <c r="J47" s="5">
        <f t="shared" si="7"/>
        <v>0</v>
      </c>
    </row>
    <row r="48" spans="1:10" x14ac:dyDescent="0.3">
      <c r="A48" s="3" t="s">
        <v>51</v>
      </c>
      <c r="B48" s="4"/>
      <c r="C48" s="4"/>
      <c r="D48" s="4"/>
      <c r="E48" s="4"/>
      <c r="F48" s="4"/>
      <c r="G48" s="4"/>
      <c r="H48" s="4"/>
      <c r="I48" s="4"/>
      <c r="J48" s="5">
        <f t="shared" si="7"/>
        <v>0</v>
      </c>
    </row>
    <row r="49" spans="1:10" x14ac:dyDescent="0.3">
      <c r="A49" s="3" t="s">
        <v>52</v>
      </c>
      <c r="B49" s="5">
        <f>47690.83</f>
        <v>47690.83</v>
      </c>
      <c r="C49" s="5">
        <f>48342.04</f>
        <v>48342.04</v>
      </c>
      <c r="D49" s="5">
        <f>48166.27</f>
        <v>48166.27</v>
      </c>
      <c r="E49" s="5">
        <f>48166.27</f>
        <v>48166.27</v>
      </c>
      <c r="F49" s="5">
        <f>48342.04</f>
        <v>48342.04</v>
      </c>
      <c r="G49" s="5">
        <f>41329.94</f>
        <v>41329.94</v>
      </c>
      <c r="H49" s="5">
        <f>48342.04</f>
        <v>48342.04</v>
      </c>
      <c r="I49" s="5">
        <f>48342.04</f>
        <v>48342.04</v>
      </c>
      <c r="J49" s="5">
        <f t="shared" si="7"/>
        <v>378721.47</v>
      </c>
    </row>
    <row r="50" spans="1:10" x14ac:dyDescent="0.3">
      <c r="A50" s="3" t="s">
        <v>53</v>
      </c>
      <c r="B50" s="6">
        <f t="shared" ref="B50:I50" si="11">(B48)+(B49)</f>
        <v>47690.83</v>
      </c>
      <c r="C50" s="6">
        <f t="shared" si="11"/>
        <v>48342.04</v>
      </c>
      <c r="D50" s="6">
        <f t="shared" si="11"/>
        <v>48166.27</v>
      </c>
      <c r="E50" s="6">
        <f t="shared" si="11"/>
        <v>48166.27</v>
      </c>
      <c r="F50" s="6">
        <f t="shared" si="11"/>
        <v>48342.04</v>
      </c>
      <c r="G50" s="6">
        <f t="shared" si="11"/>
        <v>41329.94</v>
      </c>
      <c r="H50" s="6">
        <f t="shared" si="11"/>
        <v>48342.04</v>
      </c>
      <c r="I50" s="6">
        <f t="shared" si="11"/>
        <v>48342.04</v>
      </c>
      <c r="J50" s="6">
        <f t="shared" si="7"/>
        <v>378721.47</v>
      </c>
    </row>
    <row r="51" spans="1:10" x14ac:dyDescent="0.3">
      <c r="A51" s="3" t="s">
        <v>54</v>
      </c>
      <c r="B51" s="5">
        <f>226.82</f>
        <v>226.82</v>
      </c>
      <c r="C51" s="5">
        <f>224.13</f>
        <v>224.13</v>
      </c>
      <c r="D51" s="5">
        <f>1059.24</f>
        <v>1059.24</v>
      </c>
      <c r="E51" s="5">
        <f>855.44</f>
        <v>855.44</v>
      </c>
      <c r="F51" s="5">
        <f>892.92</f>
        <v>892.92</v>
      </c>
      <c r="G51" s="5">
        <f>227.81</f>
        <v>227.81</v>
      </c>
      <c r="H51" s="5">
        <f>230.79</f>
        <v>230.79</v>
      </c>
      <c r="I51" s="5">
        <f>117.19</f>
        <v>117.19</v>
      </c>
      <c r="J51" s="5">
        <f t="shared" si="7"/>
        <v>3834.34</v>
      </c>
    </row>
    <row r="52" spans="1:10" x14ac:dyDescent="0.3">
      <c r="A52" s="3" t="s">
        <v>55</v>
      </c>
      <c r="B52" s="5">
        <f>1009.7</f>
        <v>1009.7</v>
      </c>
      <c r="C52" s="5">
        <f>524.69</f>
        <v>524.69000000000005</v>
      </c>
      <c r="D52" s="5">
        <f>1894.31</f>
        <v>1894.31</v>
      </c>
      <c r="E52" s="5">
        <f>-560.17</f>
        <v>-560.16999999999996</v>
      </c>
      <c r="F52" s="5">
        <f>1226.93</f>
        <v>1226.93</v>
      </c>
      <c r="G52" s="5">
        <f>787.89</f>
        <v>787.89</v>
      </c>
      <c r="H52" s="5">
        <f>409.19</f>
        <v>409.19</v>
      </c>
      <c r="I52" s="5">
        <f>409.19</f>
        <v>409.19</v>
      </c>
      <c r="J52" s="5">
        <f t="shared" si="7"/>
        <v>5701.73</v>
      </c>
    </row>
    <row r="53" spans="1:10" x14ac:dyDescent="0.3">
      <c r="A53" s="3" t="s">
        <v>56</v>
      </c>
      <c r="B53" s="4"/>
      <c r="C53" s="5">
        <f>2848.67</f>
        <v>2848.67</v>
      </c>
      <c r="D53" s="5">
        <f>2099.09</f>
        <v>2099.09</v>
      </c>
      <c r="E53" s="5">
        <f>2099.09</f>
        <v>2099.09</v>
      </c>
      <c r="F53" s="5">
        <f>2099.09</f>
        <v>2099.09</v>
      </c>
      <c r="G53" s="5">
        <f>2099.09</f>
        <v>2099.09</v>
      </c>
      <c r="H53" s="5">
        <f>2099.09</f>
        <v>2099.09</v>
      </c>
      <c r="I53" s="4"/>
      <c r="J53" s="5">
        <f t="shared" si="7"/>
        <v>13344.12</v>
      </c>
    </row>
    <row r="54" spans="1:10" x14ac:dyDescent="0.3">
      <c r="A54" s="3" t="s">
        <v>57</v>
      </c>
      <c r="B54" s="4"/>
      <c r="C54" s="5">
        <f>116</f>
        <v>116</v>
      </c>
      <c r="D54" s="5">
        <f>115.99</f>
        <v>115.99</v>
      </c>
      <c r="E54" s="5">
        <f>151.04</f>
        <v>151.04</v>
      </c>
      <c r="F54" s="5">
        <f>282.7</f>
        <v>282.7</v>
      </c>
      <c r="G54" s="5">
        <f>150</f>
        <v>150</v>
      </c>
      <c r="H54" s="5">
        <f>1.04</f>
        <v>1.04</v>
      </c>
      <c r="I54" s="5">
        <f>364.68</f>
        <v>364.68</v>
      </c>
      <c r="J54" s="5">
        <f t="shared" si="7"/>
        <v>1181.45</v>
      </c>
    </row>
    <row r="55" spans="1:10" x14ac:dyDescent="0.3">
      <c r="A55" s="3" t="s">
        <v>58</v>
      </c>
      <c r="B55" s="4"/>
      <c r="C55" s="4"/>
      <c r="D55" s="4"/>
      <c r="E55" s="4"/>
      <c r="F55" s="4"/>
      <c r="G55" s="4"/>
      <c r="H55" s="4"/>
      <c r="I55" s="5">
        <f>3082.97</f>
        <v>3082.97</v>
      </c>
      <c r="J55" s="5">
        <f t="shared" si="7"/>
        <v>3082.97</v>
      </c>
    </row>
    <row r="56" spans="1:10" x14ac:dyDescent="0.3">
      <c r="A56" s="3" t="s">
        <v>59</v>
      </c>
      <c r="B56" s="4"/>
      <c r="C56" s="5">
        <f>229.46</f>
        <v>229.46</v>
      </c>
      <c r="D56" s="4"/>
      <c r="E56" s="4"/>
      <c r="F56" s="5">
        <f>426.72</f>
        <v>426.72</v>
      </c>
      <c r="G56" s="5">
        <f>64.67</f>
        <v>64.67</v>
      </c>
      <c r="H56" s="5">
        <f>681.96</f>
        <v>681.96</v>
      </c>
      <c r="I56" s="5">
        <f>113.87</f>
        <v>113.87</v>
      </c>
      <c r="J56" s="5">
        <f t="shared" si="7"/>
        <v>1516.6799999999998</v>
      </c>
    </row>
    <row r="57" spans="1:10" x14ac:dyDescent="0.3">
      <c r="A57" s="3" t="s">
        <v>60</v>
      </c>
      <c r="B57" s="4"/>
      <c r="C57" s="5">
        <f>960.67</f>
        <v>960.67</v>
      </c>
      <c r="D57" s="5">
        <f>2403.84</f>
        <v>2403.84</v>
      </c>
      <c r="E57" s="5">
        <f>677.11</f>
        <v>677.11</v>
      </c>
      <c r="F57" s="5">
        <f>575.98</f>
        <v>575.98</v>
      </c>
      <c r="G57" s="5">
        <f>556.62</f>
        <v>556.62</v>
      </c>
      <c r="H57" s="5">
        <f>641.87</f>
        <v>641.87</v>
      </c>
      <c r="I57" s="5">
        <f>1181.51</f>
        <v>1181.51</v>
      </c>
      <c r="J57" s="5">
        <f t="shared" si="7"/>
        <v>6997.6</v>
      </c>
    </row>
    <row r="58" spans="1:10" x14ac:dyDescent="0.3">
      <c r="A58" s="3" t="s">
        <v>61</v>
      </c>
      <c r="B58" s="4"/>
      <c r="C58" s="4"/>
      <c r="D58" s="4"/>
      <c r="E58" s="4"/>
      <c r="F58" s="4"/>
      <c r="G58" s="4"/>
      <c r="H58" s="4"/>
      <c r="I58" s="5">
        <f>489.38</f>
        <v>489.38</v>
      </c>
      <c r="J58" s="5">
        <f t="shared" si="7"/>
        <v>489.38</v>
      </c>
    </row>
    <row r="59" spans="1:10" x14ac:dyDescent="0.3">
      <c r="A59" s="3" t="s">
        <v>62</v>
      </c>
      <c r="B59" s="5">
        <f>25</f>
        <v>25</v>
      </c>
      <c r="C59" s="5">
        <f>1341.35</f>
        <v>1341.35</v>
      </c>
      <c r="D59" s="5">
        <f>13911.79</f>
        <v>13911.79</v>
      </c>
      <c r="E59" s="5">
        <f>1740.01</f>
        <v>1740.01</v>
      </c>
      <c r="F59" s="5">
        <f>4517.74</f>
        <v>4517.74</v>
      </c>
      <c r="G59" s="5">
        <f>1395.56</f>
        <v>1395.56</v>
      </c>
      <c r="H59" s="5">
        <f>1973.01</f>
        <v>1973.01</v>
      </c>
      <c r="I59" s="5">
        <f>3118.29</f>
        <v>3118.29</v>
      </c>
      <c r="J59" s="5">
        <f t="shared" si="7"/>
        <v>28022.75</v>
      </c>
    </row>
    <row r="60" spans="1:10" x14ac:dyDescent="0.3">
      <c r="A60" s="3" t="s">
        <v>63</v>
      </c>
      <c r="B60" s="4"/>
      <c r="C60" s="4"/>
      <c r="D60" s="4"/>
      <c r="E60" s="4"/>
      <c r="F60" s="5">
        <f>1086.74</f>
        <v>1086.74</v>
      </c>
      <c r="G60" s="5">
        <f>567.28</f>
        <v>567.28</v>
      </c>
      <c r="H60" s="5">
        <f>750</f>
        <v>750</v>
      </c>
      <c r="I60" s="5">
        <f>330.75</f>
        <v>330.75</v>
      </c>
      <c r="J60" s="5">
        <f t="shared" si="7"/>
        <v>2734.77</v>
      </c>
    </row>
    <row r="61" spans="1:10" x14ac:dyDescent="0.3">
      <c r="A61" s="3" t="s">
        <v>64</v>
      </c>
      <c r="B61" s="4"/>
      <c r="C61" s="4"/>
      <c r="D61" s="4"/>
      <c r="E61" s="4"/>
      <c r="F61" s="4"/>
      <c r="G61" s="4"/>
      <c r="H61" s="5">
        <f>132.8</f>
        <v>132.80000000000001</v>
      </c>
      <c r="I61" s="5">
        <f>539.67</f>
        <v>539.66999999999996</v>
      </c>
      <c r="J61" s="5">
        <f t="shared" si="7"/>
        <v>672.47</v>
      </c>
    </row>
    <row r="62" spans="1:10" x14ac:dyDescent="0.3">
      <c r="A62" s="3" t="s">
        <v>65</v>
      </c>
      <c r="B62" s="4"/>
      <c r="C62" s="5">
        <f>1719.67</f>
        <v>1719.67</v>
      </c>
      <c r="D62" s="5">
        <f>3292.38</f>
        <v>3292.38</v>
      </c>
      <c r="E62" s="5">
        <f>1788.42</f>
        <v>1788.42</v>
      </c>
      <c r="F62" s="5">
        <f>1788.42</f>
        <v>1788.42</v>
      </c>
      <c r="G62" s="5">
        <f>6334.65</f>
        <v>6334.65</v>
      </c>
      <c r="H62" s="5">
        <f>1788.42</f>
        <v>1788.42</v>
      </c>
      <c r="I62" s="5">
        <f>1788.42</f>
        <v>1788.42</v>
      </c>
      <c r="J62" s="5">
        <f t="shared" si="7"/>
        <v>18500.379999999997</v>
      </c>
    </row>
    <row r="63" spans="1:10" x14ac:dyDescent="0.3">
      <c r="A63" s="3" t="s">
        <v>66</v>
      </c>
      <c r="B63" s="6">
        <f t="shared" ref="B63:I63" si="12">(((((((((((((B47)+(B50))+(B51))+(B52))+(B53))+(B54))+(B55))+(B56))+(B57))+(B58))+(B59))+(B60))+(B61))+(B62)</f>
        <v>48952.35</v>
      </c>
      <c r="C63" s="6">
        <f t="shared" si="12"/>
        <v>56306.679999999993</v>
      </c>
      <c r="D63" s="6">
        <f t="shared" si="12"/>
        <v>72942.91</v>
      </c>
      <c r="E63" s="6">
        <f t="shared" si="12"/>
        <v>54917.210000000006</v>
      </c>
      <c r="F63" s="6">
        <f t="shared" si="12"/>
        <v>61239.279999999992</v>
      </c>
      <c r="G63" s="6">
        <f t="shared" si="12"/>
        <v>53513.509999999995</v>
      </c>
      <c r="H63" s="6">
        <f t="shared" si="12"/>
        <v>57050.210000000006</v>
      </c>
      <c r="I63" s="6">
        <f t="shared" si="12"/>
        <v>59877.960000000006</v>
      </c>
      <c r="J63" s="6">
        <f t="shared" ref="J63:J94" si="13">(((((((B63)+(C63))+(D63))+(E63))+(F63))+(G63))+(H63))+(I63)</f>
        <v>464800.11000000004</v>
      </c>
    </row>
    <row r="64" spans="1:10" x14ac:dyDescent="0.3">
      <c r="A64" s="3" t="s">
        <v>67</v>
      </c>
      <c r="B64" s="4"/>
      <c r="C64" s="4"/>
      <c r="D64" s="4"/>
      <c r="E64" s="4"/>
      <c r="F64" s="4"/>
      <c r="G64" s="4"/>
      <c r="H64" s="4"/>
      <c r="I64" s="4"/>
      <c r="J64" s="5">
        <f t="shared" si="13"/>
        <v>0</v>
      </c>
    </row>
    <row r="65" spans="1:10" x14ac:dyDescent="0.3">
      <c r="A65" s="3" t="s">
        <v>68</v>
      </c>
      <c r="B65" s="4"/>
      <c r="C65" s="4"/>
      <c r="D65" s="5">
        <f>422.12</f>
        <v>422.12</v>
      </c>
      <c r="E65" s="4"/>
      <c r="F65" s="4"/>
      <c r="G65" s="5">
        <f>624.17</f>
        <v>624.16999999999996</v>
      </c>
      <c r="H65" s="4"/>
      <c r="I65" s="4"/>
      <c r="J65" s="5">
        <f t="shared" si="13"/>
        <v>1046.29</v>
      </c>
    </row>
    <row r="66" spans="1:10" x14ac:dyDescent="0.3">
      <c r="A66" s="3" t="s">
        <v>69</v>
      </c>
      <c r="B66" s="4"/>
      <c r="C66" s="4"/>
      <c r="D66" s="5">
        <f>424.2</f>
        <v>424.2</v>
      </c>
      <c r="E66" s="4"/>
      <c r="F66" s="4"/>
      <c r="G66" s="4"/>
      <c r="H66" s="4"/>
      <c r="I66" s="4"/>
      <c r="J66" s="5">
        <f t="shared" si="13"/>
        <v>424.2</v>
      </c>
    </row>
    <row r="67" spans="1:10" x14ac:dyDescent="0.3">
      <c r="A67" s="3" t="s">
        <v>70</v>
      </c>
      <c r="B67" s="4"/>
      <c r="C67" s="4"/>
      <c r="D67" s="5">
        <f>13.97</f>
        <v>13.97</v>
      </c>
      <c r="E67" s="4"/>
      <c r="F67" s="4"/>
      <c r="G67" s="4"/>
      <c r="H67" s="5">
        <f>1138.31</f>
        <v>1138.31</v>
      </c>
      <c r="I67" s="4"/>
      <c r="J67" s="5">
        <f t="shared" si="13"/>
        <v>1152.28</v>
      </c>
    </row>
    <row r="68" spans="1:10" x14ac:dyDescent="0.3">
      <c r="A68" s="3" t="s">
        <v>71</v>
      </c>
      <c r="B68" s="4"/>
      <c r="C68" s="4"/>
      <c r="D68" s="5">
        <f>2056.02</f>
        <v>2056.02</v>
      </c>
      <c r="E68" s="4"/>
      <c r="F68" s="4"/>
      <c r="G68" s="4"/>
      <c r="H68" s="4"/>
      <c r="I68" s="4"/>
      <c r="J68" s="5">
        <f t="shared" si="13"/>
        <v>2056.02</v>
      </c>
    </row>
    <row r="69" spans="1:10" x14ac:dyDescent="0.3">
      <c r="A69" s="3" t="s">
        <v>72</v>
      </c>
      <c r="B69" s="6">
        <f t="shared" ref="B69:I69" si="14">((((B64)+(B65))+(B66))+(B67))+(B68)</f>
        <v>0</v>
      </c>
      <c r="C69" s="6">
        <f t="shared" si="14"/>
        <v>0</v>
      </c>
      <c r="D69" s="6">
        <f t="shared" si="14"/>
        <v>2916.31</v>
      </c>
      <c r="E69" s="6">
        <f t="shared" si="14"/>
        <v>0</v>
      </c>
      <c r="F69" s="6">
        <f t="shared" si="14"/>
        <v>0</v>
      </c>
      <c r="G69" s="6">
        <f t="shared" si="14"/>
        <v>624.16999999999996</v>
      </c>
      <c r="H69" s="6">
        <f t="shared" si="14"/>
        <v>1138.31</v>
      </c>
      <c r="I69" s="6">
        <f t="shared" si="14"/>
        <v>0</v>
      </c>
      <c r="J69" s="6">
        <f t="shared" si="13"/>
        <v>4678.79</v>
      </c>
    </row>
    <row r="70" spans="1:10" x14ac:dyDescent="0.3">
      <c r="A70" s="3" t="s">
        <v>73</v>
      </c>
      <c r="B70" s="4"/>
      <c r="C70" s="4"/>
      <c r="D70" s="4"/>
      <c r="E70" s="4"/>
      <c r="F70" s="4"/>
      <c r="G70" s="4"/>
      <c r="H70" s="4"/>
      <c r="I70" s="5">
        <f>15</f>
        <v>15</v>
      </c>
      <c r="J70" s="5">
        <f t="shared" si="13"/>
        <v>15</v>
      </c>
    </row>
    <row r="71" spans="1:10" x14ac:dyDescent="0.3">
      <c r="A71" s="3" t="s">
        <v>74</v>
      </c>
      <c r="B71" s="4"/>
      <c r="C71" s="4"/>
      <c r="D71" s="5">
        <f>1575.57</f>
        <v>1575.57</v>
      </c>
      <c r="E71" s="5">
        <f>446.25</f>
        <v>446.25</v>
      </c>
      <c r="F71" s="5">
        <f>735</f>
        <v>735</v>
      </c>
      <c r="G71" s="5">
        <f>180</f>
        <v>180</v>
      </c>
      <c r="H71" s="5">
        <f>1350</f>
        <v>1350</v>
      </c>
      <c r="I71" s="4"/>
      <c r="J71" s="5">
        <f t="shared" si="13"/>
        <v>4286.82</v>
      </c>
    </row>
    <row r="72" spans="1:10" x14ac:dyDescent="0.3">
      <c r="A72" s="3" t="s">
        <v>75</v>
      </c>
      <c r="B72" s="4"/>
      <c r="C72" s="4"/>
      <c r="D72" s="4"/>
      <c r="E72" s="4"/>
      <c r="F72" s="4"/>
      <c r="G72" s="4"/>
      <c r="H72" s="4"/>
      <c r="I72" s="5">
        <f>100</f>
        <v>100</v>
      </c>
      <c r="J72" s="5">
        <f t="shared" si="13"/>
        <v>100</v>
      </c>
    </row>
    <row r="73" spans="1:10" x14ac:dyDescent="0.3">
      <c r="A73" s="3" t="s">
        <v>76</v>
      </c>
      <c r="B73" s="4"/>
      <c r="C73" s="5">
        <f>113.53</f>
        <v>113.53</v>
      </c>
      <c r="D73" s="5">
        <f>110.4</f>
        <v>110.4</v>
      </c>
      <c r="E73" s="5">
        <f>110</f>
        <v>110</v>
      </c>
      <c r="F73" s="5">
        <f>0</f>
        <v>0</v>
      </c>
      <c r="G73" s="5">
        <f>0</f>
        <v>0</v>
      </c>
      <c r="H73" s="5">
        <f>0</f>
        <v>0</v>
      </c>
      <c r="I73" s="5">
        <f>1032.5</f>
        <v>1032.5</v>
      </c>
      <c r="J73" s="5">
        <f t="shared" si="13"/>
        <v>1366.43</v>
      </c>
    </row>
    <row r="74" spans="1:10" x14ac:dyDescent="0.3">
      <c r="A74" s="3" t="s">
        <v>77</v>
      </c>
      <c r="B74" s="4"/>
      <c r="C74" s="4"/>
      <c r="D74" s="4"/>
      <c r="E74" s="4"/>
      <c r="F74" s="5">
        <f>426.29</f>
        <v>426.29</v>
      </c>
      <c r="G74" s="5">
        <f>178.46</f>
        <v>178.46</v>
      </c>
      <c r="H74" s="4"/>
      <c r="I74" s="5">
        <f>1433.18</f>
        <v>1433.18</v>
      </c>
      <c r="J74" s="5">
        <f t="shared" si="13"/>
        <v>2037.93</v>
      </c>
    </row>
    <row r="75" spans="1:10" x14ac:dyDescent="0.3">
      <c r="A75" s="3" t="s">
        <v>78</v>
      </c>
      <c r="B75" s="6">
        <f t="shared" ref="B75:I75" si="15">((((B70)+(B71))+(B72))+(B73))+(B74)</f>
        <v>0</v>
      </c>
      <c r="C75" s="6">
        <f t="shared" si="15"/>
        <v>113.53</v>
      </c>
      <c r="D75" s="6">
        <f t="shared" si="15"/>
        <v>1685.97</v>
      </c>
      <c r="E75" s="6">
        <f t="shared" si="15"/>
        <v>556.25</v>
      </c>
      <c r="F75" s="6">
        <f t="shared" si="15"/>
        <v>1161.29</v>
      </c>
      <c r="G75" s="6">
        <f t="shared" si="15"/>
        <v>358.46000000000004</v>
      </c>
      <c r="H75" s="6">
        <f t="shared" si="15"/>
        <v>1350</v>
      </c>
      <c r="I75" s="6">
        <f t="shared" si="15"/>
        <v>2580.6800000000003</v>
      </c>
      <c r="J75" s="6">
        <f t="shared" si="13"/>
        <v>7806.18</v>
      </c>
    </row>
    <row r="76" spans="1:10" x14ac:dyDescent="0.3">
      <c r="A76" s="3" t="s">
        <v>79</v>
      </c>
      <c r="B76" s="4"/>
      <c r="C76" s="4"/>
      <c r="D76" s="4"/>
      <c r="E76" s="4"/>
      <c r="F76" s="4"/>
      <c r="G76" s="4"/>
      <c r="H76" s="4"/>
      <c r="I76" s="4"/>
      <c r="J76" s="5">
        <f t="shared" si="13"/>
        <v>0</v>
      </c>
    </row>
    <row r="77" spans="1:10" x14ac:dyDescent="0.3">
      <c r="A77" s="3" t="s">
        <v>80</v>
      </c>
      <c r="B77" s="4"/>
      <c r="C77" s="4"/>
      <c r="D77" s="4"/>
      <c r="E77" s="4"/>
      <c r="F77" s="4"/>
      <c r="G77" s="4"/>
      <c r="H77" s="5">
        <f>58.5</f>
        <v>58.5</v>
      </c>
      <c r="I77" s="4"/>
      <c r="J77" s="5">
        <f t="shared" si="13"/>
        <v>58.5</v>
      </c>
    </row>
    <row r="78" spans="1:10" x14ac:dyDescent="0.3">
      <c r="A78" s="3" t="s">
        <v>81</v>
      </c>
      <c r="B78" s="6">
        <f t="shared" ref="B78:I78" si="16">(B76)+(B77)</f>
        <v>0</v>
      </c>
      <c r="C78" s="6">
        <f t="shared" si="16"/>
        <v>0</v>
      </c>
      <c r="D78" s="6">
        <f t="shared" si="16"/>
        <v>0</v>
      </c>
      <c r="E78" s="6">
        <f t="shared" si="16"/>
        <v>0</v>
      </c>
      <c r="F78" s="6">
        <f t="shared" si="16"/>
        <v>0</v>
      </c>
      <c r="G78" s="6">
        <f t="shared" si="16"/>
        <v>0</v>
      </c>
      <c r="H78" s="6">
        <f t="shared" si="16"/>
        <v>58.5</v>
      </c>
      <c r="I78" s="6">
        <f t="shared" si="16"/>
        <v>0</v>
      </c>
      <c r="J78" s="6">
        <f t="shared" si="13"/>
        <v>58.5</v>
      </c>
    </row>
    <row r="79" spans="1:10" x14ac:dyDescent="0.3">
      <c r="A79" s="3" t="s">
        <v>82</v>
      </c>
      <c r="B79" s="4"/>
      <c r="C79" s="4"/>
      <c r="D79" s="4"/>
      <c r="E79" s="4"/>
      <c r="F79" s="4"/>
      <c r="G79" s="4"/>
      <c r="H79" s="4"/>
      <c r="I79" s="4"/>
      <c r="J79" s="5">
        <f t="shared" si="13"/>
        <v>0</v>
      </c>
    </row>
    <row r="80" spans="1:10" x14ac:dyDescent="0.3">
      <c r="A80" s="3" t="s">
        <v>83</v>
      </c>
      <c r="B80" s="5">
        <f>37.5</f>
        <v>37.5</v>
      </c>
      <c r="C80" s="5">
        <f>45</f>
        <v>45</v>
      </c>
      <c r="D80" s="5">
        <f>407.16</f>
        <v>407.16</v>
      </c>
      <c r="E80" s="5">
        <f>127.5</f>
        <v>127.5</v>
      </c>
      <c r="F80" s="5">
        <f>55</f>
        <v>55</v>
      </c>
      <c r="G80" s="5">
        <f>381.5</f>
        <v>381.5</v>
      </c>
      <c r="H80" s="5">
        <f>117.5</f>
        <v>117.5</v>
      </c>
      <c r="I80" s="5">
        <f>122.5</f>
        <v>122.5</v>
      </c>
      <c r="J80" s="5">
        <f t="shared" si="13"/>
        <v>1293.6600000000001</v>
      </c>
    </row>
    <row r="81" spans="1:10" x14ac:dyDescent="0.3">
      <c r="A81" s="3" t="s">
        <v>84</v>
      </c>
      <c r="B81" s="4"/>
      <c r="C81" s="4"/>
      <c r="D81" s="5">
        <f>240</f>
        <v>240</v>
      </c>
      <c r="E81" s="4"/>
      <c r="F81" s="4"/>
      <c r="G81" s="4"/>
      <c r="H81" s="4"/>
      <c r="I81" s="4"/>
      <c r="J81" s="5">
        <f t="shared" si="13"/>
        <v>240</v>
      </c>
    </row>
    <row r="82" spans="1:10" x14ac:dyDescent="0.3">
      <c r="A82" s="3" t="s">
        <v>85</v>
      </c>
      <c r="B82" s="4"/>
      <c r="C82" s="4"/>
      <c r="D82" s="4"/>
      <c r="E82" s="5">
        <f>302.4</f>
        <v>302.39999999999998</v>
      </c>
      <c r="F82" s="5">
        <f>472.5</f>
        <v>472.5</v>
      </c>
      <c r="G82" s="5">
        <f>669.06</f>
        <v>669.06</v>
      </c>
      <c r="H82" s="5">
        <f>549.99</f>
        <v>549.99</v>
      </c>
      <c r="I82" s="5">
        <f>648.27</f>
        <v>648.27</v>
      </c>
      <c r="J82" s="5">
        <f t="shared" si="13"/>
        <v>2642.2200000000003</v>
      </c>
    </row>
    <row r="83" spans="1:10" x14ac:dyDescent="0.3">
      <c r="A83" s="3" t="s">
        <v>86</v>
      </c>
      <c r="B83" s="6">
        <f t="shared" ref="B83:I83" si="17">(((B79)+(B80))+(B81))+(B82)</f>
        <v>37.5</v>
      </c>
      <c r="C83" s="6">
        <f t="shared" si="17"/>
        <v>45</v>
      </c>
      <c r="D83" s="6">
        <f t="shared" si="17"/>
        <v>647.16000000000008</v>
      </c>
      <c r="E83" s="6">
        <f t="shared" si="17"/>
        <v>429.9</v>
      </c>
      <c r="F83" s="6">
        <f t="shared" si="17"/>
        <v>527.5</v>
      </c>
      <c r="G83" s="6">
        <f t="shared" si="17"/>
        <v>1050.56</v>
      </c>
      <c r="H83" s="6">
        <f t="shared" si="17"/>
        <v>667.49</v>
      </c>
      <c r="I83" s="6">
        <f t="shared" si="17"/>
        <v>770.77</v>
      </c>
      <c r="J83" s="6">
        <f t="shared" si="13"/>
        <v>4175.8799999999992</v>
      </c>
    </row>
    <row r="84" spans="1:10" x14ac:dyDescent="0.3">
      <c r="A84" s="3" t="s">
        <v>87</v>
      </c>
      <c r="B84" s="6">
        <f t="shared" ref="B84:I84" si="18">((((((((B31)+(B34))+(B39))+(B46))+(B63))+(B69))+(B75))+(B78))+(B83)</f>
        <v>54075.659999999996</v>
      </c>
      <c r="C84" s="6">
        <f t="shared" si="18"/>
        <v>61253.079999999994</v>
      </c>
      <c r="D84" s="6">
        <f t="shared" si="18"/>
        <v>90975.91</v>
      </c>
      <c r="E84" s="6">
        <f t="shared" si="18"/>
        <v>80499.7</v>
      </c>
      <c r="F84" s="6">
        <f t="shared" si="18"/>
        <v>98243.48</v>
      </c>
      <c r="G84" s="6">
        <f t="shared" si="18"/>
        <v>109937.45</v>
      </c>
      <c r="H84" s="6">
        <f t="shared" si="18"/>
        <v>78199.86</v>
      </c>
      <c r="I84" s="6">
        <f t="shared" si="18"/>
        <v>96293.73</v>
      </c>
      <c r="J84" s="6">
        <f t="shared" si="13"/>
        <v>669478.87</v>
      </c>
    </row>
    <row r="85" spans="1:10" x14ac:dyDescent="0.3">
      <c r="A85" s="3" t="s">
        <v>88</v>
      </c>
      <c r="B85" s="4"/>
      <c r="C85" s="4"/>
      <c r="D85" s="5">
        <f>357.53</f>
        <v>357.53</v>
      </c>
      <c r="E85" s="5">
        <f>571.83</f>
        <v>571.83000000000004</v>
      </c>
      <c r="F85" s="5">
        <f>1077.11</f>
        <v>1077.1099999999999</v>
      </c>
      <c r="G85" s="5">
        <f>616.09</f>
        <v>616.09</v>
      </c>
      <c r="H85" s="5">
        <f>445.52</f>
        <v>445.52</v>
      </c>
      <c r="I85" s="4"/>
      <c r="J85" s="5">
        <f t="shared" si="13"/>
        <v>3068.08</v>
      </c>
    </row>
    <row r="86" spans="1:10" x14ac:dyDescent="0.3">
      <c r="A86" s="3" t="s">
        <v>89</v>
      </c>
      <c r="B86" s="4"/>
      <c r="C86" s="5">
        <f>6096.39</f>
        <v>6096.39</v>
      </c>
      <c r="D86" s="5">
        <f>4013.15</f>
        <v>4013.15</v>
      </c>
      <c r="E86" s="5">
        <f>4172.84</f>
        <v>4172.84</v>
      </c>
      <c r="F86" s="5">
        <f>4787.44</f>
        <v>4787.4399999999996</v>
      </c>
      <c r="G86" s="5">
        <f>4575.53</f>
        <v>4575.53</v>
      </c>
      <c r="H86" s="5">
        <f>4552.17</f>
        <v>4552.17</v>
      </c>
      <c r="I86" s="5">
        <f>4708.38</f>
        <v>4708.38</v>
      </c>
      <c r="J86" s="5">
        <f t="shared" si="13"/>
        <v>32905.899999999994</v>
      </c>
    </row>
    <row r="87" spans="1:10" x14ac:dyDescent="0.3">
      <c r="A87" s="3" t="s">
        <v>90</v>
      </c>
      <c r="B87" s="4"/>
      <c r="C87" s="4"/>
      <c r="D87" s="4"/>
      <c r="E87" s="4"/>
      <c r="F87" s="5">
        <f>95.35</f>
        <v>95.35</v>
      </c>
      <c r="G87" s="4"/>
      <c r="H87" s="4"/>
      <c r="I87" s="4"/>
      <c r="J87" s="5">
        <f t="shared" si="13"/>
        <v>95.35</v>
      </c>
    </row>
    <row r="88" spans="1:10" x14ac:dyDescent="0.3">
      <c r="A88" s="3" t="s">
        <v>91</v>
      </c>
      <c r="B88" s="4"/>
      <c r="C88" s="4"/>
      <c r="D88" s="5">
        <f>637.36</f>
        <v>637.36</v>
      </c>
      <c r="E88" s="5">
        <f>600</f>
        <v>600</v>
      </c>
      <c r="F88" s="5">
        <f>0</f>
        <v>0</v>
      </c>
      <c r="G88" s="5">
        <f>0</f>
        <v>0</v>
      </c>
      <c r="H88" s="5">
        <f>0</f>
        <v>0</v>
      </c>
      <c r="I88" s="4"/>
      <c r="J88" s="5">
        <f t="shared" si="13"/>
        <v>1237.3600000000001</v>
      </c>
    </row>
    <row r="89" spans="1:10" x14ac:dyDescent="0.3">
      <c r="A89" s="3" t="s">
        <v>92</v>
      </c>
      <c r="B89" s="6">
        <f t="shared" ref="B89:I89" si="19">((((B84)+(B85))+(B86))+(B87))+(B88)</f>
        <v>54075.659999999996</v>
      </c>
      <c r="C89" s="6">
        <f t="shared" si="19"/>
        <v>67349.47</v>
      </c>
      <c r="D89" s="6">
        <f t="shared" si="19"/>
        <v>95983.95</v>
      </c>
      <c r="E89" s="6">
        <f t="shared" si="19"/>
        <v>85844.37</v>
      </c>
      <c r="F89" s="6">
        <f t="shared" si="19"/>
        <v>104203.38</v>
      </c>
      <c r="G89" s="6">
        <f t="shared" si="19"/>
        <v>115129.06999999999</v>
      </c>
      <c r="H89" s="6">
        <f t="shared" si="19"/>
        <v>83197.55</v>
      </c>
      <c r="I89" s="6">
        <f t="shared" si="19"/>
        <v>101002.11</v>
      </c>
      <c r="J89" s="6">
        <f t="shared" si="13"/>
        <v>706785.56</v>
      </c>
    </row>
    <row r="90" spans="1:10" x14ac:dyDescent="0.3">
      <c r="A90" s="3" t="s">
        <v>93</v>
      </c>
      <c r="B90" s="4"/>
      <c r="C90" s="4"/>
      <c r="D90" s="4"/>
      <c r="E90" s="4"/>
      <c r="F90" s="4"/>
      <c r="G90" s="4"/>
      <c r="H90" s="4"/>
      <c r="I90" s="4"/>
      <c r="J90" s="4"/>
    </row>
    <row r="91" spans="1:10" x14ac:dyDescent="0.3">
      <c r="A91" s="3" t="s">
        <v>94</v>
      </c>
      <c r="B91" s="4"/>
      <c r="C91" s="4"/>
      <c r="D91" s="4"/>
      <c r="E91" s="4"/>
      <c r="F91" s="4"/>
      <c r="G91" s="4"/>
      <c r="H91" s="4"/>
      <c r="I91" s="5">
        <f>324.35</f>
        <v>324.35000000000002</v>
      </c>
      <c r="J91" s="5">
        <f t="shared" ref="J91:J98" si="20">(((((((B91)+(C91))+(D91))+(E91))+(F91))+(G91))+(H91))+(I91)</f>
        <v>324.35000000000002</v>
      </c>
    </row>
    <row r="92" spans="1:10" x14ac:dyDescent="0.3">
      <c r="A92" s="3" t="s">
        <v>95</v>
      </c>
      <c r="B92" s="5">
        <f>10928.25</f>
        <v>10928.25</v>
      </c>
      <c r="C92" s="5">
        <f>10928.25</f>
        <v>10928.25</v>
      </c>
      <c r="D92" s="5">
        <f>10999.57</f>
        <v>10999.57</v>
      </c>
      <c r="E92" s="5">
        <f>10999.57</f>
        <v>10999.57</v>
      </c>
      <c r="F92" s="5">
        <f>10999.57</f>
        <v>10999.57</v>
      </c>
      <c r="G92" s="5">
        <f>10999.57</f>
        <v>10999.57</v>
      </c>
      <c r="H92" s="5">
        <f>9494.42</f>
        <v>9494.42</v>
      </c>
      <c r="I92" s="5">
        <f>15236.61</f>
        <v>15236.61</v>
      </c>
      <c r="J92" s="5">
        <f t="shared" si="20"/>
        <v>90585.81</v>
      </c>
    </row>
    <row r="93" spans="1:10" x14ac:dyDescent="0.3">
      <c r="A93" s="3" t="s">
        <v>96</v>
      </c>
      <c r="B93" s="5">
        <f>1297.55</f>
        <v>1297.55</v>
      </c>
      <c r="C93" s="5">
        <f>1297.55</f>
        <v>1297.55</v>
      </c>
      <c r="D93" s="5">
        <f>1297.55</f>
        <v>1297.55</v>
      </c>
      <c r="E93" s="5">
        <f>1297.55</f>
        <v>1297.55</v>
      </c>
      <c r="F93" s="5">
        <f>1297.55</f>
        <v>1297.55</v>
      </c>
      <c r="G93" s="4"/>
      <c r="H93" s="4"/>
      <c r="I93" s="4"/>
      <c r="J93" s="5">
        <f t="shared" si="20"/>
        <v>6487.75</v>
      </c>
    </row>
    <row r="94" spans="1:10" x14ac:dyDescent="0.3">
      <c r="A94" s="3" t="s">
        <v>97</v>
      </c>
      <c r="B94" s="4"/>
      <c r="C94" s="4"/>
      <c r="D94" s="5">
        <f>888.94</f>
        <v>888.94</v>
      </c>
      <c r="E94" s="5">
        <f>900</f>
        <v>900</v>
      </c>
      <c r="F94" s="5">
        <f>984.59</f>
        <v>984.59</v>
      </c>
      <c r="G94" s="5">
        <f>892.57</f>
        <v>892.57</v>
      </c>
      <c r="H94" s="5">
        <f>1332.15</f>
        <v>1332.15</v>
      </c>
      <c r="I94" s="5">
        <f>-1036.9</f>
        <v>-1036.9000000000001</v>
      </c>
      <c r="J94" s="5">
        <f t="shared" si="20"/>
        <v>3961.35</v>
      </c>
    </row>
    <row r="95" spans="1:10" x14ac:dyDescent="0.3">
      <c r="A95" s="3" t="s">
        <v>98</v>
      </c>
      <c r="B95" s="6">
        <f t="shared" ref="B95:I95" si="21">(((B91)+(B92))+(B93))+(B94)</f>
        <v>12225.8</v>
      </c>
      <c r="C95" s="6">
        <f t="shared" si="21"/>
        <v>12225.8</v>
      </c>
      <c r="D95" s="6">
        <f t="shared" si="21"/>
        <v>13186.06</v>
      </c>
      <c r="E95" s="6">
        <f t="shared" si="21"/>
        <v>13197.119999999999</v>
      </c>
      <c r="F95" s="6">
        <f t="shared" si="21"/>
        <v>13281.71</v>
      </c>
      <c r="G95" s="6">
        <f t="shared" si="21"/>
        <v>11892.14</v>
      </c>
      <c r="H95" s="6">
        <f t="shared" si="21"/>
        <v>10826.57</v>
      </c>
      <c r="I95" s="6">
        <f t="shared" si="21"/>
        <v>14524.060000000001</v>
      </c>
      <c r="J95" s="6">
        <f t="shared" si="20"/>
        <v>101359.26000000001</v>
      </c>
    </row>
    <row r="96" spans="1:10" x14ac:dyDescent="0.3">
      <c r="A96" s="3" t="s">
        <v>99</v>
      </c>
      <c r="B96" s="4"/>
      <c r="C96" s="4"/>
      <c r="D96" s="5">
        <f>-8.34</f>
        <v>-8.34</v>
      </c>
      <c r="E96" s="4"/>
      <c r="F96" s="5">
        <f>1158.43</f>
        <v>1158.43</v>
      </c>
      <c r="G96" s="5">
        <f>140.37</f>
        <v>140.37</v>
      </c>
      <c r="H96" s="5">
        <f>41.28</f>
        <v>41.28</v>
      </c>
      <c r="I96" s="5">
        <f>211.72</f>
        <v>211.72</v>
      </c>
      <c r="J96" s="5">
        <f t="shared" si="20"/>
        <v>1543.46</v>
      </c>
    </row>
    <row r="97" spans="1:10" x14ac:dyDescent="0.3">
      <c r="A97" s="3" t="s">
        <v>100</v>
      </c>
      <c r="B97" s="6">
        <f t="shared" ref="B97:I97" si="22">(B95)+(B96)</f>
        <v>12225.8</v>
      </c>
      <c r="C97" s="6">
        <f t="shared" si="22"/>
        <v>12225.8</v>
      </c>
      <c r="D97" s="6">
        <f t="shared" si="22"/>
        <v>13177.72</v>
      </c>
      <c r="E97" s="6">
        <f t="shared" si="22"/>
        <v>13197.119999999999</v>
      </c>
      <c r="F97" s="6">
        <f t="shared" si="22"/>
        <v>14440.14</v>
      </c>
      <c r="G97" s="6">
        <f t="shared" si="22"/>
        <v>12032.51</v>
      </c>
      <c r="H97" s="6">
        <f t="shared" si="22"/>
        <v>10867.85</v>
      </c>
      <c r="I97" s="6">
        <f t="shared" si="22"/>
        <v>14735.78</v>
      </c>
      <c r="J97" s="6">
        <f t="shared" si="20"/>
        <v>102902.72</v>
      </c>
    </row>
    <row r="98" spans="1:10" x14ac:dyDescent="0.3">
      <c r="A98" s="3" t="s">
        <v>101</v>
      </c>
      <c r="B98" s="7">
        <f t="shared" ref="B98:I98" si="23">(((B29)-(B89))+(0))-(B97)</f>
        <v>-85676.54</v>
      </c>
      <c r="C98" s="7">
        <f t="shared" si="23"/>
        <v>-119360.21</v>
      </c>
      <c r="D98" s="7">
        <f t="shared" si="23"/>
        <v>-199673.80000000002</v>
      </c>
      <c r="E98" s="7">
        <f t="shared" si="23"/>
        <v>-222940.08</v>
      </c>
      <c r="F98" s="7">
        <f t="shared" si="23"/>
        <v>-250309.99</v>
      </c>
      <c r="G98" s="7">
        <f t="shared" si="23"/>
        <v>-232103.34</v>
      </c>
      <c r="H98" s="7">
        <f t="shared" si="23"/>
        <v>-219363.97</v>
      </c>
      <c r="I98" s="7">
        <f t="shared" si="23"/>
        <v>-215459.73</v>
      </c>
      <c r="J98" s="7">
        <f t="shared" si="20"/>
        <v>-1544887.66</v>
      </c>
    </row>
    <row r="99" spans="1:10" x14ac:dyDescent="0.3">
      <c r="A99" s="3"/>
      <c r="B99" s="4"/>
      <c r="C99" s="4"/>
      <c r="D99" s="4"/>
      <c r="E99" s="4"/>
      <c r="F99" s="4"/>
      <c r="G99" s="4"/>
      <c r="H99" s="4"/>
      <c r="I99" s="4"/>
      <c r="J99" s="4"/>
    </row>
    <row r="102" spans="1:10" x14ac:dyDescent="0.3">
      <c r="A102" s="8" t="s">
        <v>102</v>
      </c>
      <c r="B102" s="9"/>
      <c r="C102" s="9"/>
      <c r="D102" s="9"/>
      <c r="E102" s="9"/>
      <c r="F102" s="9"/>
      <c r="G102" s="9"/>
      <c r="H102" s="9"/>
      <c r="I102" s="9"/>
      <c r="J102" s="9"/>
    </row>
  </sheetData>
  <mergeCells count="4">
    <mergeCell ref="A102:J102"/>
    <mergeCell ref="A1:J1"/>
    <mergeCell ref="A2:J2"/>
    <mergeCell ref="A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Rosel Villegas</cp:lastModifiedBy>
  <dcterms:created xsi:type="dcterms:W3CDTF">2022-10-06T06:56:17Z</dcterms:created>
  <dcterms:modified xsi:type="dcterms:W3CDTF">2022-10-06T06:56:51Z</dcterms:modified>
</cp:coreProperties>
</file>